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Enforcements!$A$6:$N$73</definedName>
    <definedName name="_xlnm._FilterDatabase" localSheetId="2" hidden="1">'Missing Trips'!$A$2:$G$2</definedName>
    <definedName name="_xlnm._FilterDatabase" localSheetId="0" hidden="1">'Train Runs'!$A$12:$AC$144</definedName>
    <definedName name="_xlnm._FilterDatabase" localSheetId="3" hidden="1">'Trips&amp;Operators'!$A$1:$E$211</definedName>
    <definedName name="Denver_Train_Runs_04122016" localSheetId="0">'Train Runs'!$A$12:$J$146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4" i="1" l="1"/>
  <c r="S70" i="1"/>
  <c r="K79" i="1"/>
  <c r="L79" i="1"/>
  <c r="M79" i="1"/>
  <c r="P79" i="1" s="1"/>
  <c r="T79" i="1"/>
  <c r="V79" i="1"/>
  <c r="X79" i="1"/>
  <c r="U79" i="1"/>
  <c r="S79" i="1" s="1"/>
  <c r="AA79" i="1"/>
  <c r="W79" i="1" s="1"/>
  <c r="AB79" i="1"/>
  <c r="AC79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T140" i="1"/>
  <c r="V140" i="1"/>
  <c r="X140" i="1"/>
  <c r="Y140" i="1"/>
  <c r="Z140" i="1"/>
  <c r="AB140" i="1"/>
  <c r="AC140" i="1"/>
  <c r="T65" i="1"/>
  <c r="V65" i="1"/>
  <c r="Y65" i="1"/>
  <c r="Z65" i="1"/>
  <c r="AB65" i="1"/>
  <c r="AC65" i="1"/>
  <c r="K140" i="1"/>
  <c r="L140" i="1"/>
  <c r="M140" i="1"/>
  <c r="P140" i="1" s="1"/>
  <c r="K65" i="1"/>
  <c r="L65" i="1"/>
  <c r="M65" i="1"/>
  <c r="P65" i="1" s="1"/>
  <c r="E6" i="6"/>
  <c r="F6" i="6"/>
  <c r="G6" i="6"/>
  <c r="E4" i="6"/>
  <c r="F4" i="6"/>
  <c r="G4" i="6"/>
  <c r="E3" i="6"/>
  <c r="F3" i="6"/>
  <c r="G3" i="6"/>
  <c r="E5" i="6"/>
  <c r="F5" i="6"/>
  <c r="G5" i="6"/>
  <c r="X123" i="1"/>
  <c r="X124" i="1"/>
  <c r="X125" i="1"/>
  <c r="X122" i="1"/>
  <c r="X99" i="1"/>
  <c r="X100" i="1"/>
  <c r="X101" i="1"/>
  <c r="X102" i="1"/>
  <c r="X103" i="1"/>
  <c r="X38" i="1"/>
  <c r="X39" i="1"/>
  <c r="X40" i="1"/>
  <c r="X41" i="1"/>
  <c r="X42" i="1"/>
  <c r="X43" i="1"/>
  <c r="X26" i="1"/>
  <c r="X27" i="1"/>
  <c r="X28" i="1"/>
  <c r="X29" i="1"/>
  <c r="X30" i="1"/>
  <c r="X31" i="1"/>
  <c r="X32" i="1"/>
  <c r="X33" i="1"/>
  <c r="U58" i="1"/>
  <c r="U98" i="1"/>
  <c r="U141" i="1"/>
  <c r="L37" i="3"/>
  <c r="L13" i="3"/>
  <c r="L38" i="3"/>
  <c r="L39" i="3"/>
  <c r="L14" i="3"/>
  <c r="L15" i="3"/>
  <c r="L40" i="3"/>
  <c r="L41" i="3"/>
  <c r="L27" i="3"/>
  <c r="L28" i="3"/>
  <c r="L29" i="3"/>
  <c r="L30" i="3"/>
  <c r="L42" i="3"/>
  <c r="L43" i="3"/>
  <c r="L44" i="3"/>
  <c r="L45" i="3"/>
  <c r="L16" i="3"/>
  <c r="L12" i="3"/>
  <c r="L46" i="3"/>
  <c r="L47" i="3"/>
  <c r="L31" i="3"/>
  <c r="L48" i="3"/>
  <c r="L17" i="3"/>
  <c r="L49" i="3"/>
  <c r="L18" i="3"/>
  <c r="L50" i="3"/>
  <c r="L11" i="3"/>
  <c r="L32" i="3"/>
  <c r="L19" i="3"/>
  <c r="L51" i="3"/>
  <c r="L52" i="3"/>
  <c r="L53" i="3"/>
  <c r="L54" i="3"/>
  <c r="L7" i="3"/>
  <c r="L55" i="3"/>
  <c r="L56" i="3"/>
  <c r="L20" i="3"/>
  <c r="L57" i="3"/>
  <c r="L21" i="3"/>
  <c r="L22" i="3"/>
  <c r="L58" i="3"/>
  <c r="L59" i="3"/>
  <c r="L60" i="3"/>
  <c r="L61" i="3"/>
  <c r="L62" i="3"/>
  <c r="L63" i="3"/>
  <c r="L64" i="3"/>
  <c r="L10" i="3"/>
  <c r="L23" i="3"/>
  <c r="L65" i="3"/>
  <c r="L66" i="3"/>
  <c r="L24" i="3"/>
  <c r="L67" i="3"/>
  <c r="L68" i="3"/>
  <c r="L25" i="3"/>
  <c r="L69" i="3"/>
  <c r="L34" i="3"/>
  <c r="L26" i="3"/>
  <c r="L8" i="3"/>
  <c r="L9" i="3"/>
  <c r="L70" i="3"/>
  <c r="L33" i="3"/>
  <c r="L71" i="3"/>
  <c r="L72" i="3"/>
  <c r="L35" i="3"/>
  <c r="L73" i="3"/>
  <c r="AA65" i="1" l="1"/>
  <c r="W65" i="1" s="1"/>
  <c r="U65" i="1"/>
  <c r="S65" i="1" s="1"/>
  <c r="U140" i="1"/>
  <c r="S140" i="1" s="1"/>
  <c r="AA140" i="1"/>
  <c r="W140" i="1" s="1"/>
  <c r="K105" i="1"/>
  <c r="L105" i="1"/>
  <c r="M105" i="1"/>
  <c r="N105" i="1" s="1"/>
  <c r="T105" i="1"/>
  <c r="V105" i="1"/>
  <c r="X105" i="1"/>
  <c r="Y105" i="1"/>
  <c r="Z105" i="1"/>
  <c r="AB105" i="1"/>
  <c r="AC105" i="1"/>
  <c r="K128" i="1"/>
  <c r="L128" i="1"/>
  <c r="M128" i="1"/>
  <c r="N128" i="1" s="1"/>
  <c r="T128" i="1"/>
  <c r="V128" i="1"/>
  <c r="X128" i="1"/>
  <c r="Y128" i="1"/>
  <c r="Z128" i="1"/>
  <c r="AB128" i="1"/>
  <c r="AC128" i="1"/>
  <c r="X145" i="1"/>
  <c r="X146" i="1"/>
  <c r="X147" i="1"/>
  <c r="X148" i="1"/>
  <c r="X149" i="1"/>
  <c r="X150" i="1"/>
  <c r="X151" i="1"/>
  <c r="X152" i="1"/>
  <c r="X153" i="1"/>
  <c r="X154" i="1"/>
  <c r="Q73" i="3"/>
  <c r="S58" i="1"/>
  <c r="S98" i="1"/>
  <c r="S141" i="1"/>
  <c r="U128" i="1" l="1"/>
  <c r="S128" i="1" s="1"/>
  <c r="U105" i="1"/>
  <c r="S105" i="1" s="1"/>
  <c r="AA128" i="1"/>
  <c r="W128" i="1" s="1"/>
  <c r="AA105" i="1"/>
  <c r="W105" i="1" s="1"/>
  <c r="T154" i="1"/>
  <c r="V154" i="1"/>
  <c r="Y154" i="1"/>
  <c r="Z154" i="1"/>
  <c r="AB154" i="1"/>
  <c r="AC154" i="1"/>
  <c r="K154" i="1"/>
  <c r="L154" i="1"/>
  <c r="M154" i="1"/>
  <c r="O6" i="1"/>
  <c r="N6" i="1"/>
  <c r="M6" i="1"/>
  <c r="J6" i="1"/>
  <c r="U154" i="1" l="1"/>
  <c r="S154" i="1" s="1"/>
  <c r="AA154" i="1"/>
  <c r="W154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81" i="1"/>
  <c r="AC81" i="1"/>
  <c r="AB80" i="1"/>
  <c r="AC80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50" i="1"/>
  <c r="AC150" i="1"/>
  <c r="AB149" i="1"/>
  <c r="AC149" i="1"/>
  <c r="AB151" i="1"/>
  <c r="AC151" i="1"/>
  <c r="AB152" i="1"/>
  <c r="AC152" i="1"/>
  <c r="AB153" i="1"/>
  <c r="AC153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7" i="1" l="1"/>
  <c r="X57" i="1"/>
  <c r="Y57" i="1"/>
  <c r="Z57" i="1"/>
  <c r="V58" i="1"/>
  <c r="X58" i="1"/>
  <c r="AA58" i="1"/>
  <c r="W58" i="1" s="1"/>
  <c r="V97" i="1"/>
  <c r="X97" i="1"/>
  <c r="Y97" i="1"/>
  <c r="Z97" i="1"/>
  <c r="V98" i="1"/>
  <c r="X98" i="1"/>
  <c r="AA98" i="1"/>
  <c r="W98" i="1" s="1"/>
  <c r="V99" i="1"/>
  <c r="Y99" i="1"/>
  <c r="Z99" i="1"/>
  <c r="V141" i="1"/>
  <c r="X141" i="1"/>
  <c r="AA141" i="1"/>
  <c r="W141" i="1" s="1"/>
  <c r="V142" i="1"/>
  <c r="X142" i="1"/>
  <c r="Y142" i="1"/>
  <c r="Z142" i="1"/>
  <c r="K98" i="1"/>
  <c r="L98" i="1"/>
  <c r="M98" i="1"/>
  <c r="N98" i="1" s="1"/>
  <c r="K141" i="1"/>
  <c r="L141" i="1"/>
  <c r="M141" i="1"/>
  <c r="N141" i="1" s="1"/>
  <c r="K58" i="1"/>
  <c r="L58" i="1"/>
  <c r="M58" i="1"/>
  <c r="N58" i="1" s="1"/>
  <c r="T98" i="1"/>
  <c r="T141" i="1"/>
  <c r="T58" i="1"/>
  <c r="X112" i="1"/>
  <c r="X113" i="1"/>
  <c r="X114" i="1"/>
  <c r="X115" i="1"/>
  <c r="X80" i="1"/>
  <c r="X82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9" i="3"/>
  <c r="Q31" i="3"/>
  <c r="Q36" i="3"/>
  <c r="Q37" i="3"/>
  <c r="Q38" i="3"/>
  <c r="Q32" i="3"/>
  <c r="Q33" i="3"/>
  <c r="Q40" i="3"/>
  <c r="Q41" i="3"/>
  <c r="Q42" i="3"/>
  <c r="Q34" i="3"/>
  <c r="Q35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L36" i="3"/>
  <c r="Z153" i="1"/>
  <c r="Y153" i="1"/>
  <c r="V153" i="1"/>
  <c r="T153" i="1"/>
  <c r="M153" i="1"/>
  <c r="N153" i="1" s="1"/>
  <c r="L153" i="1"/>
  <c r="K153" i="1"/>
  <c r="Z152" i="1"/>
  <c r="Y152" i="1"/>
  <c r="V152" i="1"/>
  <c r="T152" i="1"/>
  <c r="M152" i="1"/>
  <c r="N152" i="1" s="1"/>
  <c r="L152" i="1"/>
  <c r="K152" i="1"/>
  <c r="Z151" i="1"/>
  <c r="Y151" i="1"/>
  <c r="V151" i="1"/>
  <c r="T151" i="1"/>
  <c r="M151" i="1"/>
  <c r="N151" i="1" s="1"/>
  <c r="L151" i="1"/>
  <c r="K151" i="1"/>
  <c r="Z149" i="1"/>
  <c r="Y149" i="1"/>
  <c r="V149" i="1"/>
  <c r="T149" i="1"/>
  <c r="M149" i="1"/>
  <c r="N149" i="1" s="1"/>
  <c r="L149" i="1"/>
  <c r="K149" i="1"/>
  <c r="Z150" i="1"/>
  <c r="Y150" i="1"/>
  <c r="U150" i="1" s="1"/>
  <c r="V150" i="1"/>
  <c r="T150" i="1"/>
  <c r="M150" i="1"/>
  <c r="N150" i="1" s="1"/>
  <c r="L150" i="1"/>
  <c r="K150" i="1"/>
  <c r="Z148" i="1"/>
  <c r="Y148" i="1"/>
  <c r="V148" i="1"/>
  <c r="T148" i="1"/>
  <c r="M148" i="1"/>
  <c r="N148" i="1" s="1"/>
  <c r="L148" i="1"/>
  <c r="K148" i="1"/>
  <c r="Z147" i="1"/>
  <c r="Y147" i="1"/>
  <c r="U147" i="1" s="1"/>
  <c r="V147" i="1"/>
  <c r="T147" i="1"/>
  <c r="M147" i="1"/>
  <c r="N147" i="1" s="1"/>
  <c r="L147" i="1"/>
  <c r="K147" i="1"/>
  <c r="Z146" i="1"/>
  <c r="Y146" i="1"/>
  <c r="U146" i="1" s="1"/>
  <c r="V146" i="1"/>
  <c r="T146" i="1"/>
  <c r="M146" i="1"/>
  <c r="N146" i="1" s="1"/>
  <c r="L146" i="1"/>
  <c r="K146" i="1"/>
  <c r="Z145" i="1"/>
  <c r="Y145" i="1"/>
  <c r="V145" i="1"/>
  <c r="T145" i="1"/>
  <c r="M145" i="1"/>
  <c r="N145" i="1" s="1"/>
  <c r="L145" i="1"/>
  <c r="K145" i="1"/>
  <c r="Z144" i="1"/>
  <c r="Y144" i="1"/>
  <c r="X144" i="1"/>
  <c r="V144" i="1"/>
  <c r="T144" i="1"/>
  <c r="M144" i="1"/>
  <c r="N144" i="1" s="1"/>
  <c r="L144" i="1"/>
  <c r="K144" i="1"/>
  <c r="Z143" i="1"/>
  <c r="Y143" i="1"/>
  <c r="X143" i="1"/>
  <c r="V143" i="1"/>
  <c r="T143" i="1"/>
  <c r="M143" i="1"/>
  <c r="N143" i="1" s="1"/>
  <c r="L143" i="1"/>
  <c r="K143" i="1"/>
  <c r="T142" i="1"/>
  <c r="M142" i="1"/>
  <c r="N142" i="1" s="1"/>
  <c r="L142" i="1"/>
  <c r="K142" i="1"/>
  <c r="Z139" i="1"/>
  <c r="Y139" i="1"/>
  <c r="X139" i="1"/>
  <c r="V139" i="1"/>
  <c r="T139" i="1"/>
  <c r="M139" i="1"/>
  <c r="N139" i="1" s="1"/>
  <c r="L139" i="1"/>
  <c r="K139" i="1"/>
  <c r="Z138" i="1"/>
  <c r="Y138" i="1"/>
  <c r="X138" i="1"/>
  <c r="V138" i="1"/>
  <c r="T138" i="1"/>
  <c r="M138" i="1"/>
  <c r="N138" i="1" s="1"/>
  <c r="L138" i="1"/>
  <c r="K138" i="1"/>
  <c r="T15" i="1"/>
  <c r="U144" i="1" l="1"/>
  <c r="U149" i="1"/>
  <c r="U143" i="1"/>
  <c r="U139" i="1"/>
  <c r="U148" i="1"/>
  <c r="S148" i="1" s="1"/>
  <c r="U152" i="1"/>
  <c r="S152" i="1" s="1"/>
  <c r="U142" i="1"/>
  <c r="S142" i="1" s="1"/>
  <c r="U138" i="1"/>
  <c r="U151" i="1"/>
  <c r="S151" i="1" s="1"/>
  <c r="U153" i="1"/>
  <c r="S153" i="1" s="1"/>
  <c r="U57" i="1"/>
  <c r="U99" i="1"/>
  <c r="U97" i="1"/>
  <c r="S97" i="1" s="1"/>
  <c r="U145" i="1"/>
  <c r="S149" i="1"/>
  <c r="S147" i="1"/>
  <c r="S146" i="1"/>
  <c r="S138" i="1"/>
  <c r="S150" i="1"/>
  <c r="M2" i="3"/>
  <c r="M3" i="3" s="1"/>
  <c r="S57" i="1"/>
  <c r="S139" i="1"/>
  <c r="S99" i="1"/>
  <c r="S145" i="1"/>
  <c r="S144" i="1"/>
  <c r="S143" i="1"/>
  <c r="AA57" i="1"/>
  <c r="W57" i="1" s="1"/>
  <c r="AA142" i="1"/>
  <c r="W142" i="1" s="1"/>
  <c r="AA99" i="1"/>
  <c r="W99" i="1" s="1"/>
  <c r="AA97" i="1"/>
  <c r="W97" i="1" s="1"/>
  <c r="AA139" i="1"/>
  <c r="W139" i="1" s="1"/>
  <c r="AA150" i="1"/>
  <c r="W150" i="1" s="1"/>
  <c r="AA153" i="1"/>
  <c r="W153" i="1" s="1"/>
  <c r="AA151" i="1"/>
  <c r="W151" i="1" s="1"/>
  <c r="AA143" i="1"/>
  <c r="W143" i="1" s="1"/>
  <c r="AA146" i="1"/>
  <c r="W146" i="1" s="1"/>
  <c r="AA144" i="1"/>
  <c r="W144" i="1" s="1"/>
  <c r="AA149" i="1"/>
  <c r="W149" i="1" s="1"/>
  <c r="AA147" i="1"/>
  <c r="W147" i="1" s="1"/>
  <c r="AA138" i="1"/>
  <c r="W138" i="1" s="1"/>
  <c r="AA148" i="1"/>
  <c r="W148" i="1" s="1"/>
  <c r="AA145" i="1"/>
  <c r="W145" i="1" s="1"/>
  <c r="AA152" i="1"/>
  <c r="W152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3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1" i="1"/>
  <c r="T80" i="1"/>
  <c r="T82" i="1"/>
  <c r="T83" i="1"/>
  <c r="T85" i="1"/>
  <c r="T84" i="1"/>
  <c r="T86" i="1"/>
  <c r="T87" i="1"/>
  <c r="T88" i="1"/>
  <c r="T90" i="1"/>
  <c r="T89" i="1"/>
  <c r="T91" i="1"/>
  <c r="T92" i="1"/>
  <c r="T93" i="1"/>
  <c r="T94" i="1"/>
  <c r="T95" i="1"/>
  <c r="T97" i="1"/>
  <c r="T96" i="1"/>
  <c r="T99" i="1"/>
  <c r="T100" i="1"/>
  <c r="T101" i="1"/>
  <c r="T102" i="1"/>
  <c r="T103" i="1"/>
  <c r="T104" i="1"/>
  <c r="T106" i="1"/>
  <c r="T107" i="1"/>
  <c r="T108" i="1"/>
  <c r="T109" i="1"/>
  <c r="T110" i="1"/>
  <c r="T111" i="1"/>
  <c r="T112" i="1"/>
  <c r="T114" i="1"/>
  <c r="T113" i="1"/>
  <c r="T115" i="1"/>
  <c r="T116" i="1"/>
  <c r="T117" i="1"/>
  <c r="T118" i="1"/>
  <c r="T119" i="1"/>
  <c r="T120" i="1"/>
  <c r="T121" i="1"/>
  <c r="T122" i="1"/>
  <c r="T123" i="1"/>
  <c r="T125" i="1"/>
  <c r="T124" i="1"/>
  <c r="T126" i="1"/>
  <c r="T127" i="1"/>
  <c r="T129" i="1"/>
  <c r="T130" i="1"/>
  <c r="T131" i="1"/>
  <c r="T132" i="1"/>
  <c r="T133" i="1"/>
  <c r="T134" i="1"/>
  <c r="T135" i="1"/>
  <c r="T136" i="1"/>
  <c r="T137" i="1"/>
  <c r="T13" i="1"/>
  <c r="M40" i="1" l="1"/>
  <c r="N40" i="1" s="1"/>
  <c r="M67" i="1"/>
  <c r="P67" i="1" s="1"/>
  <c r="L40" i="1"/>
  <c r="L67" i="1"/>
  <c r="K67" i="1"/>
  <c r="K40" i="1"/>
  <c r="K130" i="1"/>
  <c r="L130" i="1"/>
  <c r="M130" i="1"/>
  <c r="N130" i="1" s="1"/>
  <c r="V127" i="1"/>
  <c r="X127" i="1"/>
  <c r="Y127" i="1"/>
  <c r="Z127" i="1"/>
  <c r="K131" i="1"/>
  <c r="L131" i="1"/>
  <c r="M131" i="1"/>
  <c r="N131" i="1" s="1"/>
  <c r="V129" i="1"/>
  <c r="X129" i="1"/>
  <c r="Y129" i="1"/>
  <c r="Z129" i="1"/>
  <c r="K132" i="1"/>
  <c r="L132" i="1"/>
  <c r="M132" i="1"/>
  <c r="N132" i="1" s="1"/>
  <c r="V130" i="1"/>
  <c r="X130" i="1"/>
  <c r="Y130" i="1"/>
  <c r="Z130" i="1"/>
  <c r="K133" i="1"/>
  <c r="L133" i="1"/>
  <c r="M133" i="1"/>
  <c r="N133" i="1" s="1"/>
  <c r="V131" i="1"/>
  <c r="X131" i="1"/>
  <c r="Y131" i="1"/>
  <c r="Z131" i="1"/>
  <c r="K134" i="1"/>
  <c r="L134" i="1"/>
  <c r="M134" i="1"/>
  <c r="N134" i="1" s="1"/>
  <c r="V132" i="1"/>
  <c r="X132" i="1"/>
  <c r="Y132" i="1"/>
  <c r="Z132" i="1"/>
  <c r="K135" i="1"/>
  <c r="L135" i="1"/>
  <c r="M135" i="1"/>
  <c r="N135" i="1" s="1"/>
  <c r="V133" i="1"/>
  <c r="X133" i="1"/>
  <c r="Y133" i="1"/>
  <c r="Z133" i="1"/>
  <c r="K136" i="1"/>
  <c r="L136" i="1"/>
  <c r="M136" i="1"/>
  <c r="N136" i="1" s="1"/>
  <c r="V134" i="1"/>
  <c r="X134" i="1"/>
  <c r="Y134" i="1"/>
  <c r="Z134" i="1"/>
  <c r="K137" i="1"/>
  <c r="L137" i="1"/>
  <c r="M137" i="1"/>
  <c r="N137" i="1" s="1"/>
  <c r="V135" i="1"/>
  <c r="X135" i="1"/>
  <c r="Y135" i="1"/>
  <c r="Z135" i="1"/>
  <c r="V136" i="1"/>
  <c r="X136" i="1"/>
  <c r="Y136" i="1"/>
  <c r="Z136" i="1"/>
  <c r="V137" i="1"/>
  <c r="X137" i="1"/>
  <c r="Y137" i="1"/>
  <c r="Z137" i="1"/>
  <c r="U137" i="1" l="1"/>
  <c r="U127" i="1"/>
  <c r="U136" i="1"/>
  <c r="S136" i="1" s="1"/>
  <c r="U132" i="1"/>
  <c r="S132" i="1" s="1"/>
  <c r="U131" i="1"/>
  <c r="S131" i="1" s="1"/>
  <c r="U129" i="1"/>
  <c r="S129" i="1" s="1"/>
  <c r="U130" i="1"/>
  <c r="S130" i="1" s="1"/>
  <c r="U133" i="1"/>
  <c r="S133" i="1" s="1"/>
  <c r="U135" i="1"/>
  <c r="S135" i="1" s="1"/>
  <c r="U134" i="1"/>
  <c r="S134" i="1" s="1"/>
  <c r="P73" i="3"/>
  <c r="S127" i="1"/>
  <c r="S137" i="1"/>
  <c r="AA131" i="1"/>
  <c r="W131" i="1" s="1"/>
  <c r="AA132" i="1"/>
  <c r="W132" i="1" s="1"/>
  <c r="AA127" i="1"/>
  <c r="W127" i="1" s="1"/>
  <c r="AA134" i="1"/>
  <c r="W134" i="1" s="1"/>
  <c r="AA133" i="1"/>
  <c r="W133" i="1" s="1"/>
  <c r="AA129" i="1"/>
  <c r="W129" i="1" s="1"/>
  <c r="AA135" i="1"/>
  <c r="W135" i="1" s="1"/>
  <c r="AA137" i="1"/>
  <c r="W137" i="1" s="1"/>
  <c r="AA130" i="1"/>
  <c r="W130" i="1" s="1"/>
  <c r="AA136" i="1"/>
  <c r="W136" i="1" s="1"/>
  <c r="X60" i="1" l="1"/>
  <c r="X61" i="1"/>
  <c r="V15" i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Z25" i="1"/>
  <c r="V26" i="1"/>
  <c r="Y26" i="1"/>
  <c r="Z26" i="1"/>
  <c r="V27" i="1"/>
  <c r="Y27" i="1"/>
  <c r="Z27" i="1"/>
  <c r="V28" i="1"/>
  <c r="Y28" i="1"/>
  <c r="Z28" i="1"/>
  <c r="V29" i="1"/>
  <c r="Y29" i="1"/>
  <c r="Z29" i="1"/>
  <c r="V30" i="1"/>
  <c r="Y30" i="1"/>
  <c r="Z30" i="1"/>
  <c r="V31" i="1"/>
  <c r="Y31" i="1"/>
  <c r="Z31" i="1"/>
  <c r="V32" i="1"/>
  <c r="Y32" i="1"/>
  <c r="Z32" i="1"/>
  <c r="V34" i="1"/>
  <c r="X34" i="1"/>
  <c r="Y34" i="1"/>
  <c r="Z34" i="1"/>
  <c r="V33" i="1"/>
  <c r="Y33" i="1"/>
  <c r="Z33" i="1"/>
  <c r="V35" i="1"/>
  <c r="X35" i="1"/>
  <c r="Y35" i="1"/>
  <c r="Z35" i="1"/>
  <c r="V36" i="1"/>
  <c r="X36" i="1"/>
  <c r="Y36" i="1"/>
  <c r="Z36" i="1"/>
  <c r="V37" i="1"/>
  <c r="X37" i="1"/>
  <c r="Y37" i="1"/>
  <c r="Z37" i="1"/>
  <c r="V38" i="1"/>
  <c r="Y38" i="1"/>
  <c r="Z38" i="1"/>
  <c r="V39" i="1"/>
  <c r="Y39" i="1"/>
  <c r="Z39" i="1"/>
  <c r="V40" i="1"/>
  <c r="Y40" i="1"/>
  <c r="Z40" i="1"/>
  <c r="V41" i="1"/>
  <c r="Y41" i="1"/>
  <c r="Z41" i="1"/>
  <c r="V42" i="1"/>
  <c r="Y42" i="1"/>
  <c r="Z42" i="1"/>
  <c r="V43" i="1"/>
  <c r="Y43" i="1"/>
  <c r="Z43" i="1"/>
  <c r="V44" i="1"/>
  <c r="X44" i="1"/>
  <c r="Y44" i="1"/>
  <c r="V45" i="1"/>
  <c r="X45" i="1"/>
  <c r="Y45" i="1"/>
  <c r="U45" i="1" s="1"/>
  <c r="V46" i="1"/>
  <c r="X46" i="1"/>
  <c r="Y46" i="1"/>
  <c r="Z46" i="1"/>
  <c r="V47" i="1"/>
  <c r="X47" i="1"/>
  <c r="Y47" i="1"/>
  <c r="Z47" i="1"/>
  <c r="V48" i="1"/>
  <c r="X48" i="1"/>
  <c r="Y48" i="1"/>
  <c r="Z48" i="1"/>
  <c r="V49" i="1"/>
  <c r="X49" i="1"/>
  <c r="Y49" i="1"/>
  <c r="Z49" i="1"/>
  <c r="V50" i="1"/>
  <c r="X50" i="1"/>
  <c r="Y50" i="1"/>
  <c r="Z50" i="1"/>
  <c r="V51" i="1"/>
  <c r="X51" i="1"/>
  <c r="Y51" i="1"/>
  <c r="Z51" i="1"/>
  <c r="V52" i="1"/>
  <c r="X52" i="1"/>
  <c r="Y52" i="1"/>
  <c r="Z52" i="1"/>
  <c r="V53" i="1"/>
  <c r="X53" i="1"/>
  <c r="Y53" i="1"/>
  <c r="Z53" i="1"/>
  <c r="V54" i="1"/>
  <c r="X54" i="1"/>
  <c r="Y54" i="1"/>
  <c r="Z54" i="1"/>
  <c r="V55" i="1"/>
  <c r="X55" i="1"/>
  <c r="Y55" i="1"/>
  <c r="Z55" i="1"/>
  <c r="V56" i="1"/>
  <c r="X56" i="1"/>
  <c r="Y56" i="1"/>
  <c r="Z56" i="1"/>
  <c r="V59" i="1"/>
  <c r="X59" i="1"/>
  <c r="Y59" i="1"/>
  <c r="Z59" i="1"/>
  <c r="V60" i="1"/>
  <c r="Y60" i="1"/>
  <c r="Z60" i="1"/>
  <c r="V61" i="1"/>
  <c r="Y61" i="1"/>
  <c r="Z61" i="1"/>
  <c r="V62" i="1"/>
  <c r="Y62" i="1"/>
  <c r="Z62" i="1"/>
  <c r="V63" i="1"/>
  <c r="Y63" i="1"/>
  <c r="Z63" i="1"/>
  <c r="V64" i="1"/>
  <c r="Y64" i="1"/>
  <c r="Z64" i="1"/>
  <c r="V66" i="1"/>
  <c r="Y66" i="1"/>
  <c r="Z66" i="1"/>
  <c r="V67" i="1"/>
  <c r="Y67" i="1"/>
  <c r="Z67" i="1"/>
  <c r="V68" i="1"/>
  <c r="Y68" i="1"/>
  <c r="Z68" i="1"/>
  <c r="V69" i="1"/>
  <c r="Y69" i="1"/>
  <c r="Z69" i="1"/>
  <c r="V70" i="1"/>
  <c r="Y70" i="1"/>
  <c r="Z70" i="1"/>
  <c r="V71" i="1"/>
  <c r="Y71" i="1"/>
  <c r="Z71" i="1"/>
  <c r="V72" i="1"/>
  <c r="Y72" i="1"/>
  <c r="Z72" i="1"/>
  <c r="V73" i="1"/>
  <c r="Y73" i="1"/>
  <c r="Z73" i="1"/>
  <c r="V74" i="1"/>
  <c r="Y74" i="1"/>
  <c r="Z74" i="1"/>
  <c r="V75" i="1"/>
  <c r="Y75" i="1"/>
  <c r="Z75" i="1"/>
  <c r="V76" i="1"/>
  <c r="Y76" i="1"/>
  <c r="Z76" i="1"/>
  <c r="V77" i="1"/>
  <c r="X77" i="1"/>
  <c r="Y77" i="1"/>
  <c r="Z77" i="1"/>
  <c r="V78" i="1"/>
  <c r="X78" i="1"/>
  <c r="Y78" i="1"/>
  <c r="Z78" i="1"/>
  <c r="V81" i="1"/>
  <c r="X81" i="1"/>
  <c r="Y81" i="1"/>
  <c r="Z81" i="1"/>
  <c r="V80" i="1"/>
  <c r="Y80" i="1"/>
  <c r="Z80" i="1"/>
  <c r="V82" i="1"/>
  <c r="Y82" i="1"/>
  <c r="Z82" i="1"/>
  <c r="V83" i="1"/>
  <c r="X83" i="1"/>
  <c r="Y83" i="1"/>
  <c r="Z83" i="1"/>
  <c r="V85" i="1"/>
  <c r="X85" i="1"/>
  <c r="Y85" i="1"/>
  <c r="Z85" i="1"/>
  <c r="V84" i="1"/>
  <c r="X84" i="1"/>
  <c r="Y84" i="1"/>
  <c r="Z84" i="1"/>
  <c r="V86" i="1"/>
  <c r="X86" i="1"/>
  <c r="Y86" i="1"/>
  <c r="Z86" i="1"/>
  <c r="V87" i="1"/>
  <c r="X87" i="1"/>
  <c r="Y87" i="1"/>
  <c r="Z87" i="1"/>
  <c r="V88" i="1"/>
  <c r="X88" i="1"/>
  <c r="Y88" i="1"/>
  <c r="Z88" i="1"/>
  <c r="V90" i="1"/>
  <c r="X90" i="1"/>
  <c r="Y90" i="1"/>
  <c r="Z90" i="1"/>
  <c r="V89" i="1"/>
  <c r="X89" i="1"/>
  <c r="Y89" i="1"/>
  <c r="Z89" i="1"/>
  <c r="V91" i="1"/>
  <c r="X91" i="1"/>
  <c r="Y91" i="1"/>
  <c r="Z91" i="1"/>
  <c r="V92" i="1"/>
  <c r="X92" i="1"/>
  <c r="Y92" i="1"/>
  <c r="Z92" i="1"/>
  <c r="V93" i="1"/>
  <c r="X93" i="1"/>
  <c r="Y93" i="1"/>
  <c r="Z93" i="1"/>
  <c r="V94" i="1"/>
  <c r="X94" i="1"/>
  <c r="Y94" i="1"/>
  <c r="Z94" i="1"/>
  <c r="V95" i="1"/>
  <c r="X95" i="1"/>
  <c r="Y95" i="1"/>
  <c r="Z95" i="1"/>
  <c r="V96" i="1"/>
  <c r="X96" i="1"/>
  <c r="Y96" i="1"/>
  <c r="Z96" i="1"/>
  <c r="V100" i="1"/>
  <c r="Y100" i="1"/>
  <c r="Z100" i="1"/>
  <c r="V101" i="1"/>
  <c r="Y101" i="1"/>
  <c r="Z101" i="1"/>
  <c r="V102" i="1"/>
  <c r="Y102" i="1"/>
  <c r="Z102" i="1"/>
  <c r="V103" i="1"/>
  <c r="Y103" i="1"/>
  <c r="Z103" i="1"/>
  <c r="V104" i="1"/>
  <c r="X104" i="1"/>
  <c r="Y104" i="1"/>
  <c r="Z104" i="1"/>
  <c r="V106" i="1"/>
  <c r="X106" i="1"/>
  <c r="Y106" i="1"/>
  <c r="Z106" i="1"/>
  <c r="V107" i="1"/>
  <c r="X107" i="1"/>
  <c r="Y107" i="1"/>
  <c r="Z107" i="1"/>
  <c r="V108" i="1"/>
  <c r="X108" i="1"/>
  <c r="Y108" i="1"/>
  <c r="Z108" i="1"/>
  <c r="V109" i="1"/>
  <c r="X109" i="1"/>
  <c r="Y109" i="1"/>
  <c r="Z109" i="1"/>
  <c r="V110" i="1"/>
  <c r="X110" i="1"/>
  <c r="Y110" i="1"/>
  <c r="Z110" i="1"/>
  <c r="V111" i="1"/>
  <c r="X111" i="1"/>
  <c r="Y111" i="1"/>
  <c r="Z111" i="1"/>
  <c r="V112" i="1"/>
  <c r="Y112" i="1"/>
  <c r="Z112" i="1"/>
  <c r="V114" i="1"/>
  <c r="Y114" i="1"/>
  <c r="Z114" i="1"/>
  <c r="V113" i="1"/>
  <c r="Y113" i="1"/>
  <c r="Z113" i="1"/>
  <c r="V115" i="1"/>
  <c r="Y115" i="1"/>
  <c r="Z115" i="1"/>
  <c r="V116" i="1"/>
  <c r="X116" i="1"/>
  <c r="Y116" i="1"/>
  <c r="Z116" i="1"/>
  <c r="V117" i="1"/>
  <c r="X117" i="1"/>
  <c r="Y117" i="1"/>
  <c r="Z117" i="1"/>
  <c r="V118" i="1"/>
  <c r="X118" i="1"/>
  <c r="Y118" i="1"/>
  <c r="Z118" i="1"/>
  <c r="V119" i="1"/>
  <c r="P71" i="3" s="1"/>
  <c r="X119" i="1"/>
  <c r="Y119" i="1"/>
  <c r="Z119" i="1"/>
  <c r="V120" i="1"/>
  <c r="X120" i="1"/>
  <c r="Y120" i="1"/>
  <c r="Z120" i="1"/>
  <c r="V121" i="1"/>
  <c r="P72" i="3" s="1"/>
  <c r="X121" i="1"/>
  <c r="Y121" i="1"/>
  <c r="Z121" i="1"/>
  <c r="V122" i="1"/>
  <c r="Y122" i="1"/>
  <c r="Z122" i="1"/>
  <c r="V123" i="1"/>
  <c r="Y123" i="1"/>
  <c r="Z123" i="1"/>
  <c r="V125" i="1"/>
  <c r="Y125" i="1"/>
  <c r="Z125" i="1"/>
  <c r="V124" i="1"/>
  <c r="Y124" i="1"/>
  <c r="Z124" i="1"/>
  <c r="V126" i="1"/>
  <c r="X126" i="1"/>
  <c r="Y126" i="1"/>
  <c r="Z126" i="1"/>
  <c r="K117" i="1"/>
  <c r="L117" i="1"/>
  <c r="M117" i="1"/>
  <c r="N117" i="1" s="1"/>
  <c r="P25" i="3" l="1"/>
  <c r="U24" i="1"/>
  <c r="U18" i="1"/>
  <c r="U25" i="1"/>
  <c r="U89" i="1"/>
  <c r="U104" i="1"/>
  <c r="U111" i="1"/>
  <c r="U96" i="1"/>
  <c r="U85" i="1"/>
  <c r="U118" i="1"/>
  <c r="U80" i="1"/>
  <c r="S80" i="1" s="1"/>
  <c r="U59" i="1"/>
  <c r="S59" i="1" s="1"/>
  <c r="U41" i="1"/>
  <c r="S41" i="1" s="1"/>
  <c r="U90" i="1"/>
  <c r="S90" i="1" s="1"/>
  <c r="U110" i="1"/>
  <c r="S110" i="1" s="1"/>
  <c r="U83" i="1"/>
  <c r="S83" i="1" s="1"/>
  <c r="U35" i="1"/>
  <c r="S35" i="1" s="1"/>
  <c r="U116" i="1"/>
  <c r="S116" i="1" s="1"/>
  <c r="U82" i="1"/>
  <c r="S82" i="1" s="1"/>
  <c r="U40" i="1"/>
  <c r="S40" i="1" s="1"/>
  <c r="U117" i="1"/>
  <c r="S117" i="1" s="1"/>
  <c r="U103" i="1"/>
  <c r="S103" i="1" s="1"/>
  <c r="U95" i="1"/>
  <c r="S95" i="1" s="1"/>
  <c r="U109" i="1"/>
  <c r="S109" i="1" s="1"/>
  <c r="U102" i="1"/>
  <c r="S102" i="1" s="1"/>
  <c r="U94" i="1"/>
  <c r="S94" i="1" s="1"/>
  <c r="U88" i="1"/>
  <c r="S88" i="1" s="1"/>
  <c r="U60" i="1"/>
  <c r="S60" i="1" s="1"/>
  <c r="U51" i="1"/>
  <c r="S51" i="1" s="1"/>
  <c r="U33" i="1"/>
  <c r="S33" i="1" s="1"/>
  <c r="U29" i="1"/>
  <c r="S29" i="1" s="1"/>
  <c r="U113" i="1"/>
  <c r="S113" i="1" s="1"/>
  <c r="U50" i="1"/>
  <c r="S50" i="1" s="1"/>
  <c r="U126" i="1"/>
  <c r="S126" i="1" s="1"/>
  <c r="U55" i="1"/>
  <c r="S55" i="1" s="1"/>
  <c r="U119" i="1"/>
  <c r="S119" i="1" s="1"/>
  <c r="U106" i="1"/>
  <c r="S106" i="1" s="1"/>
  <c r="U84" i="1"/>
  <c r="S84" i="1" s="1"/>
  <c r="U77" i="1"/>
  <c r="S77" i="1" s="1"/>
  <c r="U70" i="1"/>
  <c r="U37" i="1"/>
  <c r="S37" i="1" s="1"/>
  <c r="U31" i="1"/>
  <c r="S31" i="1" s="1"/>
  <c r="U27" i="1"/>
  <c r="S27" i="1" s="1"/>
  <c r="U21" i="1"/>
  <c r="S21" i="1" s="1"/>
  <c r="U125" i="1"/>
  <c r="S125" i="1" s="1"/>
  <c r="U62" i="1"/>
  <c r="S62" i="1" s="1"/>
  <c r="U54" i="1"/>
  <c r="S54" i="1" s="1"/>
  <c r="U48" i="1"/>
  <c r="S48" i="1" s="1"/>
  <c r="U64" i="1"/>
  <c r="S64" i="1" s="1"/>
  <c r="U42" i="1"/>
  <c r="S42" i="1" s="1"/>
  <c r="U15" i="1"/>
  <c r="S15" i="1" s="1"/>
  <c r="U53" i="1"/>
  <c r="S53" i="1" s="1"/>
  <c r="U47" i="1"/>
  <c r="S47" i="1" s="1"/>
  <c r="U73" i="1"/>
  <c r="S73" i="1" s="1"/>
  <c r="U123" i="1"/>
  <c r="S123" i="1" s="1"/>
  <c r="U76" i="1"/>
  <c r="S76" i="1" s="1"/>
  <c r="U34" i="1"/>
  <c r="U114" i="1"/>
  <c r="S114" i="1" s="1"/>
  <c r="U122" i="1"/>
  <c r="S122" i="1" s="1"/>
  <c r="U68" i="1"/>
  <c r="S68" i="1" s="1"/>
  <c r="U61" i="1"/>
  <c r="S61" i="1" s="1"/>
  <c r="U86" i="1"/>
  <c r="S86" i="1" s="1"/>
  <c r="U26" i="1"/>
  <c r="S26" i="1" s="1"/>
  <c r="U19" i="1"/>
  <c r="S19" i="1" s="1"/>
  <c r="U115" i="1"/>
  <c r="S115" i="1" s="1"/>
  <c r="U108" i="1"/>
  <c r="S108" i="1" s="1"/>
  <c r="U87" i="1"/>
  <c r="S87" i="1" s="1"/>
  <c r="U63" i="1"/>
  <c r="S63" i="1" s="1"/>
  <c r="U36" i="1"/>
  <c r="S36" i="1" s="1"/>
  <c r="U30" i="1"/>
  <c r="S30" i="1" s="1"/>
  <c r="U75" i="1"/>
  <c r="S75" i="1" s="1"/>
  <c r="U52" i="1"/>
  <c r="S52" i="1" s="1"/>
  <c r="U46" i="1"/>
  <c r="S46" i="1" s="1"/>
  <c r="U101" i="1"/>
  <c r="S101" i="1" s="1"/>
  <c r="U66" i="1"/>
  <c r="S66" i="1" s="1"/>
  <c r="U39" i="1"/>
  <c r="S39" i="1" s="1"/>
  <c r="U23" i="1"/>
  <c r="S23" i="1" s="1"/>
  <c r="U56" i="1"/>
  <c r="S56" i="1" s="1"/>
  <c r="U72" i="1"/>
  <c r="S72" i="1" s="1"/>
  <c r="U43" i="1"/>
  <c r="S43" i="1" s="1"/>
  <c r="U32" i="1"/>
  <c r="S32" i="1" s="1"/>
  <c r="U16" i="1"/>
  <c r="S16" i="1" s="1"/>
  <c r="U124" i="1"/>
  <c r="S124" i="1" s="1"/>
  <c r="U91" i="1"/>
  <c r="S91" i="1" s="1"/>
  <c r="U112" i="1"/>
  <c r="S112" i="1" s="1"/>
  <c r="U121" i="1"/>
  <c r="S121" i="1" s="1"/>
  <c r="U93" i="1"/>
  <c r="S93" i="1" s="1"/>
  <c r="U81" i="1"/>
  <c r="S81" i="1" s="1"/>
  <c r="U44" i="1"/>
  <c r="S44" i="1" s="1"/>
  <c r="U17" i="1"/>
  <c r="S17" i="1" s="1"/>
  <c r="U78" i="1"/>
  <c r="S78" i="1" s="1"/>
  <c r="U28" i="1"/>
  <c r="S28" i="1" s="1"/>
  <c r="U67" i="1"/>
  <c r="S67" i="1" s="1"/>
  <c r="U120" i="1"/>
  <c r="S120" i="1" s="1"/>
  <c r="U107" i="1"/>
  <c r="S107" i="1" s="1"/>
  <c r="U92" i="1"/>
  <c r="S92" i="1" s="1"/>
  <c r="U38" i="1"/>
  <c r="S38" i="1" s="1"/>
  <c r="U22" i="1"/>
  <c r="S22" i="1" s="1"/>
  <c r="U71" i="1"/>
  <c r="U49" i="1"/>
  <c r="S49" i="1" s="1"/>
  <c r="U100" i="1"/>
  <c r="S100" i="1" s="1"/>
  <c r="U69" i="1"/>
  <c r="S69" i="1" s="1"/>
  <c r="U20" i="1"/>
  <c r="S20" i="1" s="1"/>
  <c r="U74" i="1"/>
  <c r="S74" i="1" s="1"/>
  <c r="P70" i="3"/>
  <c r="P55" i="3"/>
  <c r="S24" i="1"/>
  <c r="P61" i="3"/>
  <c r="P40" i="3"/>
  <c r="P30" i="3"/>
  <c r="S18" i="1"/>
  <c r="S118" i="1"/>
  <c r="S111" i="1"/>
  <c r="S104" i="1"/>
  <c r="S96" i="1"/>
  <c r="S89" i="1"/>
  <c r="S85" i="1"/>
  <c r="S25" i="1"/>
  <c r="S34" i="1"/>
  <c r="S45" i="1"/>
  <c r="P37" i="3"/>
  <c r="P14" i="3"/>
  <c r="P29" i="3"/>
  <c r="P58" i="3"/>
  <c r="P60" i="3"/>
  <c r="P50" i="3"/>
  <c r="P56" i="3"/>
  <c r="P17" i="3"/>
  <c r="P18" i="3"/>
  <c r="P68" i="3"/>
  <c r="P67" i="3"/>
  <c r="P44" i="3"/>
  <c r="P33" i="3"/>
  <c r="P38" i="3"/>
  <c r="P21" i="3"/>
  <c r="P64" i="3"/>
  <c r="P51" i="3"/>
  <c r="P10" i="3"/>
  <c r="P34" i="3"/>
  <c r="P65" i="3"/>
  <c r="P69" i="3"/>
  <c r="P28" i="3"/>
  <c r="P57" i="3"/>
  <c r="P27" i="3"/>
  <c r="P45" i="3"/>
  <c r="P59" i="3"/>
  <c r="P66" i="3"/>
  <c r="P22" i="3"/>
  <c r="P49" i="3"/>
  <c r="P42" i="3"/>
  <c r="P62" i="3"/>
  <c r="P63" i="3"/>
  <c r="P19" i="3"/>
  <c r="P20" i="3"/>
  <c r="P9" i="3"/>
  <c r="P53" i="3"/>
  <c r="P54" i="3"/>
  <c r="P52" i="3"/>
  <c r="P26" i="3"/>
  <c r="P31" i="3"/>
  <c r="P39" i="3"/>
  <c r="P24" i="3"/>
  <c r="P23" i="3"/>
  <c r="P48" i="3"/>
  <c r="P47" i="3"/>
  <c r="P46" i="3"/>
  <c r="P16" i="3"/>
  <c r="P15" i="3"/>
  <c r="P12" i="3"/>
  <c r="P13" i="3"/>
  <c r="P43" i="3"/>
  <c r="P35" i="3"/>
  <c r="P7" i="3"/>
  <c r="U14" i="1"/>
  <c r="S14" i="1" s="1"/>
  <c r="P8" i="3"/>
  <c r="P11" i="3"/>
  <c r="AA29" i="1"/>
  <c r="W29" i="1" s="1"/>
  <c r="AA14" i="1"/>
  <c r="W14" i="1" s="1"/>
  <c r="AA52" i="1"/>
  <c r="W52" i="1" s="1"/>
  <c r="AA39" i="1"/>
  <c r="W39" i="1" s="1"/>
  <c r="AA20" i="1"/>
  <c r="W20" i="1" s="1"/>
  <c r="AA16" i="1"/>
  <c r="W16" i="1" s="1"/>
  <c r="AA26" i="1"/>
  <c r="W26" i="1" s="1"/>
  <c r="AA41" i="1"/>
  <c r="W41" i="1" s="1"/>
  <c r="AA108" i="1"/>
  <c r="W108" i="1" s="1"/>
  <c r="AA54" i="1"/>
  <c r="W54" i="1" s="1"/>
  <c r="AA112" i="1"/>
  <c r="W112" i="1" s="1"/>
  <c r="AA87" i="1"/>
  <c r="W87" i="1" s="1"/>
  <c r="AA35" i="1"/>
  <c r="W35" i="1" s="1"/>
  <c r="AA63" i="1"/>
  <c r="W63" i="1" s="1"/>
  <c r="AA102" i="1"/>
  <c r="W102" i="1" s="1"/>
  <c r="AA78" i="1"/>
  <c r="W78" i="1" s="1"/>
  <c r="AA36" i="1"/>
  <c r="W36" i="1" s="1"/>
  <c r="AA76" i="1"/>
  <c r="W76" i="1" s="1"/>
  <c r="AA25" i="1"/>
  <c r="W25" i="1" s="1"/>
  <c r="AA92" i="1"/>
  <c r="W92" i="1" s="1"/>
  <c r="AA15" i="1"/>
  <c r="W15" i="1" s="1"/>
  <c r="AA23" i="1"/>
  <c r="W23" i="1" s="1"/>
  <c r="AA111" i="1"/>
  <c r="W111" i="1" s="1"/>
  <c r="AA89" i="1"/>
  <c r="W89" i="1" s="1"/>
  <c r="AA73" i="1"/>
  <c r="W73" i="1" s="1"/>
  <c r="AA30" i="1"/>
  <c r="W30" i="1" s="1"/>
  <c r="AA44" i="1"/>
  <c r="W44" i="1" s="1"/>
  <c r="AA64" i="1"/>
  <c r="W64" i="1" s="1"/>
  <c r="AA107" i="1"/>
  <c r="W107" i="1" s="1"/>
  <c r="AA59" i="1"/>
  <c r="W59" i="1" s="1"/>
  <c r="AA120" i="1"/>
  <c r="W120" i="1" s="1"/>
  <c r="AA43" i="1"/>
  <c r="W43" i="1" s="1"/>
  <c r="AA119" i="1"/>
  <c r="W119" i="1" s="1"/>
  <c r="AA56" i="1"/>
  <c r="W56" i="1" s="1"/>
  <c r="AA101" i="1"/>
  <c r="W101" i="1" s="1"/>
  <c r="AA126" i="1"/>
  <c r="W126" i="1" s="1"/>
  <c r="AA90" i="1"/>
  <c r="W90" i="1" s="1"/>
  <c r="AA93" i="1"/>
  <c r="W93" i="1" s="1"/>
  <c r="AA28" i="1"/>
  <c r="W28" i="1" s="1"/>
  <c r="AA47" i="1"/>
  <c r="W47" i="1" s="1"/>
  <c r="AA125" i="1"/>
  <c r="W125" i="1" s="1"/>
  <c r="AA122" i="1"/>
  <c r="W122" i="1" s="1"/>
  <c r="AA86" i="1"/>
  <c r="W86" i="1" s="1"/>
  <c r="AA31" i="1"/>
  <c r="W31" i="1" s="1"/>
  <c r="AA19" i="1"/>
  <c r="W19" i="1" s="1"/>
  <c r="AA84" i="1"/>
  <c r="W84" i="1" s="1"/>
  <c r="AA68" i="1"/>
  <c r="W68" i="1" s="1"/>
  <c r="AA100" i="1"/>
  <c r="W100" i="1" s="1"/>
  <c r="AA80" i="1"/>
  <c r="W80" i="1" s="1"/>
  <c r="AA103" i="1"/>
  <c r="W103" i="1" s="1"/>
  <c r="AA85" i="1"/>
  <c r="W85" i="1" s="1"/>
  <c r="AA51" i="1"/>
  <c r="W51" i="1" s="1"/>
  <c r="AA114" i="1"/>
  <c r="W114" i="1" s="1"/>
  <c r="AA61" i="1"/>
  <c r="W61" i="1" s="1"/>
  <c r="AA55" i="1"/>
  <c r="W55" i="1" s="1"/>
  <c r="AA124" i="1"/>
  <c r="W124" i="1" s="1"/>
  <c r="AA113" i="1"/>
  <c r="W113" i="1" s="1"/>
  <c r="AA95" i="1"/>
  <c r="W95" i="1" s="1"/>
  <c r="AA94" i="1"/>
  <c r="W94" i="1" s="1"/>
  <c r="AA81" i="1"/>
  <c r="W81" i="1" s="1"/>
  <c r="AA109" i="1"/>
  <c r="W109" i="1" s="1"/>
  <c r="AA91" i="1"/>
  <c r="W91" i="1" s="1"/>
  <c r="AA117" i="1"/>
  <c r="W117" i="1" s="1"/>
  <c r="AA67" i="1"/>
  <c r="W67" i="1" s="1"/>
  <c r="AA82" i="1"/>
  <c r="W82" i="1" s="1"/>
  <c r="AA88" i="1"/>
  <c r="W88" i="1" s="1"/>
  <c r="AA116" i="1"/>
  <c r="W116" i="1" s="1"/>
  <c r="AA96" i="1"/>
  <c r="W96" i="1" s="1"/>
  <c r="AA48" i="1"/>
  <c r="W48" i="1" s="1"/>
  <c r="AA18" i="1"/>
  <c r="W18" i="1" s="1"/>
  <c r="AA83" i="1"/>
  <c r="W83" i="1" s="1"/>
  <c r="AA27" i="1"/>
  <c r="W27" i="1" s="1"/>
  <c r="AA22" i="1"/>
  <c r="W22" i="1" s="1"/>
  <c r="AA71" i="1"/>
  <c r="W71" i="1" s="1"/>
  <c r="AA106" i="1"/>
  <c r="W106" i="1" s="1"/>
  <c r="AA110" i="1"/>
  <c r="W110" i="1" s="1"/>
  <c r="AA50" i="1"/>
  <c r="W50" i="1" s="1"/>
  <c r="AA42" i="1"/>
  <c r="W42" i="1" s="1"/>
  <c r="AA49" i="1"/>
  <c r="W49" i="1" s="1"/>
  <c r="AA74" i="1"/>
  <c r="W74" i="1" s="1"/>
  <c r="AA69" i="1"/>
  <c r="W69" i="1" s="1"/>
  <c r="AA53" i="1"/>
  <c r="W53" i="1" s="1"/>
  <c r="AA118" i="1"/>
  <c r="W118" i="1" s="1"/>
  <c r="AA33" i="1"/>
  <c r="W33" i="1" s="1"/>
  <c r="AA115" i="1"/>
  <c r="W115" i="1" s="1"/>
  <c r="AA75" i="1"/>
  <c r="W75" i="1" s="1"/>
  <c r="AA38" i="1"/>
  <c r="W38" i="1" s="1"/>
  <c r="AA104" i="1"/>
  <c r="W104" i="1" s="1"/>
  <c r="AA77" i="1"/>
  <c r="W77" i="1" s="1"/>
  <c r="AA70" i="1"/>
  <c r="W70" i="1" s="1"/>
  <c r="AA37" i="1"/>
  <c r="W37" i="1" s="1"/>
  <c r="AA121" i="1"/>
  <c r="W121" i="1" s="1"/>
  <c r="AA32" i="1"/>
  <c r="W32" i="1" s="1"/>
  <c r="AA40" i="1"/>
  <c r="W40" i="1" s="1"/>
  <c r="AA21" i="1"/>
  <c r="W21" i="1" s="1"/>
  <c r="AA24" i="1"/>
  <c r="W24" i="1" s="1"/>
  <c r="AA123" i="1"/>
  <c r="W123" i="1" s="1"/>
  <c r="AA60" i="1"/>
  <c r="W60" i="1" s="1"/>
  <c r="AA46" i="1"/>
  <c r="W46" i="1" s="1"/>
  <c r="AA72" i="1"/>
  <c r="W72" i="1" s="1"/>
  <c r="AA66" i="1"/>
  <c r="W66" i="1" s="1"/>
  <c r="AA62" i="1"/>
  <c r="W62" i="1" s="1"/>
  <c r="AA45" i="1"/>
  <c r="W45" i="1" s="1"/>
  <c r="AA34" i="1"/>
  <c r="W34" i="1" s="1"/>
  <c r="AA17" i="1"/>
  <c r="W17" i="1" s="1"/>
  <c r="K13" i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P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4" i="1"/>
  <c r="L34" i="1"/>
  <c r="M34" i="1"/>
  <c r="N34" i="1" s="1"/>
  <c r="K33" i="1"/>
  <c r="L33" i="1"/>
  <c r="M33" i="1"/>
  <c r="N33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1" i="1"/>
  <c r="L41" i="1"/>
  <c r="M41" i="1"/>
  <c r="P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9" i="1"/>
  <c r="L59" i="1"/>
  <c r="M59" i="1"/>
  <c r="N59" i="1" s="1"/>
  <c r="K60" i="1"/>
  <c r="L60" i="1"/>
  <c r="M60" i="1"/>
  <c r="N60" i="1" s="1"/>
  <c r="K61" i="1"/>
  <c r="L61" i="1"/>
  <c r="M61" i="1"/>
  <c r="P61" i="1" s="1"/>
  <c r="K62" i="1"/>
  <c r="L62" i="1"/>
  <c r="M62" i="1"/>
  <c r="N62" i="1" s="1"/>
  <c r="K63" i="1"/>
  <c r="L63" i="1"/>
  <c r="M63" i="1"/>
  <c r="P63" i="1" s="1"/>
  <c r="K64" i="1"/>
  <c r="L64" i="1"/>
  <c r="M64" i="1"/>
  <c r="N64" i="1" s="1"/>
  <c r="K66" i="1"/>
  <c r="L66" i="1"/>
  <c r="M66" i="1"/>
  <c r="N66" i="1" s="1"/>
  <c r="K68" i="1"/>
  <c r="L68" i="1"/>
  <c r="M68" i="1"/>
  <c r="N68" i="1" s="1"/>
  <c r="K69" i="1"/>
  <c r="L69" i="1"/>
  <c r="M69" i="1"/>
  <c r="N69" i="1" s="1"/>
  <c r="K70" i="1"/>
  <c r="L70" i="1"/>
  <c r="M70" i="1"/>
  <c r="K71" i="1"/>
  <c r="L71" i="1"/>
  <c r="M71" i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81" i="1"/>
  <c r="L81" i="1"/>
  <c r="M81" i="1"/>
  <c r="N81" i="1" s="1"/>
  <c r="K80" i="1"/>
  <c r="L80" i="1"/>
  <c r="M80" i="1"/>
  <c r="N80" i="1" s="1"/>
  <c r="K82" i="1"/>
  <c r="L82" i="1"/>
  <c r="M82" i="1"/>
  <c r="N82" i="1" s="1"/>
  <c r="K83" i="1"/>
  <c r="L83" i="1"/>
  <c r="M83" i="1"/>
  <c r="N83" i="1" s="1"/>
  <c r="K85" i="1"/>
  <c r="L85" i="1"/>
  <c r="M85" i="1"/>
  <c r="N85" i="1" s="1"/>
  <c r="K84" i="1"/>
  <c r="L84" i="1"/>
  <c r="M84" i="1"/>
  <c r="N84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90" i="1"/>
  <c r="L90" i="1"/>
  <c r="M90" i="1"/>
  <c r="P90" i="1" s="1"/>
  <c r="K89" i="1"/>
  <c r="L89" i="1"/>
  <c r="M89" i="1"/>
  <c r="N89" i="1" s="1"/>
  <c r="K91" i="1"/>
  <c r="L91" i="1"/>
  <c r="M91" i="1"/>
  <c r="N91" i="1" s="1"/>
  <c r="K93" i="1"/>
  <c r="L93" i="1"/>
  <c r="M93" i="1"/>
  <c r="N93" i="1" s="1"/>
  <c r="K92" i="1"/>
  <c r="L92" i="1"/>
  <c r="M92" i="1"/>
  <c r="N92" i="1" s="1"/>
  <c r="K95" i="1"/>
  <c r="L95" i="1"/>
  <c r="M95" i="1"/>
  <c r="N95" i="1" s="1"/>
  <c r="K94" i="1"/>
  <c r="L94" i="1"/>
  <c r="M94" i="1"/>
  <c r="N94" i="1" s="1"/>
  <c r="K97" i="1"/>
  <c r="L97" i="1"/>
  <c r="M97" i="1"/>
  <c r="N97" i="1" s="1"/>
  <c r="K96" i="1"/>
  <c r="L96" i="1"/>
  <c r="M96" i="1"/>
  <c r="N96" i="1" s="1"/>
  <c r="K99" i="1"/>
  <c r="L99" i="1"/>
  <c r="M99" i="1"/>
  <c r="N99" i="1" s="1"/>
  <c r="K101" i="1"/>
  <c r="L101" i="1"/>
  <c r="M101" i="1"/>
  <c r="N101" i="1" s="1"/>
  <c r="K100" i="1"/>
  <c r="L100" i="1"/>
  <c r="M100" i="1"/>
  <c r="N100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6" i="1"/>
  <c r="L106" i="1"/>
  <c r="M106" i="1"/>
  <c r="N106" i="1" s="1"/>
  <c r="K108" i="1"/>
  <c r="L108" i="1"/>
  <c r="M108" i="1"/>
  <c r="N108" i="1" s="1"/>
  <c r="K107" i="1"/>
  <c r="L107" i="1"/>
  <c r="M107" i="1"/>
  <c r="N107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4" i="1"/>
  <c r="L114" i="1"/>
  <c r="M114" i="1"/>
  <c r="N114" i="1" s="1"/>
  <c r="K113" i="1"/>
  <c r="L113" i="1"/>
  <c r="M113" i="1"/>
  <c r="N113" i="1" s="1"/>
  <c r="K115" i="1"/>
  <c r="L115" i="1"/>
  <c r="M115" i="1"/>
  <c r="N115" i="1" s="1"/>
  <c r="K116" i="1"/>
  <c r="L116" i="1"/>
  <c r="M116" i="1"/>
  <c r="N116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P122" i="1" s="1"/>
  <c r="K125" i="1"/>
  <c r="L125" i="1"/>
  <c r="M125" i="1"/>
  <c r="N125" i="1" s="1"/>
  <c r="K123" i="1"/>
  <c r="L123" i="1"/>
  <c r="M123" i="1"/>
  <c r="N123" i="1" s="1"/>
  <c r="K124" i="1"/>
  <c r="L124" i="1"/>
  <c r="M124" i="1"/>
  <c r="N124" i="1" s="1"/>
  <c r="K126" i="1"/>
  <c r="L126" i="1"/>
  <c r="M126" i="1"/>
  <c r="N126" i="1" s="1"/>
  <c r="K127" i="1"/>
  <c r="L127" i="1"/>
  <c r="M127" i="1"/>
  <c r="N127" i="1" s="1"/>
  <c r="K129" i="1"/>
  <c r="L129" i="1"/>
  <c r="M129" i="1"/>
  <c r="N129" i="1" s="1"/>
  <c r="J4" i="1" l="1"/>
  <c r="P70" i="1"/>
  <c r="O5" i="1"/>
  <c r="J8" i="1"/>
  <c r="N8" i="1"/>
  <c r="N5" i="1"/>
  <c r="J5" i="1"/>
  <c r="O8" i="1"/>
  <c r="M5" i="1"/>
  <c r="M8" i="1"/>
  <c r="J7" i="1"/>
  <c r="X13" i="1"/>
  <c r="J9" i="1" l="1"/>
  <c r="V13" i="1"/>
  <c r="Y13" i="1"/>
  <c r="Z13" i="1"/>
  <c r="P32" i="3" l="1"/>
  <c r="P36" i="3"/>
  <c r="P41" i="3"/>
  <c r="U13" i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<sst xmlns="http://schemas.openxmlformats.org/spreadsheetml/2006/main" count="2041" uniqueCount="523">
  <si>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</si>
  <si>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</si>
  <si>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</si>
  <si>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</si>
  <si>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</si>
  <si>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</si>
  <si>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</si>
  <si>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</si>
  <si>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</si>
  <si>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</si>
  <si>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</si>
  <si>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</si>
  <si>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</si>
  <si>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</si>
  <si>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</si>
  <si>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</si>
  <si>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</si>
  <si>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</si>
  <si>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</si>
  <si>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</si>
  <si>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</si>
  <si>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</si>
  <si>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</si>
  <si>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</si>
  <si>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</si>
  <si>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</si>
  <si>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</si>
  <si>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</si>
  <si>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</si>
  <si>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</si>
  <si>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</si>
  <si>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</si>
  <si>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</si>
  <si>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</si>
  <si>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</si>
  <si>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</si>
  <si>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</si>
  <si>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</si>
  <si>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</si>
  <si>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</si>
  <si>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</si>
  <si>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</si>
  <si>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</si>
  <si>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</si>
  <si>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</si>
  <si>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</si>
  <si>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</si>
  <si>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</si>
  <si>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</si>
  <si>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</si>
  <si>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</si>
  <si>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</si>
  <si>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</si>
  <si>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</si>
  <si>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</si>
  <si>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</si>
  <si>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</si>
  <si>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</si>
  <si>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</si>
  <si>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</si>
  <si>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</si>
  <si>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</si>
  <si>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</si>
  <si>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</si>
  <si>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</si>
  <si>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</si>
  <si>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</si>
  <si>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</si>
  <si>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</si>
  <si>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</si>
  <si>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</si>
  <si>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</si>
  <si>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</si>
  <si>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</si>
  <si>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</si>
  <si>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</si>
  <si>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</si>
  <si>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</si>
  <si>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</si>
  <si>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</si>
  <si>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</si>
  <si>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204:453</t>
  </si>
  <si>
    <t>204:232978</t>
  </si>
  <si>
    <t>204:154</t>
  </si>
  <si>
    <t>204:233304</t>
  </si>
  <si>
    <t>rtdc.l.rtdc.4019:itc</t>
  </si>
  <si>
    <t>rtdc.l.rtdc.4020:itc</t>
  </si>
  <si>
    <t>204:458</t>
  </si>
  <si>
    <t>rtdc.l.rtdc.4018:itc</t>
  </si>
  <si>
    <t>rtdc.l.rtdc.4017:itc</t>
  </si>
  <si>
    <t>YOUNG</t>
  </si>
  <si>
    <t>204:233315</t>
  </si>
  <si>
    <t>204:232975</t>
  </si>
  <si>
    <t>204:464</t>
  </si>
  <si>
    <t>STORY</t>
  </si>
  <si>
    <t>rtdc.l.rtdc.4008:itc</t>
  </si>
  <si>
    <t>rtdc.l.rtdc.4030:itc</t>
  </si>
  <si>
    <t>rtdc.l.rtdc.4007:itc</t>
  </si>
  <si>
    <t>rtdc.l.rtdc.4031:itc</t>
  </si>
  <si>
    <t>ROCHA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</si>
  <si>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</si>
  <si>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</si>
  <si>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</si>
  <si>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</si>
  <si>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</si>
  <si>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</si>
  <si>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</si>
  <si>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</si>
  <si>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</si>
  <si>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</si>
  <si>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</si>
  <si>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204:233309</t>
  </si>
  <si>
    <t>204:233297</t>
  </si>
  <si>
    <t>rtdc.l.rtdc.4041:itc</t>
  </si>
  <si>
    <t>rtdc.l.rtdc.4042:itc</t>
  </si>
  <si>
    <t>204:232998</t>
  </si>
  <si>
    <t>204:170</t>
  </si>
  <si>
    <t>204:163</t>
  </si>
  <si>
    <t>204:469</t>
  </si>
  <si>
    <t>204:233291</t>
  </si>
  <si>
    <t>204:139</t>
  </si>
  <si>
    <t>MAELZER</t>
  </si>
  <si>
    <t>204:455</t>
  </si>
  <si>
    <t>204:467</t>
  </si>
  <si>
    <t>Recorded Loco</t>
  </si>
  <si>
    <t>Recorded time</t>
  </si>
  <si>
    <t>COOLAHAN</t>
  </si>
  <si>
    <t>204:233314</t>
  </si>
  <si>
    <t>204:233310</t>
  </si>
  <si>
    <t>204:233307</t>
  </si>
  <si>
    <t>204:150</t>
  </si>
  <si>
    <t>204:232986</t>
  </si>
  <si>
    <t>204:232983</t>
  </si>
  <si>
    <t>204:431</t>
  </si>
  <si>
    <t>204:167</t>
  </si>
  <si>
    <t>204:233301</t>
  </si>
  <si>
    <t>Xing Completion Percentage</t>
  </si>
  <si>
    <t>204:233278</t>
  </si>
  <si>
    <t>MOSES</t>
  </si>
  <si>
    <t>DE LA ROSA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</si>
  <si>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</si>
  <si>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</si>
  <si>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</si>
  <si>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</si>
  <si>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</si>
  <si>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</si>
  <si>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</si>
  <si>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</si>
  <si>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</si>
  <si>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</si>
  <si>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</si>
  <si>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</si>
  <si>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</si>
  <si>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</si>
  <si>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</si>
  <si>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</si>
  <si>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</si>
  <si>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</si>
  <si>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</si>
  <si>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</si>
  <si>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204:232989</t>
  </si>
  <si>
    <t>204:233274</t>
  </si>
  <si>
    <t>204:232967</t>
  </si>
  <si>
    <t>204:484</t>
  </si>
  <si>
    <t>204:446</t>
  </si>
  <si>
    <t>204:233288</t>
  </si>
  <si>
    <t>204:442</t>
  </si>
  <si>
    <t>204:134</t>
  </si>
  <si>
    <t>204:473</t>
  </si>
  <si>
    <t>204:232988</t>
  </si>
  <si>
    <t>204:482</t>
  </si>
  <si>
    <t>rtdc.l.rtdc.4028:itc</t>
  </si>
  <si>
    <t>DAVIS</t>
  </si>
  <si>
    <t>KILLION</t>
  </si>
  <si>
    <t>STARKS</t>
  </si>
  <si>
    <t>ADANE</t>
  </si>
  <si>
    <t>rtdc.l.rtdc.4027:itc</t>
  </si>
  <si>
    <t>SWITCH UNKNOWN</t>
  </si>
  <si>
    <t>Track device (7)</t>
  </si>
  <si>
    <t>Y</t>
  </si>
  <si>
    <t>N</t>
  </si>
  <si>
    <t>Comms</t>
  </si>
  <si>
    <t>Dispatcher Error</t>
  </si>
  <si>
    <t>Possible System Enforcement</t>
  </si>
  <si>
    <t>Training enforcement</t>
  </si>
  <si>
    <t>204:435</t>
  </si>
  <si>
    <t>204:130</t>
  </si>
  <si>
    <t>204:233263</t>
  </si>
  <si>
    <t>204:125</t>
  </si>
  <si>
    <t>204:233305</t>
  </si>
  <si>
    <t>204:233298</t>
  </si>
  <si>
    <t>204:233003</t>
  </si>
  <si>
    <t>204:232960</t>
  </si>
  <si>
    <t>204:466</t>
  </si>
  <si>
    <t>204:471</t>
  </si>
  <si>
    <t>204:232974</t>
  </si>
  <si>
    <t>204:165</t>
  </si>
  <si>
    <t>204:233320</t>
  </si>
  <si>
    <t>204:143</t>
  </si>
  <si>
    <t>204:233324</t>
  </si>
  <si>
    <t>204:232980</t>
  </si>
  <si>
    <t>204:233317</t>
  </si>
  <si>
    <t>204:233302</t>
  </si>
  <si>
    <t>204:233351</t>
  </si>
  <si>
    <t>204:233006</t>
  </si>
  <si>
    <t>204:233282</t>
  </si>
  <si>
    <t>204:233034</t>
  </si>
  <si>
    <t>204:233280</t>
  </si>
  <si>
    <t>204:232962</t>
  </si>
  <si>
    <t>204:475</t>
  </si>
  <si>
    <t>204:493</t>
  </si>
  <si>
    <t>204:232992</t>
  </si>
  <si>
    <t>rtdc.l.rtdc.4039:itc</t>
  </si>
  <si>
    <t>rtdc.l.rtdc.4055:itc</t>
  </si>
  <si>
    <t>rtdc.l.rtdc.4056:itc</t>
  </si>
  <si>
    <t>rtdc.l.rtdc.4010:itc</t>
  </si>
  <si>
    <t>rtdc.l.rtdc.4009:itc</t>
  </si>
  <si>
    <t>rtdc.l.rtdc.4040:itc</t>
  </si>
  <si>
    <t>MAYBERRY</t>
  </si>
  <si>
    <t>SANTIZO</t>
  </si>
  <si>
    <t>STEWART</t>
  </si>
  <si>
    <t>STRICKLAND</t>
  </si>
  <si>
    <t>YORK</t>
  </si>
  <si>
    <t>Onboard In-Route Failure</t>
  </si>
  <si>
    <t>101-23</t>
  </si>
  <si>
    <t>rtdc.l.rtdc.4014:itc</t>
  </si>
  <si>
    <t>103-23</t>
  </si>
  <si>
    <t>102-23</t>
  </si>
  <si>
    <t>901-23</t>
  </si>
  <si>
    <t>104-23</t>
  </si>
  <si>
    <t>111-23</t>
  </si>
  <si>
    <t>801-23</t>
  </si>
  <si>
    <t>117-23</t>
  </si>
  <si>
    <t>114-23</t>
  </si>
  <si>
    <t>121-23</t>
  </si>
  <si>
    <t>118-23</t>
  </si>
  <si>
    <t>807-23</t>
  </si>
  <si>
    <t>131-23</t>
  </si>
  <si>
    <t>122-23</t>
  </si>
  <si>
    <t>809-23</t>
  </si>
  <si>
    <t>810-23</t>
  </si>
  <si>
    <t>134-23</t>
  </si>
  <si>
    <t>132-23</t>
  </si>
  <si>
    <t>139-23</t>
  </si>
  <si>
    <t>138-23</t>
  </si>
  <si>
    <t>813-23</t>
  </si>
  <si>
    <t>136-23</t>
  </si>
  <si>
    <t>143-23</t>
  </si>
  <si>
    <t>146-23</t>
  </si>
  <si>
    <t>817-23</t>
  </si>
  <si>
    <t>159-23</t>
  </si>
  <si>
    <t>156-23</t>
  </si>
  <si>
    <t>163-23</t>
  </si>
  <si>
    <t>819-23</t>
  </si>
  <si>
    <t>160-23</t>
  </si>
  <si>
    <t>820-23</t>
  </si>
  <si>
    <t>171-23</t>
  </si>
  <si>
    <t>177-23</t>
  </si>
  <si>
    <t>rtdc.l.rtdc.4037:itc</t>
  </si>
  <si>
    <t>170-23</t>
  </si>
  <si>
    <t>174-23</t>
  </si>
  <si>
    <t>172-23</t>
  </si>
  <si>
    <t>rtdc.l.rtdc.4013:itc</t>
  </si>
  <si>
    <t>178-23</t>
  </si>
  <si>
    <t>rtdc.l.rtdc.4038:itc</t>
  </si>
  <si>
    <t>183-23</t>
  </si>
  <si>
    <t>180-23</t>
  </si>
  <si>
    <t>187-23</t>
  </si>
  <si>
    <t>182-23</t>
  </si>
  <si>
    <t>191-23</t>
  </si>
  <si>
    <t>826-23</t>
  </si>
  <si>
    <t>186-23</t>
  </si>
  <si>
    <t>827-23</t>
  </si>
  <si>
    <t>190-23</t>
  </si>
  <si>
    <t>195-23</t>
  </si>
  <si>
    <t>188-23</t>
  </si>
  <si>
    <t>828-23</t>
  </si>
  <si>
    <t>203-23</t>
  </si>
  <si>
    <t>192-23</t>
  </si>
  <si>
    <t>194-23</t>
  </si>
  <si>
    <t>201-23</t>
  </si>
  <si>
    <t>831-23</t>
  </si>
  <si>
    <t>830-23</t>
  </si>
  <si>
    <t>832-23</t>
  </si>
  <si>
    <t>833-23</t>
  </si>
  <si>
    <t>211-23</t>
  </si>
  <si>
    <t>834-23</t>
  </si>
  <si>
    <t>835-23</t>
  </si>
  <si>
    <t>213-23</t>
  </si>
  <si>
    <t>836-23</t>
  </si>
  <si>
    <t>837-23</t>
  </si>
  <si>
    <t>838-23</t>
  </si>
  <si>
    <t>839-23</t>
  </si>
  <si>
    <t>216-23</t>
  </si>
  <si>
    <t>220-23</t>
  </si>
  <si>
    <t>843-23</t>
  </si>
  <si>
    <t>222-23</t>
  </si>
  <si>
    <t>224-23</t>
  </si>
  <si>
    <t>228-23</t>
  </si>
  <si>
    <t>845-23</t>
  </si>
  <si>
    <t>844-23</t>
  </si>
  <si>
    <t>847-23</t>
  </si>
  <si>
    <t>908-23</t>
  </si>
  <si>
    <t>243-23</t>
  </si>
  <si>
    <t>CANFIELD</t>
  </si>
  <si>
    <t>818-23</t>
  </si>
  <si>
    <t>NELSON</t>
  </si>
  <si>
    <t>164-23</t>
  </si>
  <si>
    <t>158-23</t>
  </si>
  <si>
    <t>175-23</t>
  </si>
  <si>
    <t>176-23</t>
  </si>
  <si>
    <t>161-23</t>
  </si>
  <si>
    <t>829-23</t>
  </si>
  <si>
    <t>MALAVE</t>
  </si>
  <si>
    <t>150-23</t>
  </si>
  <si>
    <t>198-23</t>
  </si>
  <si>
    <t>149-23</t>
  </si>
  <si>
    <t>209-23</t>
  </si>
  <si>
    <t>BRUDER</t>
  </si>
  <si>
    <t>147-23</t>
  </si>
  <si>
    <t>208-23</t>
  </si>
  <si>
    <t>215-23</t>
  </si>
  <si>
    <t>135-23</t>
  </si>
  <si>
    <t>217-23</t>
  </si>
  <si>
    <t>BEAM</t>
  </si>
  <si>
    <t>106-23</t>
  </si>
  <si>
    <t>231-23</t>
  </si>
  <si>
    <t>129-23</t>
  </si>
  <si>
    <t>234-23</t>
  </si>
  <si>
    <t>124-23</t>
  </si>
  <si>
    <t>107-23</t>
  </si>
  <si>
    <t>120-23</t>
  </si>
  <si>
    <t>800-23</t>
  </si>
  <si>
    <t>210-23</t>
  </si>
  <si>
    <t>125-23</t>
  </si>
  <si>
    <t>804-23</t>
  </si>
  <si>
    <t>803-23</t>
  </si>
  <si>
    <t>242-23</t>
  </si>
  <si>
    <t>806-23</t>
  </si>
  <si>
    <t>179-23</t>
  </si>
  <si>
    <t>113-23</t>
  </si>
  <si>
    <t>153-23</t>
  </si>
  <si>
    <t>226-23</t>
  </si>
  <si>
    <t>814-23</t>
  </si>
  <si>
    <t>842-23</t>
  </si>
  <si>
    <t>166-23</t>
  </si>
  <si>
    <t>BARTELL</t>
  </si>
  <si>
    <t>823-23</t>
  </si>
  <si>
    <t>207-23</t>
  </si>
  <si>
    <t>225-23</t>
  </si>
  <si>
    <t>232-23</t>
  </si>
  <si>
    <t>230-23</t>
  </si>
  <si>
    <t>206-23</t>
  </si>
  <si>
    <t>141-23</t>
  </si>
  <si>
    <t>244-23</t>
  </si>
  <si>
    <t>145-23</t>
  </si>
  <si>
    <t>165-23</t>
  </si>
  <si>
    <t>142-23</t>
  </si>
  <si>
    <t>185-23</t>
  </si>
  <si>
    <t>238-23</t>
  </si>
  <si>
    <t>184-23</t>
  </si>
  <si>
    <t>227-23</t>
  </si>
  <si>
    <t>200-23</t>
  </si>
  <si>
    <t>229-23</t>
  </si>
  <si>
    <t>202-23</t>
  </si>
  <si>
    <t>GOODNIGHT-23</t>
  </si>
  <si>
    <t>233-23</t>
  </si>
  <si>
    <t>205-23</t>
  </si>
  <si>
    <t>144-23</t>
  </si>
  <si>
    <t>193-23</t>
  </si>
  <si>
    <t>815-23</t>
  </si>
  <si>
    <t>189-23</t>
  </si>
  <si>
    <t>128-23</t>
  </si>
  <si>
    <t>108-23</t>
  </si>
  <si>
    <t>126-23</t>
  </si>
  <si>
    <t>841-23</t>
  </si>
  <si>
    <t>105-23</t>
  </si>
  <si>
    <t>812-23</t>
  </si>
  <si>
    <t>154-23</t>
  </si>
  <si>
    <t>115-23</t>
  </si>
  <si>
    <t>821-23</t>
  </si>
  <si>
    <t>112-23</t>
  </si>
  <si>
    <t>197-23</t>
  </si>
  <si>
    <t>133-23</t>
  </si>
  <si>
    <t>241-23</t>
  </si>
  <si>
    <t>239-23</t>
  </si>
  <si>
    <t>110-23</t>
  </si>
  <si>
    <t>116-23</t>
  </si>
  <si>
    <t>218-23</t>
  </si>
  <si>
    <t>236-23</t>
  </si>
  <si>
    <t>119-23</t>
  </si>
  <si>
    <t>840-23</t>
  </si>
  <si>
    <t>219-23</t>
  </si>
  <si>
    <t>123-23</t>
  </si>
  <si>
    <t>148-23</t>
  </si>
  <si>
    <t>196-23</t>
  </si>
  <si>
    <t>109-23</t>
  </si>
  <si>
    <t>805-23</t>
  </si>
  <si>
    <t>824-23</t>
  </si>
  <si>
    <t>240-23</t>
  </si>
  <si>
    <t>903-23</t>
  </si>
  <si>
    <t>140-23</t>
  </si>
  <si>
    <t>221-23</t>
  </si>
  <si>
    <t>214-23</t>
  </si>
  <si>
    <t>155-23</t>
  </si>
  <si>
    <t>816-23</t>
  </si>
  <si>
    <t>152-23</t>
  </si>
  <si>
    <t>162-23</t>
  </si>
  <si>
    <t>157-23</t>
  </si>
  <si>
    <t>137-23</t>
  </si>
  <si>
    <t>802-23</t>
  </si>
  <si>
    <t>199-23</t>
  </si>
  <si>
    <t>808-23</t>
  </si>
  <si>
    <t>204-23</t>
  </si>
  <si>
    <t>169-23</t>
  </si>
  <si>
    <t>151-23</t>
  </si>
  <si>
    <t>127-23</t>
  </si>
  <si>
    <t>181-23</t>
  </si>
  <si>
    <t>906-23</t>
  </si>
  <si>
    <t>822-23</t>
  </si>
  <si>
    <t>223-23</t>
  </si>
  <si>
    <t>235-23</t>
  </si>
  <si>
    <t>130-23</t>
  </si>
  <si>
    <t>237-23</t>
  </si>
  <si>
    <t>173-23</t>
  </si>
  <si>
    <t>204:765</t>
  </si>
  <si>
    <t>204:233251</t>
  </si>
  <si>
    <t>204:232616</t>
  </si>
  <si>
    <t>204:666</t>
  </si>
  <si>
    <t>204:761</t>
  </si>
  <si>
    <t>204:231667</t>
  </si>
  <si>
    <t>204:232744</t>
  </si>
  <si>
    <t>204:178</t>
  </si>
  <si>
    <t>204:692</t>
  </si>
  <si>
    <t>204:232639</t>
  </si>
  <si>
    <t>204:477</t>
  </si>
  <si>
    <t>204:232996</t>
  </si>
  <si>
    <t>204:384</t>
  </si>
  <si>
    <t>204:233355</t>
  </si>
  <si>
    <t>204:755</t>
  </si>
  <si>
    <t>204:231319</t>
  </si>
  <si>
    <t>204:233124</t>
  </si>
  <si>
    <t>204:232969</t>
  </si>
  <si>
    <t>204:20118</t>
  </si>
  <si>
    <t>204:808</t>
  </si>
  <si>
    <t>204:231686</t>
  </si>
  <si>
    <t>204:233096</t>
  </si>
  <si>
    <t>204:74</t>
  </si>
  <si>
    <t>204:746</t>
  </si>
  <si>
    <t>204:233300</t>
  </si>
  <si>
    <t>204:232985</t>
  </si>
  <si>
    <t>204:176</t>
  </si>
  <si>
    <t>204:233325</t>
  </si>
  <si>
    <t>204:233004</t>
  </si>
  <si>
    <t>204:123</t>
  </si>
  <si>
    <t>204:415</t>
  </si>
  <si>
    <t>204:1156</t>
  </si>
  <si>
    <t>204:393</t>
  </si>
  <si>
    <t>204:232090</t>
  </si>
  <si>
    <t>204:233062</t>
  </si>
  <si>
    <t>204:233293</t>
  </si>
  <si>
    <t>204:233323</t>
  </si>
  <si>
    <t>204:189</t>
  </si>
  <si>
    <t>204:232961</t>
  </si>
  <si>
    <t>204:196</t>
  </si>
  <si>
    <t>204:438</t>
  </si>
  <si>
    <t>204:233268</t>
  </si>
  <si>
    <t>204:232972</t>
  </si>
  <si>
    <t>204:480</t>
  </si>
  <si>
    <t>204:385</t>
  </si>
  <si>
    <t>204:233028</t>
  </si>
  <si>
    <t>204:497</t>
  </si>
  <si>
    <t>204:233286</t>
  </si>
  <si>
    <t>204:2405</t>
  </si>
  <si>
    <t>204:506</t>
  </si>
  <si>
    <t>204:498</t>
  </si>
  <si>
    <t>204:233081</t>
  </si>
  <si>
    <t>204:169</t>
  </si>
  <si>
    <t>204:508</t>
  </si>
  <si>
    <t>204:82507</t>
  </si>
  <si>
    <t>204:36782</t>
  </si>
  <si>
    <t>204:233283</t>
  </si>
  <si>
    <t>204:316</t>
  </si>
  <si>
    <t>204:1481</t>
  </si>
  <si>
    <t>204:132</t>
  </si>
  <si>
    <t>204:187</t>
  </si>
  <si>
    <t>204:648</t>
  </si>
  <si>
    <t>204:232944</t>
  </si>
  <si>
    <t>204:233329</t>
  </si>
  <si>
    <t>204:233044</t>
  </si>
  <si>
    <t>204:1496</t>
  </si>
  <si>
    <t>204:59207</t>
  </si>
  <si>
    <t>204:221</t>
  </si>
  <si>
    <t>204:232971</t>
  </si>
  <si>
    <t>204:232976</t>
  </si>
  <si>
    <t>204:440</t>
  </si>
  <si>
    <t>204:233321</t>
  </si>
  <si>
    <t>204:233011</t>
  </si>
  <si>
    <t>204:233420</t>
  </si>
  <si>
    <t>204:233090</t>
  </si>
  <si>
    <t>204:515</t>
  </si>
  <si>
    <t>204:233361</t>
  </si>
  <si>
    <t>204:233021</t>
  </si>
  <si>
    <t>204:232963</t>
  </si>
  <si>
    <t>204:233049</t>
  </si>
  <si>
    <t>204:63143</t>
  </si>
  <si>
    <t>204:233281</t>
  </si>
  <si>
    <t>204:232966</t>
  </si>
  <si>
    <t>204:232959</t>
  </si>
  <si>
    <t>204:181</t>
  </si>
  <si>
    <t>204:136</t>
  </si>
  <si>
    <t>204:232965</t>
  </si>
  <si>
    <t>204:486</t>
  </si>
  <si>
    <t>204:153994</t>
  </si>
  <si>
    <t>212-23</t>
  </si>
  <si>
    <t>DE.1.0.6.1</t>
  </si>
  <si>
    <t>204:153995</t>
  </si>
  <si>
    <t>204:188</t>
  </si>
  <si>
    <t>167-23</t>
  </si>
  <si>
    <t>168-23</t>
  </si>
  <si>
    <t>Form C</t>
  </si>
  <si>
    <t>Early Arrival</t>
  </si>
  <si>
    <t>Incorrect bulletin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</si>
</sst>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rgb="FF444444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0" xfId="0" applyNumberFormat="1" applyFill="1"/>
    <xf numFmtId="0" fontId="11" fillId="0" borderId="0" xfId="0" applyFont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1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6"/>
  <sheetViews>
    <sheetView showGridLines="0" tabSelected="1" topLeftCell="A10" zoomScale="85" zoomScaleNormal="85" workbookViewId="0">
      <selection activeCell="R31" sqref="R3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2">
        <f>Variables!A2</f>
        <v>42544</v>
      </c>
      <c r="J2" s="83"/>
      <c r="K2" s="50"/>
      <c r="L2" s="50"/>
      <c r="M2" s="84" t="s">
        <v>8</v>
      </c>
      <c r="N2" s="85"/>
      <c r="O2" s="86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7" t="s">
        <v>10</v>
      </c>
      <c r="J3" s="88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COUNT($N$13:$P$1987)</f>
        <v>141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COUNT($N$13:$N$1987)</f>
        <v>129</v>
      </c>
      <c r="K5" s="3"/>
      <c r="L5" s="3"/>
      <c r="M5" s="45">
        <f>AVERAGE($N$13:$N$987)</f>
        <v>43.72480620267303</v>
      </c>
      <c r="N5" s="5">
        <f>MIN($N$13:$N$987)</f>
        <v>36.716666668653488</v>
      </c>
      <c r="O5" s="6">
        <f>MAX($N$13:$N$987)</f>
        <v>59.249999999301508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COUNT($O$13:$O$987)</f>
        <v>0</v>
      </c>
      <c r="K6" s="3"/>
      <c r="L6" s="3"/>
      <c r="M6" s="45">
        <f>IFERROR(AVERAGE($O$13:$O$987),0)</f>
        <v>0</v>
      </c>
      <c r="N6" s="5">
        <f>MIN($O$13:$O$987)</f>
        <v>0</v>
      </c>
      <c r="O6" s="6">
        <f>MAX($O$13:$O$987)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COUNT($P$13:$P$987)</f>
        <v>12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COUNT($N$13:$O$987)</f>
        <v>129</v>
      </c>
      <c r="K8" s="3"/>
      <c r="L8" s="3"/>
      <c r="M8" s="45">
        <f>AVERAGE($N$13:$P$987)</f>
        <v>41.555910166476835</v>
      </c>
      <c r="N8" s="5">
        <f>MIN($N$13:$O$987)</f>
        <v>36.716666668653488</v>
      </c>
      <c r="O8" s="6">
        <f>MAX($N$13:$O$987)</f>
        <v>59.249999999301508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0.91489361702127658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1" t="str">
        <f>"Eagle P3 System Performance - "&amp;TEXT(Variables!A2,"yyyy-mm-dd")</f>
        <v>Eagle P3 System Performance - 2016-06-23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136</v>
      </c>
      <c r="T12" s="9" t="s">
        <v>142</v>
      </c>
      <c r="U12" s="9" t="s">
        <v>143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224</v>
      </c>
      <c r="B13" s="43">
        <v>4020</v>
      </c>
      <c r="C13" s="43" t="s">
        <v>60</v>
      </c>
      <c r="D13" s="43" t="s">
        <v>425</v>
      </c>
      <c r="E13" s="25">
        <v>42544.127754629626</v>
      </c>
      <c r="F13" s="25">
        <v>42544.128877314812</v>
      </c>
      <c r="G13" s="31">
        <v>1</v>
      </c>
      <c r="H13" s="25" t="s">
        <v>426</v>
      </c>
      <c r="I13" s="25">
        <v>42544.162916666668</v>
      </c>
      <c r="J13" s="43">
        <v>1</v>
      </c>
      <c r="K13" s="43" t="str">
        <f t="shared" ref="K13:K44" si="0">IF(ISEVEN(B13),(B13-1)&amp;"/"&amp;B13,B13&amp;"/"&amp;(B13+1))</f>
        <v>4019/4020</v>
      </c>
      <c r="L13" s="43" t="str">
        <f>VLOOKUP(A13,'Trips&amp;Operators'!$C$1:$E$10000,3,FALSE)</f>
        <v>CANFIELD</v>
      </c>
      <c r="M13" s="11">
        <f t="shared" ref="M13:M44" si="1">I13-F13</f>
        <v>3.4039351856335998E-2</v>
      </c>
      <c r="N13" s="12">
        <f t="shared" ref="N13:N25" si="2">24*60*SUM($M13:$M13)</f>
        <v>49.016666673123837</v>
      </c>
      <c r="O13" s="12"/>
      <c r="P13" s="12"/>
      <c r="Q13" s="44"/>
      <c r="R13" s="44"/>
      <c r="S13" s="70">
        <f t="shared" ref="S13:S44" si="3">SUM(U13:U13)/12</f>
        <v>1</v>
      </c>
      <c r="T13" s="2" t="str">
        <f t="shared" ref="T13:T44" si="4">IF(ISEVEN(LEFT(A13,3)),"Southbound","NorthBound")</f>
        <v>NorthBound</v>
      </c>
      <c r="U13" s="2">
        <f>COUNTIFS(Variables!$M$2:$M$19, "&gt;=" &amp; Y13, Variables!$M$2:$M$19, "&lt;=" &amp; Z13)</f>
        <v>12</v>
      </c>
      <c r="V13" s="48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https://search-rtdc-monitor-bjffxe2xuh6vdkpspy63sjmuny.us-east-1.es.amazonaws.com/_plugin/kibana/#/discover/Steve-Slow-Train-Analysis-(2080s-and-2083s)?_g=(refreshInterval:(display:Off,section:0,value:0),time:(from:'2016-06-23 03:02:58-0600',mode:absolute,to:'2016-06-23 03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48" t="str">
        <f t="shared" ref="W13:W44" si="6">IF(AA13&lt;23,"Y","N")</f>
        <v>N</v>
      </c>
      <c r="X13" s="48" t="e">
        <f t="shared" ref="X13:X44" si="7">VALUE(LEFT(A13,3))-VALUE(LEFT(A12,3))</f>
        <v>#VALUE!</v>
      </c>
      <c r="Y13" s="48">
        <f t="shared" ref="Y13:Y57" si="8">RIGHT(D13,LEN(D13)-4)/10000</f>
        <v>7.6499999999999999E-2</v>
      </c>
      <c r="Z13" s="48">
        <f t="shared" ref="Z13:Z43" si="9">RIGHT(H13,LEN(H13)-4)/10000</f>
        <v>23.325099999999999</v>
      </c>
      <c r="AA13" s="48">
        <f t="shared" ref="AA13:AA44" si="10">ABS(Z13-Y13)</f>
        <v>23.2486</v>
      </c>
      <c r="AB13" s="49">
        <f>VLOOKUP(A13,Enforcements!$C$7:$J$73,8,0)</f>
        <v>233491</v>
      </c>
      <c r="AC13" s="49" t="str">
        <f>VLOOKUP(A13,Enforcements!$C$7:$E$73,3,0)</f>
        <v>TRACK WARRANT AUTHORITY</v>
      </c>
    </row>
    <row r="14" spans="1:91" s="2" customFormat="1" x14ac:dyDescent="0.25">
      <c r="A14" s="43" t="s">
        <v>227</v>
      </c>
      <c r="B14" s="43">
        <v>4030</v>
      </c>
      <c r="C14" s="43" t="s">
        <v>60</v>
      </c>
      <c r="D14" s="43" t="s">
        <v>427</v>
      </c>
      <c r="E14" s="25">
        <v>42544.170335648145</v>
      </c>
      <c r="F14" s="25">
        <v>42544.171076388891</v>
      </c>
      <c r="G14" s="31">
        <v>1</v>
      </c>
      <c r="H14" s="25" t="s">
        <v>428</v>
      </c>
      <c r="I14" s="25">
        <v>42544.202199074076</v>
      </c>
      <c r="J14" s="43">
        <v>1</v>
      </c>
      <c r="K14" s="43" t="str">
        <f t="shared" si="0"/>
        <v>4029/4030</v>
      </c>
      <c r="L14" s="43" t="str">
        <f>VLOOKUP(A14,'Trips&amp;Operators'!$C$1:$E$10000,3,FALSE)</f>
        <v>CANFIELD</v>
      </c>
      <c r="M14" s="11">
        <f t="shared" si="1"/>
        <v>3.1122685184527654E-2</v>
      </c>
      <c r="N14" s="12">
        <f t="shared" si="2"/>
        <v>44.816666665719822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 "&lt;=" &amp; Y14, Variables!$M$2:$M$19, "&gt;=" &amp; 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04:04:17-0600',mode:absolute,to:'2016-06-23 04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" s="48" t="str">
        <f t="shared" si="6"/>
        <v>N</v>
      </c>
      <c r="X14" s="48">
        <f t="shared" si="7"/>
        <v>1</v>
      </c>
      <c r="Y14" s="48">
        <f t="shared" si="8"/>
        <v>23.261600000000001</v>
      </c>
      <c r="Z14" s="48">
        <f t="shared" si="9"/>
        <v>6.6600000000000006E-2</v>
      </c>
      <c r="AA14" s="48">
        <f t="shared" si="10"/>
        <v>23.195</v>
      </c>
      <c r="AB14" s="49">
        <f>VLOOKUP(A14,Enforcements!$C$7:$J$73,8,0)</f>
        <v>1</v>
      </c>
      <c r="AC14" s="49" t="str">
        <f>VLOOKUP(A14,Enforcements!$C$7:$E$73,3,0)</f>
        <v>TRACK WARRANT AUTHORITY</v>
      </c>
    </row>
    <row r="15" spans="1:91" s="2" customFormat="1" x14ac:dyDescent="0.25">
      <c r="A15" s="43" t="s">
        <v>226</v>
      </c>
      <c r="B15" s="43">
        <v>4014</v>
      </c>
      <c r="C15" s="43" t="s">
        <v>60</v>
      </c>
      <c r="D15" s="43" t="s">
        <v>429</v>
      </c>
      <c r="E15" s="25">
        <v>42544.1487037037</v>
      </c>
      <c r="F15" s="25">
        <v>42544.150138888886</v>
      </c>
      <c r="G15" s="31">
        <v>2</v>
      </c>
      <c r="H15" s="25" t="s">
        <v>430</v>
      </c>
      <c r="I15" s="25">
        <v>42544.183449074073</v>
      </c>
      <c r="J15" s="43">
        <v>3</v>
      </c>
      <c r="K15" s="43" t="str">
        <f t="shared" si="0"/>
        <v>4013/4014</v>
      </c>
      <c r="L15" s="43" t="str">
        <f>VLOOKUP(A15,'Trips&amp;Operators'!$C$1:$E$10000,3,FALSE)</f>
        <v>STARKS</v>
      </c>
      <c r="M15" s="11">
        <f t="shared" si="1"/>
        <v>3.3310185186564922E-2</v>
      </c>
      <c r="N15" s="12">
        <f t="shared" si="2"/>
        <v>47.966666668653488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 "&gt;=" &amp; Y15, Variables!$M$2:$M$19, "&lt;=" &amp; 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7.6100000000000001E-2</v>
      </c>
      <c r="Z15" s="48">
        <f t="shared" si="9"/>
        <v>23.166699999999999</v>
      </c>
      <c r="AA15" s="48">
        <f t="shared" si="10"/>
        <v>23.090599999999998</v>
      </c>
      <c r="AB15" s="49">
        <f>VLOOKUP(A15,Enforcements!$C$7:$J$73,8,0)</f>
        <v>183829</v>
      </c>
      <c r="AC15" s="49" t="str">
        <f>VLOOKUP(A15,Enforcements!$C$7:$E$73,3,0)</f>
        <v>PERMANENT SPEED RESTRICTION</v>
      </c>
    </row>
    <row r="16" spans="1:91" s="2" customFormat="1" x14ac:dyDescent="0.25">
      <c r="A16" s="43" t="s">
        <v>229</v>
      </c>
      <c r="B16" s="43">
        <v>4010</v>
      </c>
      <c r="C16" s="43" t="s">
        <v>60</v>
      </c>
      <c r="D16" s="43" t="s">
        <v>431</v>
      </c>
      <c r="E16" s="25">
        <v>42544.193472222221</v>
      </c>
      <c r="F16" s="25">
        <v>42544.19458333333</v>
      </c>
      <c r="G16" s="31">
        <v>1</v>
      </c>
      <c r="H16" s="25" t="s">
        <v>432</v>
      </c>
      <c r="I16" s="25">
        <v>42544.223807870374</v>
      </c>
      <c r="J16" s="43">
        <v>3</v>
      </c>
      <c r="K16" s="43" t="str">
        <f t="shared" si="0"/>
        <v>4009/4010</v>
      </c>
      <c r="L16" s="43" t="str">
        <f>VLOOKUP(A16,'Trips&amp;Operators'!$C$1:$E$10000,3,FALSE)</f>
        <v>STARKS</v>
      </c>
      <c r="M16" s="11">
        <f t="shared" si="1"/>
        <v>2.9224537043774035E-2</v>
      </c>
      <c r="N16" s="12">
        <f t="shared" si="2"/>
        <v>42.08333334303461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 "&lt;=" &amp; Y16, Variables!$M$2:$M$19, "&gt;=" &amp; 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23.2744</v>
      </c>
      <c r="Z16" s="48">
        <f t="shared" si="9"/>
        <v>1.78E-2</v>
      </c>
      <c r="AA16" s="48">
        <f t="shared" si="10"/>
        <v>23.256599999999999</v>
      </c>
      <c r="AB16" s="49">
        <f>VLOOKUP(A16,Enforcements!$C$7:$J$73,8,0)</f>
        <v>15167</v>
      </c>
      <c r="AC16" s="49" t="str">
        <f>VLOOKUP(A16,Enforcements!$C$7:$E$73,3,0)</f>
        <v>PERMANENT SPEED RESTRICTION</v>
      </c>
    </row>
    <row r="17" spans="1:29" s="2" customFormat="1" x14ac:dyDescent="0.25">
      <c r="A17" s="43" t="s">
        <v>376</v>
      </c>
      <c r="B17" s="43">
        <v>4018</v>
      </c>
      <c r="C17" s="43" t="s">
        <v>60</v>
      </c>
      <c r="D17" s="43" t="s">
        <v>433</v>
      </c>
      <c r="E17" s="25">
        <v>42544.175104166665</v>
      </c>
      <c r="F17" s="25">
        <v>42544.175752314812</v>
      </c>
      <c r="G17" s="31">
        <v>0</v>
      </c>
      <c r="H17" s="25" t="s">
        <v>135</v>
      </c>
      <c r="I17" s="25">
        <v>42544.202870370369</v>
      </c>
      <c r="J17" s="43">
        <v>0</v>
      </c>
      <c r="K17" s="43" t="str">
        <f t="shared" si="0"/>
        <v>4017/4018</v>
      </c>
      <c r="L17" s="43" t="str">
        <f>VLOOKUP(A17,'Trips&amp;Operators'!$C$1:$E$10000,3,FALSE)</f>
        <v>YORK</v>
      </c>
      <c r="M17" s="11">
        <f t="shared" si="1"/>
        <v>2.7118055557366461E-2</v>
      </c>
      <c r="N17" s="12">
        <f t="shared" si="2"/>
        <v>39.050000002607703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 "&gt;=" &amp; Y17, Variables!$M$2:$M$19, "&lt;=" &amp; 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04:11:09-0600',mode:absolute,to:'2016-06-23 04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6.9199999999999998E-2</v>
      </c>
      <c r="Z17" s="48">
        <f t="shared" si="9"/>
        <v>23.330100000000002</v>
      </c>
      <c r="AA17" s="48">
        <f t="shared" si="10"/>
        <v>23.260900000000003</v>
      </c>
      <c r="AB17" s="49" t="e">
        <f>VLOOKUP(A17,Enforcements!$C$7:$J$73,8,0)</f>
        <v>#N/A</v>
      </c>
      <c r="AC17" s="49" t="e">
        <f>VLOOKUP(A17,Enforcements!$C$7:$E$73,3,0)</f>
        <v>#N/A</v>
      </c>
    </row>
    <row r="18" spans="1:29" s="2" customFormat="1" x14ac:dyDescent="0.25">
      <c r="A18" s="43" t="s">
        <v>325</v>
      </c>
      <c r="B18" s="43">
        <v>4041</v>
      </c>
      <c r="C18" s="43" t="s">
        <v>60</v>
      </c>
      <c r="D18" s="43" t="s">
        <v>434</v>
      </c>
      <c r="E18" s="25">
        <v>42544.20517361111</v>
      </c>
      <c r="F18" s="25">
        <v>42544.205960648149</v>
      </c>
      <c r="G18" s="31">
        <v>1</v>
      </c>
      <c r="H18" s="25" t="s">
        <v>78</v>
      </c>
      <c r="I18" s="25">
        <v>42544.241574074076</v>
      </c>
      <c r="J18" s="43">
        <v>0</v>
      </c>
      <c r="K18" s="43" t="str">
        <f t="shared" si="0"/>
        <v>4041/4042</v>
      </c>
      <c r="L18" s="43" t="str">
        <f>VLOOKUP(A18,'Trips&amp;Operators'!$C$1:$E$10000,3,FALSE)</f>
        <v>YORK</v>
      </c>
      <c r="M18" s="11">
        <f t="shared" si="1"/>
        <v>3.5613425927294884E-2</v>
      </c>
      <c r="N18" s="12">
        <f t="shared" si="2"/>
        <v>51.283333335304633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 "&lt;=" &amp; Y18, Variables!$M$2:$M$19, "&gt;=" &amp; 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04:54:27-0600',mode:absolute,to:'2016-06-23 05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23.2639</v>
      </c>
      <c r="Z18" s="48">
        <f t="shared" si="9"/>
        <v>1.49E-2</v>
      </c>
      <c r="AA18" s="48">
        <f t="shared" si="10"/>
        <v>23.248999999999999</v>
      </c>
      <c r="AB18" s="49" t="e">
        <f>VLOOKUP(A18,Enforcements!$C$7:$J$73,8,0)</f>
        <v>#N/A</v>
      </c>
      <c r="AC18" s="49" t="e">
        <f>VLOOKUP(A18,Enforcements!$C$7:$E$73,3,0)</f>
        <v>#N/A</v>
      </c>
    </row>
    <row r="19" spans="1:29" s="2" customFormat="1" x14ac:dyDescent="0.25">
      <c r="A19" s="43" t="s">
        <v>330</v>
      </c>
      <c r="B19" s="43">
        <v>4007</v>
      </c>
      <c r="C19" s="43" t="s">
        <v>60</v>
      </c>
      <c r="D19" s="43" t="s">
        <v>435</v>
      </c>
      <c r="E19" s="25">
        <v>42544.182696759257</v>
      </c>
      <c r="F19" s="25">
        <v>42544.183738425927</v>
      </c>
      <c r="G19" s="31">
        <v>1</v>
      </c>
      <c r="H19" s="25" t="s">
        <v>201</v>
      </c>
      <c r="I19" s="25">
        <v>42544.215277777781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SANTIZO</v>
      </c>
      <c r="M19" s="11">
        <f t="shared" si="1"/>
        <v>3.1539351854007691E-2</v>
      </c>
      <c r="N19" s="12">
        <f t="shared" si="2"/>
        <v>45.416666669771075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 "&gt;=" &amp; Y19, Variables!$M$2:$M$19, "&lt;=" &amp; 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04:22:05-0600',mode:absolute,to:'2016-06-23 05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4.7699999999999999E-2</v>
      </c>
      <c r="Z19" s="48">
        <f t="shared" si="9"/>
        <v>23.331700000000001</v>
      </c>
      <c r="AA19" s="48">
        <f t="shared" si="10"/>
        <v>23.284000000000002</v>
      </c>
      <c r="AB19" s="49" t="e">
        <f>VLOOKUP(A19,Enforcements!$C$7:$J$73,8,0)</f>
        <v>#N/A</v>
      </c>
      <c r="AC19" s="49" t="e">
        <f>VLOOKUP(A19,Enforcements!$C$7:$E$73,3,0)</f>
        <v>#N/A</v>
      </c>
    </row>
    <row r="20" spans="1:29" s="2" customFormat="1" x14ac:dyDescent="0.25">
      <c r="A20" s="43" t="s">
        <v>373</v>
      </c>
      <c r="B20" s="43">
        <v>4008</v>
      </c>
      <c r="C20" s="43" t="s">
        <v>60</v>
      </c>
      <c r="D20" s="43" t="s">
        <v>436</v>
      </c>
      <c r="E20" s="25">
        <v>42544.223101851851</v>
      </c>
      <c r="F20" s="25">
        <v>42544.22420138889</v>
      </c>
      <c r="G20" s="31">
        <v>1</v>
      </c>
      <c r="H20" s="25" t="s">
        <v>61</v>
      </c>
      <c r="I20" s="25">
        <v>42544.253425925926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SANTIZO</v>
      </c>
      <c r="M20" s="11">
        <f t="shared" si="1"/>
        <v>2.9224537036498077E-2</v>
      </c>
      <c r="N20" s="12">
        <f t="shared" si="2"/>
        <v>42.083333332557231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 "&lt;=" &amp; Y20, Variables!$M$2:$M$19, "&gt;=" &amp; 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05:20:16-0600',mode:absolute,to:'2016-06-23 06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23.299600000000002</v>
      </c>
      <c r="Z20" s="48">
        <f t="shared" si="9"/>
        <v>1.4500000000000001E-2</v>
      </c>
      <c r="AA20" s="48">
        <f t="shared" si="10"/>
        <v>23.2851</v>
      </c>
      <c r="AB20" s="49" t="e">
        <f>VLOOKUP(A20,Enforcements!$C$7:$J$73,8,0)</f>
        <v>#N/A</v>
      </c>
      <c r="AC20" s="49" t="e">
        <f>VLOOKUP(A20,Enforcements!$C$7:$E$73,3,0)</f>
        <v>#N/A</v>
      </c>
    </row>
    <row r="21" spans="1:29" s="2" customFormat="1" x14ac:dyDescent="0.25">
      <c r="A21" s="43" t="s">
        <v>396</v>
      </c>
      <c r="B21" s="43">
        <v>4040</v>
      </c>
      <c r="C21" s="43" t="s">
        <v>60</v>
      </c>
      <c r="D21" s="43" t="s">
        <v>437</v>
      </c>
      <c r="E21" s="25">
        <v>42544.195543981485</v>
      </c>
      <c r="F21" s="25">
        <v>42544.196956018517</v>
      </c>
      <c r="G21" s="31">
        <v>2</v>
      </c>
      <c r="H21" s="25" t="s">
        <v>438</v>
      </c>
      <c r="I21" s="25">
        <v>42544.223252314812</v>
      </c>
      <c r="J21" s="43">
        <v>0</v>
      </c>
      <c r="K21" s="43" t="str">
        <f t="shared" si="0"/>
        <v>4039/4040</v>
      </c>
      <c r="L21" s="43" t="str">
        <f>VLOOKUP(A21,'Trips&amp;Operators'!$C$1:$E$10000,3,FALSE)</f>
        <v>KILLION</v>
      </c>
      <c r="M21" s="11">
        <f t="shared" si="1"/>
        <v>2.6296296295186039E-2</v>
      </c>
      <c r="N21" s="12">
        <f t="shared" si="2"/>
        <v>37.866666665067896</v>
      </c>
      <c r="O21" s="12"/>
      <c r="P21" s="12"/>
      <c r="Q21" s="44"/>
      <c r="R21" s="44"/>
      <c r="S21" s="70">
        <f t="shared" si="3"/>
        <v>1</v>
      </c>
      <c r="T21" s="2" t="str">
        <f t="shared" si="4"/>
        <v>NorthBound</v>
      </c>
      <c r="U21" s="2">
        <f>COUNTIFS(Variables!$M$2:$M$19, "&gt;=" &amp; Y21, Variables!$M$2:$M$19, "&lt;=" &amp; Z21)</f>
        <v>12</v>
      </c>
      <c r="V2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04:40:35-0600',mode:absolute,to:'2016-06-23 05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1" s="48" t="str">
        <f t="shared" si="6"/>
        <v>N</v>
      </c>
      <c r="X21" s="48">
        <f t="shared" si="7"/>
        <v>1</v>
      </c>
      <c r="Y21" s="48">
        <f t="shared" si="8"/>
        <v>3.8399999999999997E-2</v>
      </c>
      <c r="Z21" s="48">
        <f t="shared" si="9"/>
        <v>23.3355</v>
      </c>
      <c r="AA21" s="48">
        <f t="shared" si="10"/>
        <v>23.2971</v>
      </c>
      <c r="AB21" s="49" t="e">
        <f>VLOOKUP(A21,Enforcements!$C$7:$J$73,8,0)</f>
        <v>#N/A</v>
      </c>
      <c r="AC21" s="49" t="e">
        <f>VLOOKUP(A21,Enforcements!$C$7:$E$73,3,0)</f>
        <v>#N/A</v>
      </c>
    </row>
    <row r="22" spans="1:29" s="2" customFormat="1" x14ac:dyDescent="0.25">
      <c r="A22" s="43" t="s">
        <v>386</v>
      </c>
      <c r="B22" s="43">
        <v>4039</v>
      </c>
      <c r="C22" s="43" t="s">
        <v>60</v>
      </c>
      <c r="D22" s="43" t="s">
        <v>206</v>
      </c>
      <c r="E22" s="25">
        <v>42544.235937500001</v>
      </c>
      <c r="F22" s="25">
        <v>42544.236805555556</v>
      </c>
      <c r="G22" s="31">
        <v>1</v>
      </c>
      <c r="H22" s="25" t="s">
        <v>196</v>
      </c>
      <c r="I22" s="25">
        <v>42544.264270833337</v>
      </c>
      <c r="J22" s="43">
        <v>0</v>
      </c>
      <c r="K22" s="43" t="str">
        <f t="shared" si="0"/>
        <v>4039/4040</v>
      </c>
      <c r="L22" s="43" t="str">
        <f>VLOOKUP(A22,'Trips&amp;Operators'!$C$1:$E$10000,3,FALSE)</f>
        <v>KILLION</v>
      </c>
      <c r="M22" s="11">
        <f t="shared" si="1"/>
        <v>2.7465277780720498E-2</v>
      </c>
      <c r="N22" s="12">
        <f t="shared" si="2"/>
        <v>39.550000004237518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 "&lt;=" &amp; Y22, Variables!$M$2:$M$19, "&gt;=" &amp; 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05:38:45-0600',mode:absolute,to:'2016-06-23 06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23.3034</v>
      </c>
      <c r="Z22" s="48">
        <f t="shared" si="9"/>
        <v>1.6500000000000001E-2</v>
      </c>
      <c r="AA22" s="48">
        <f t="shared" si="10"/>
        <v>23.286899999999999</v>
      </c>
      <c r="AB22" s="49" t="e">
        <f>VLOOKUP(A22,Enforcements!$C$7:$J$73,8,0)</f>
        <v>#N/A</v>
      </c>
      <c r="AC22" s="49" t="e">
        <f>VLOOKUP(A22,Enforcements!$C$7:$E$73,3,0)</f>
        <v>#N/A</v>
      </c>
    </row>
    <row r="23" spans="1:29" s="2" customFormat="1" x14ac:dyDescent="0.25">
      <c r="A23" s="43" t="s">
        <v>230</v>
      </c>
      <c r="B23" s="43">
        <v>4020</v>
      </c>
      <c r="C23" s="43" t="s">
        <v>60</v>
      </c>
      <c r="D23" s="43" t="s">
        <v>439</v>
      </c>
      <c r="E23" s="25">
        <v>42544.205868055556</v>
      </c>
      <c r="F23" s="25">
        <v>42544.207928240743</v>
      </c>
      <c r="G23" s="31">
        <v>2</v>
      </c>
      <c r="H23" s="25" t="s">
        <v>440</v>
      </c>
      <c r="I23" s="25">
        <v>42544.233854166669</v>
      </c>
      <c r="J23" s="43">
        <v>1</v>
      </c>
      <c r="K23" s="43" t="str">
        <f t="shared" si="0"/>
        <v>4019/4020</v>
      </c>
      <c r="L23" s="43" t="str">
        <f>VLOOKUP(A23,'Trips&amp;Operators'!$C$1:$E$10000,3,FALSE)</f>
        <v>STAMBAUGH</v>
      </c>
      <c r="M23" s="11">
        <f t="shared" si="1"/>
        <v>2.5925925925548654E-2</v>
      </c>
      <c r="N23" s="12">
        <f t="shared" si="2"/>
        <v>37.333333332790062</v>
      </c>
      <c r="O23" s="12"/>
      <c r="P23" s="12"/>
      <c r="Q23" s="44"/>
      <c r="R23" s="44"/>
      <c r="S23" s="70">
        <f t="shared" si="3"/>
        <v>1</v>
      </c>
      <c r="T23" s="2" t="str">
        <f t="shared" si="4"/>
        <v>NorthBound</v>
      </c>
      <c r="U23" s="2">
        <f>COUNTIFS(Variables!$M$2:$M$19, "&gt;=" &amp; Y23, Variables!$M$2:$M$19, "&lt;=" &amp; Z23)</f>
        <v>12</v>
      </c>
      <c r="V2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04:55:27-0600',mode:absolute,to:'2016-06-23 05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48" t="str">
        <f t="shared" si="6"/>
        <v>N</v>
      </c>
      <c r="X23" s="48">
        <f t="shared" si="7"/>
        <v>1</v>
      </c>
      <c r="Y23" s="48">
        <f t="shared" si="8"/>
        <v>7.5499999999999998E-2</v>
      </c>
      <c r="Z23" s="48">
        <f t="shared" si="9"/>
        <v>23.131900000000002</v>
      </c>
      <c r="AA23" s="48">
        <f t="shared" si="10"/>
        <v>23.0564</v>
      </c>
      <c r="AB23" s="49">
        <f>VLOOKUP(A23,Enforcements!$C$7:$J$73,8,0)</f>
        <v>233491</v>
      </c>
      <c r="AC23" s="49" t="str">
        <f>VLOOKUP(A23,Enforcements!$C$7:$E$73,3,0)</f>
        <v>TRACK WARRANT AUTHORITY</v>
      </c>
    </row>
    <row r="24" spans="1:29" s="2" customFormat="1" x14ac:dyDescent="0.25">
      <c r="A24" s="43" t="s">
        <v>381</v>
      </c>
      <c r="B24" s="43">
        <v>4019</v>
      </c>
      <c r="C24" s="43" t="s">
        <v>60</v>
      </c>
      <c r="D24" s="43" t="s">
        <v>75</v>
      </c>
      <c r="E24" s="25">
        <v>42544.244432870371</v>
      </c>
      <c r="F24" s="25">
        <v>42544.245497685188</v>
      </c>
      <c r="G24" s="31">
        <v>1</v>
      </c>
      <c r="H24" s="25" t="s">
        <v>68</v>
      </c>
      <c r="I24" s="25">
        <v>42544.276087962964</v>
      </c>
      <c r="J24" s="43">
        <v>0</v>
      </c>
      <c r="K24" s="43" t="str">
        <f t="shared" si="0"/>
        <v>4019/4020</v>
      </c>
      <c r="L24" s="43" t="str">
        <f>VLOOKUP(A24,'Trips&amp;Operators'!$C$1:$E$10000,3,FALSE)</f>
        <v>STAMBAUGH</v>
      </c>
      <c r="M24" s="11">
        <f t="shared" si="1"/>
        <v>3.0590277776354924E-2</v>
      </c>
      <c r="N24" s="12">
        <f t="shared" si="2"/>
        <v>44.04999999795109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 "&lt;=" &amp; Y24, Variables!$M$2:$M$19, "&gt;=" &amp; 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05:50:59-0600',mode:absolute,to:'2016-06-23 06:38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23.299099999999999</v>
      </c>
      <c r="Z24" s="48">
        <f t="shared" si="9"/>
        <v>1.6E-2</v>
      </c>
      <c r="AA24" s="48">
        <f t="shared" si="10"/>
        <v>23.283100000000001</v>
      </c>
      <c r="AB24" s="49" t="e">
        <f>VLOOKUP(A24,Enforcements!$C$7:$J$73,8,0)</f>
        <v>#N/A</v>
      </c>
      <c r="AC24" s="49" t="e">
        <f>VLOOKUP(A24,Enforcements!$C$7:$E$73,3,0)</f>
        <v>#N/A</v>
      </c>
    </row>
    <row r="25" spans="1:29" s="2" customFormat="1" x14ac:dyDescent="0.25">
      <c r="A25" s="43" t="s">
        <v>340</v>
      </c>
      <c r="B25" s="43">
        <v>4029</v>
      </c>
      <c r="C25" s="43" t="s">
        <v>60</v>
      </c>
      <c r="D25" s="43" t="s">
        <v>87</v>
      </c>
      <c r="E25" s="25">
        <v>42544.211319444446</v>
      </c>
      <c r="F25" s="25">
        <v>42544.212453703702</v>
      </c>
      <c r="G25" s="31">
        <v>1</v>
      </c>
      <c r="H25" s="25" t="s">
        <v>441</v>
      </c>
      <c r="I25" s="25">
        <v>42544.246458333335</v>
      </c>
      <c r="J25" s="43">
        <v>0</v>
      </c>
      <c r="K25" s="43" t="str">
        <f t="shared" si="0"/>
        <v>4029/4030</v>
      </c>
      <c r="L25" s="43" t="str">
        <f>VLOOKUP(A25,'Trips&amp;Operators'!$C$1:$E$10000,3,FALSE)</f>
        <v>CANFIELD</v>
      </c>
      <c r="M25" s="11">
        <f t="shared" si="1"/>
        <v>3.4004629633272998E-2</v>
      </c>
      <c r="N25" s="12">
        <f t="shared" si="2"/>
        <v>48.966666671913117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 "&gt;=" &amp; Y25, Variables!$M$2:$M$19, "&lt;=" &amp; 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05:03:18-0600',mode:absolute,to:'2016-06-23 05:55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4.58E-2</v>
      </c>
      <c r="Z25" s="48">
        <f t="shared" si="9"/>
        <v>23.3124</v>
      </c>
      <c r="AA25" s="48">
        <f t="shared" si="10"/>
        <v>23.2666</v>
      </c>
      <c r="AB25" s="49" t="e">
        <f>VLOOKUP(A25,Enforcements!$C$7:$J$73,8,0)</f>
        <v>#N/A</v>
      </c>
      <c r="AC25" s="49" t="e">
        <f>VLOOKUP(A25,Enforcements!$C$7:$E$73,3,0)</f>
        <v>#N/A</v>
      </c>
    </row>
    <row r="26" spans="1:29" s="2" customFormat="1" x14ac:dyDescent="0.25">
      <c r="A26" s="43" t="s">
        <v>233</v>
      </c>
      <c r="B26" s="43">
        <v>4030</v>
      </c>
      <c r="C26" s="43" t="s">
        <v>60</v>
      </c>
      <c r="D26" s="43" t="s">
        <v>442</v>
      </c>
      <c r="E26" s="25">
        <v>42544.255381944444</v>
      </c>
      <c r="F26" s="25">
        <v>42544.256979166668</v>
      </c>
      <c r="G26" s="31">
        <v>2</v>
      </c>
      <c r="H26" s="25" t="s">
        <v>443</v>
      </c>
      <c r="I26" s="25">
        <v>42544.282673611109</v>
      </c>
      <c r="J26" s="43">
        <v>4</v>
      </c>
      <c r="K26" s="43" t="str">
        <f t="shared" si="0"/>
        <v>4029/4030</v>
      </c>
      <c r="L26" s="43" t="str">
        <f>VLOOKUP(A26,'Trips&amp;Operators'!$C$1:$E$10000,3,FALSE)</f>
        <v>CANFIELD</v>
      </c>
      <c r="M26" s="11">
        <f t="shared" si="1"/>
        <v>2.569444444088731E-2</v>
      </c>
      <c r="N26" s="12"/>
      <c r="O26" s="12"/>
      <c r="P26" s="12">
        <f>24*60*SUM($M26:$M26)</f>
        <v>36.999999994877726</v>
      </c>
      <c r="Q26" s="44"/>
      <c r="R26" s="44" t="s">
        <v>181</v>
      </c>
      <c r="S26" s="70">
        <f t="shared" si="3"/>
        <v>1</v>
      </c>
      <c r="T26" s="2" t="str">
        <f t="shared" si="4"/>
        <v>Southbound</v>
      </c>
      <c r="U26" s="2">
        <f>COUNTIFS(Variables!$M$2:$M$19, "&lt;=" &amp; Y26, Variables!$M$2:$M$19, "&gt;=" &amp; 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6" s="48" t="str">
        <f t="shared" si="6"/>
        <v>Y</v>
      </c>
      <c r="X26" s="48">
        <f t="shared" si="7"/>
        <v>1</v>
      </c>
      <c r="Y26" s="48">
        <f t="shared" si="8"/>
        <v>23.296900000000001</v>
      </c>
      <c r="Z26" s="48">
        <f t="shared" si="9"/>
        <v>2.0118</v>
      </c>
      <c r="AA26" s="48">
        <f t="shared" si="10"/>
        <v>21.2851</v>
      </c>
      <c r="AB26" s="49">
        <f>VLOOKUP(A26,Enforcements!$C$7:$J$73,8,0)</f>
        <v>20632</v>
      </c>
      <c r="AC26" s="49" t="str">
        <f>VLOOKUP(A26,Enforcements!$C$7:$E$73,3,0)</f>
        <v>SIGNAL</v>
      </c>
    </row>
    <row r="27" spans="1:29" s="2" customFormat="1" x14ac:dyDescent="0.25">
      <c r="A27" s="43" t="s">
        <v>379</v>
      </c>
      <c r="B27" s="43">
        <v>4014</v>
      </c>
      <c r="C27" s="43" t="s">
        <v>60</v>
      </c>
      <c r="D27" s="43" t="s">
        <v>444</v>
      </c>
      <c r="E27" s="25">
        <v>42544.227731481478</v>
      </c>
      <c r="F27" s="25">
        <v>42544.228877314818</v>
      </c>
      <c r="G27" s="31">
        <v>1</v>
      </c>
      <c r="H27" s="25" t="s">
        <v>190</v>
      </c>
      <c r="I27" s="25">
        <v>42544.255729166667</v>
      </c>
      <c r="J27" s="43">
        <v>0</v>
      </c>
      <c r="K27" s="43" t="str">
        <f t="shared" si="0"/>
        <v>4013/4014</v>
      </c>
      <c r="L27" s="43" t="str">
        <f>VLOOKUP(A27,'Trips&amp;Operators'!$C$1:$E$10000,3,FALSE)</f>
        <v>MALAVE</v>
      </c>
      <c r="M27" s="11">
        <f t="shared" si="1"/>
        <v>2.6851851849642117E-2</v>
      </c>
      <c r="N27" s="12">
        <f t="shared" ref="N27:N40" si="11">24*60*SUM($M27:$M27)</f>
        <v>38.666666663484648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 "&gt;=" &amp; Y27, Variables!$M$2:$M$19, "&lt;=" &amp; 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05:26:56-0600',mode:absolute,to:'2016-06-23 06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8.0799999999999997E-2</v>
      </c>
      <c r="Z27" s="48">
        <f t="shared" si="9"/>
        <v>23.329799999999999</v>
      </c>
      <c r="AA27" s="48">
        <f t="shared" si="10"/>
        <v>23.248999999999999</v>
      </c>
      <c r="AB27" s="49" t="e">
        <f>VLOOKUP(A27,Enforcements!$C$7:$J$73,8,0)</f>
        <v>#N/A</v>
      </c>
      <c r="AC27" s="49" t="e">
        <f>VLOOKUP(A27,Enforcements!$C$7:$E$73,3,0)</f>
        <v>#N/A</v>
      </c>
    </row>
    <row r="28" spans="1:29" s="2" customFormat="1" x14ac:dyDescent="0.25">
      <c r="A28" s="43" t="s">
        <v>387</v>
      </c>
      <c r="B28" s="43">
        <v>4013</v>
      </c>
      <c r="C28" s="43" t="s">
        <v>60</v>
      </c>
      <c r="D28" s="43" t="s">
        <v>195</v>
      </c>
      <c r="E28" s="25">
        <v>42544.266608796293</v>
      </c>
      <c r="F28" s="25">
        <v>42544.267685185187</v>
      </c>
      <c r="G28" s="31">
        <v>1</v>
      </c>
      <c r="H28" s="25" t="s">
        <v>110</v>
      </c>
      <c r="I28" s="25">
        <v>42544.294895833336</v>
      </c>
      <c r="J28" s="43">
        <v>0</v>
      </c>
      <c r="K28" s="43" t="str">
        <f t="shared" si="0"/>
        <v>4013/4014</v>
      </c>
      <c r="L28" s="43" t="str">
        <f>VLOOKUP(A28,'Trips&amp;Operators'!$C$1:$E$10000,3,FALSE)</f>
        <v>MALAVE</v>
      </c>
      <c r="M28" s="11">
        <f t="shared" si="1"/>
        <v>2.7210648149775807E-2</v>
      </c>
      <c r="N28" s="12">
        <f t="shared" si="11"/>
        <v>39.183333335677162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 "&lt;=" &amp; Y28, Variables!$M$2:$M$19, "&gt;=" &amp; 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06:22:55-0600',mode:absolute,to:'2016-06-23 07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8" s="48" t="str">
        <f t="shared" si="6"/>
        <v>N</v>
      </c>
      <c r="X28" s="48">
        <f t="shared" si="7"/>
        <v>1</v>
      </c>
      <c r="Y28" s="48">
        <f t="shared" si="8"/>
        <v>23.2974</v>
      </c>
      <c r="Z28" s="48">
        <f t="shared" si="9"/>
        <v>1.5800000000000002E-2</v>
      </c>
      <c r="AA28" s="48">
        <f t="shared" si="10"/>
        <v>23.281600000000001</v>
      </c>
      <c r="AB28" s="49" t="e">
        <f>VLOOKUP(A28,Enforcements!$C$7:$J$73,8,0)</f>
        <v>#N/A</v>
      </c>
      <c r="AC28" s="49" t="e">
        <f>VLOOKUP(A28,Enforcements!$C$7:$E$73,3,0)</f>
        <v>#N/A</v>
      </c>
    </row>
    <row r="29" spans="1:29" s="2" customFormat="1" x14ac:dyDescent="0.25">
      <c r="A29" s="43" t="s">
        <v>232</v>
      </c>
      <c r="B29" s="43">
        <v>4009</v>
      </c>
      <c r="C29" s="43" t="s">
        <v>60</v>
      </c>
      <c r="D29" s="43" t="s">
        <v>87</v>
      </c>
      <c r="E29" s="25">
        <v>42544.231712962966</v>
      </c>
      <c r="F29" s="25">
        <v>42544.233067129629</v>
      </c>
      <c r="G29" s="31">
        <v>1</v>
      </c>
      <c r="H29" s="25" t="s">
        <v>445</v>
      </c>
      <c r="I29" s="25">
        <v>42544.266435185185</v>
      </c>
      <c r="J29" s="43">
        <v>1</v>
      </c>
      <c r="K29" s="43" t="str">
        <f t="shared" si="0"/>
        <v>4009/4010</v>
      </c>
      <c r="L29" s="43" t="str">
        <f>VLOOKUP(A29,'Trips&amp;Operators'!$C$1:$E$10000,3,FALSE)</f>
        <v>STARKS</v>
      </c>
      <c r="M29" s="11">
        <f t="shared" si="1"/>
        <v>3.3368055555911269E-2</v>
      </c>
      <c r="N29" s="12">
        <f t="shared" si="11"/>
        <v>48.050000000512227</v>
      </c>
      <c r="O29" s="12"/>
      <c r="P29" s="12"/>
      <c r="Q29" s="44"/>
      <c r="R29" s="44"/>
      <c r="S29" s="70">
        <f t="shared" si="3"/>
        <v>1</v>
      </c>
      <c r="T29" s="2" t="str">
        <f t="shared" si="4"/>
        <v>NorthBound</v>
      </c>
      <c r="U29" s="2">
        <f>COUNTIFS(Variables!$M$2:$M$19, "&gt;=" &amp; Y29, Variables!$M$2:$M$19, "&lt;=" &amp; Z29)</f>
        <v>12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05:32:40-0600',mode:absolute,to:'2016-06-23 06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9" s="48" t="str">
        <f t="shared" si="6"/>
        <v>N</v>
      </c>
      <c r="X29" s="48">
        <f t="shared" si="7"/>
        <v>1</v>
      </c>
      <c r="Y29" s="48">
        <f t="shared" si="8"/>
        <v>4.58E-2</v>
      </c>
      <c r="Z29" s="48">
        <f t="shared" si="9"/>
        <v>23.168600000000001</v>
      </c>
      <c r="AA29" s="48">
        <f t="shared" si="10"/>
        <v>23.122800000000002</v>
      </c>
      <c r="AB29" s="49">
        <f>VLOOKUP(A29,Enforcements!$C$7:$J$73,8,0)</f>
        <v>233491</v>
      </c>
      <c r="AC29" s="49" t="str">
        <f>VLOOKUP(A29,Enforcements!$C$7:$E$73,3,0)</f>
        <v>TRACK WARRANT AUTHORITY</v>
      </c>
    </row>
    <row r="30" spans="1:29" s="2" customFormat="1" x14ac:dyDescent="0.25">
      <c r="A30" s="43" t="s">
        <v>235</v>
      </c>
      <c r="B30" s="43">
        <v>4010</v>
      </c>
      <c r="C30" s="43" t="s">
        <v>60</v>
      </c>
      <c r="D30" s="43" t="s">
        <v>446</v>
      </c>
      <c r="E30" s="25">
        <v>42544.276805555557</v>
      </c>
      <c r="F30" s="25">
        <v>42544.27753472222</v>
      </c>
      <c r="G30" s="31">
        <v>1</v>
      </c>
      <c r="H30" s="25" t="s">
        <v>447</v>
      </c>
      <c r="I30" s="25">
        <v>42544.306122685186</v>
      </c>
      <c r="J30" s="43">
        <v>1</v>
      </c>
      <c r="K30" s="43" t="str">
        <f t="shared" si="0"/>
        <v>4009/4010</v>
      </c>
      <c r="L30" s="43" t="str">
        <f>VLOOKUP(A30,'Trips&amp;Operators'!$C$1:$E$10000,3,FALSE)</f>
        <v>STARKS</v>
      </c>
      <c r="M30" s="11">
        <f t="shared" si="1"/>
        <v>2.8587962966412306E-2</v>
      </c>
      <c r="N30" s="12">
        <f t="shared" si="11"/>
        <v>41.16666667163372</v>
      </c>
      <c r="O30" s="12"/>
      <c r="P30" s="12"/>
      <c r="Q30" s="44"/>
      <c r="R30" s="44"/>
      <c r="S30" s="70">
        <f t="shared" si="3"/>
        <v>1</v>
      </c>
      <c r="T30" s="2" t="str">
        <f t="shared" si="4"/>
        <v>Southbound</v>
      </c>
      <c r="U30" s="2">
        <f>COUNTIFS(Variables!$M$2:$M$19, "&lt;=" &amp; Y30, Variables!$M$2:$M$19, "&gt;=" &amp; Z30)</f>
        <v>12</v>
      </c>
      <c r="V3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06:37:36-0600',mode:absolute,to:'2016-06-23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0" s="48" t="str">
        <f t="shared" si="6"/>
        <v>N</v>
      </c>
      <c r="X30" s="48">
        <f t="shared" si="7"/>
        <v>1</v>
      </c>
      <c r="Y30" s="48">
        <f t="shared" si="8"/>
        <v>23.3096</v>
      </c>
      <c r="Z30" s="48">
        <f t="shared" si="9"/>
        <v>7.4000000000000003E-3</v>
      </c>
      <c r="AA30" s="48">
        <f t="shared" si="10"/>
        <v>23.302199999999999</v>
      </c>
      <c r="AB30" s="49">
        <f>VLOOKUP(A30,Enforcements!$C$7:$J$73,8,0)</f>
        <v>1</v>
      </c>
      <c r="AC30" s="49" t="str">
        <f>VLOOKUP(A30,Enforcements!$C$7:$E$73,3,0)</f>
        <v>TRACK WARRANT AUTHORITY</v>
      </c>
    </row>
    <row r="31" spans="1:29" s="2" customFormat="1" x14ac:dyDescent="0.25">
      <c r="A31" s="43" t="s">
        <v>390</v>
      </c>
      <c r="B31" s="43">
        <v>4018</v>
      </c>
      <c r="C31" s="43" t="s">
        <v>60</v>
      </c>
      <c r="D31" s="43" t="s">
        <v>448</v>
      </c>
      <c r="E31" s="25">
        <v>42544.248229166667</v>
      </c>
      <c r="F31" s="25">
        <v>42544.248923611114</v>
      </c>
      <c r="G31" s="31">
        <v>1</v>
      </c>
      <c r="H31" s="25" t="s">
        <v>449</v>
      </c>
      <c r="I31" s="25">
        <v>42544.27516203704</v>
      </c>
      <c r="J31" s="43">
        <v>0</v>
      </c>
      <c r="K31" s="43" t="str">
        <f t="shared" si="0"/>
        <v>4017/4018</v>
      </c>
      <c r="L31" s="43" t="str">
        <f>VLOOKUP(A31,'Trips&amp;Operators'!$C$1:$E$10000,3,FALSE)</f>
        <v>YORK</v>
      </c>
      <c r="M31" s="11">
        <f t="shared" si="1"/>
        <v>2.6238425925839692E-2</v>
      </c>
      <c r="N31" s="12">
        <f t="shared" si="11"/>
        <v>37.783333333209157</v>
      </c>
      <c r="O31" s="12"/>
      <c r="P31" s="12"/>
      <c r="Q31" s="44"/>
      <c r="R31" s="44"/>
      <c r="S31" s="70">
        <f t="shared" si="3"/>
        <v>1</v>
      </c>
      <c r="T31" s="2" t="str">
        <f t="shared" si="4"/>
        <v>NorthBound</v>
      </c>
      <c r="U31" s="2">
        <f>COUNTIFS(Variables!$M$2:$M$19, "&gt;=" &amp; Y31, Variables!$M$2:$M$19, "&lt;=" &amp; Z31)</f>
        <v>12</v>
      </c>
      <c r="V3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05:56:27-0600',mode:absolute,to:'2016-06-23 06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48" t="str">
        <f t="shared" si="6"/>
        <v>N</v>
      </c>
      <c r="X31" s="48">
        <f t="shared" si="7"/>
        <v>1</v>
      </c>
      <c r="Y31" s="48">
        <f t="shared" si="8"/>
        <v>7.46E-2</v>
      </c>
      <c r="Z31" s="48">
        <f t="shared" si="9"/>
        <v>23.33</v>
      </c>
      <c r="AA31" s="48">
        <f t="shared" si="10"/>
        <v>23.255399999999998</v>
      </c>
      <c r="AB31" s="49" t="e">
        <f>VLOOKUP(A31,Enforcements!$C$7:$J$73,8,0)</f>
        <v>#N/A</v>
      </c>
      <c r="AC31" s="49" t="e">
        <f>VLOOKUP(A31,Enforcements!$C$7:$E$73,3,0)</f>
        <v>#N/A</v>
      </c>
    </row>
    <row r="32" spans="1:29" s="2" customFormat="1" x14ac:dyDescent="0.25">
      <c r="A32" s="43" t="s">
        <v>331</v>
      </c>
      <c r="B32" s="43">
        <v>4017</v>
      </c>
      <c r="C32" s="43" t="s">
        <v>60</v>
      </c>
      <c r="D32" s="43" t="s">
        <v>450</v>
      </c>
      <c r="E32" s="25">
        <v>42544.282187500001</v>
      </c>
      <c r="F32" s="25">
        <v>42544.283125000002</v>
      </c>
      <c r="G32" s="31">
        <v>1</v>
      </c>
      <c r="H32" s="25" t="s">
        <v>61</v>
      </c>
      <c r="I32" s="25">
        <v>42544.315405092595</v>
      </c>
      <c r="J32" s="43">
        <v>0</v>
      </c>
      <c r="K32" s="43" t="str">
        <f t="shared" si="0"/>
        <v>4017/4018</v>
      </c>
      <c r="L32" s="43" t="str">
        <f>VLOOKUP(A32,'Trips&amp;Operators'!$C$1:$E$10000,3,FALSE)</f>
        <v>YORK</v>
      </c>
      <c r="M32" s="11">
        <f t="shared" si="1"/>
        <v>3.2280092593282461E-2</v>
      </c>
      <c r="N32" s="12">
        <f t="shared" si="11"/>
        <v>46.483333334326744</v>
      </c>
      <c r="O32" s="12"/>
      <c r="P32" s="12"/>
      <c r="Q32" s="44"/>
      <c r="R32" s="44"/>
      <c r="S32" s="70">
        <f t="shared" si="3"/>
        <v>1</v>
      </c>
      <c r="T32" s="2" t="str">
        <f t="shared" si="4"/>
        <v>Southbound</v>
      </c>
      <c r="U32" s="2">
        <f>COUNTIFS(Variables!$M$2:$M$19, "&lt;=" &amp; Y32, Variables!$M$2:$M$19, "&gt;=" &amp; Z32)</f>
        <v>12</v>
      </c>
      <c r="V3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06:45:21-0600',mode:absolute,to:'2016-06-23 07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48" t="str">
        <f t="shared" si="6"/>
        <v>N</v>
      </c>
      <c r="X32" s="48">
        <f t="shared" si="7"/>
        <v>1</v>
      </c>
      <c r="Y32" s="48">
        <f t="shared" si="8"/>
        <v>23.298500000000001</v>
      </c>
      <c r="Z32" s="48">
        <f t="shared" si="9"/>
        <v>1.4500000000000001E-2</v>
      </c>
      <c r="AA32" s="48">
        <f t="shared" si="10"/>
        <v>23.283999999999999</v>
      </c>
      <c r="AB32" s="49" t="e">
        <f>VLOOKUP(A32,Enforcements!$C$7:$J$73,8,0)</f>
        <v>#N/A</v>
      </c>
      <c r="AC32" s="49" t="e">
        <f>VLOOKUP(A32,Enforcements!$C$7:$E$73,3,0)</f>
        <v>#N/A</v>
      </c>
    </row>
    <row r="33" spans="1:29" s="2" customFormat="1" x14ac:dyDescent="0.25">
      <c r="A33" s="43" t="s">
        <v>234</v>
      </c>
      <c r="B33" s="43">
        <v>4007</v>
      </c>
      <c r="C33" s="43" t="s">
        <v>60</v>
      </c>
      <c r="D33" s="43" t="s">
        <v>87</v>
      </c>
      <c r="E33" s="25">
        <v>42544.256296296298</v>
      </c>
      <c r="F33" s="25">
        <v>42544.257361111115</v>
      </c>
      <c r="G33" s="31">
        <v>1</v>
      </c>
      <c r="H33" s="25" t="s">
        <v>111</v>
      </c>
      <c r="I33" s="25">
        <v>42544.286087962966</v>
      </c>
      <c r="J33" s="43">
        <v>1</v>
      </c>
      <c r="K33" s="43" t="str">
        <f t="shared" si="0"/>
        <v>4007/4008</v>
      </c>
      <c r="L33" s="43" t="str">
        <f>VLOOKUP(A33,'Trips&amp;Operators'!$C$1:$E$10000,3,FALSE)</f>
        <v>SANTIZO</v>
      </c>
      <c r="M33" s="11">
        <f t="shared" si="1"/>
        <v>2.8726851851388346E-2</v>
      </c>
      <c r="N33" s="12">
        <f t="shared" si="11"/>
        <v>41.366666665999219</v>
      </c>
      <c r="O33" s="12"/>
      <c r="P33" s="12"/>
      <c r="Q33" s="44"/>
      <c r="R33" s="44"/>
      <c r="S33" s="70">
        <f t="shared" si="3"/>
        <v>1</v>
      </c>
      <c r="T33" s="2" t="str">
        <f t="shared" si="4"/>
        <v>NorthBound</v>
      </c>
      <c r="U33" s="2">
        <f>COUNTIFS(Variables!$M$2:$M$19, "&gt;=" &amp; Y33, Variables!$M$2:$M$19, "&lt;=" &amp; Z33)</f>
        <v>12</v>
      </c>
      <c r="V3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06:08:04-0600',mode:absolute,to:'2016-06-23 06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3" s="48" t="str">
        <f t="shared" si="6"/>
        <v>N</v>
      </c>
      <c r="X33" s="48">
        <f t="shared" si="7"/>
        <v>1</v>
      </c>
      <c r="Y33" s="48">
        <f t="shared" si="8"/>
        <v>4.58E-2</v>
      </c>
      <c r="Z33" s="48">
        <f t="shared" si="9"/>
        <v>23.3309</v>
      </c>
      <c r="AA33" s="48">
        <f t="shared" si="10"/>
        <v>23.2851</v>
      </c>
      <c r="AB33" s="49">
        <f>VLOOKUP(A33,Enforcements!$C$7:$J$73,8,0)</f>
        <v>233491</v>
      </c>
      <c r="AC33" s="49" t="str">
        <f>VLOOKUP(A33,Enforcements!$C$7:$E$73,3,0)</f>
        <v>TRACK WARRANT AUTHORITY</v>
      </c>
    </row>
    <row r="34" spans="1:29" s="2" customFormat="1" x14ac:dyDescent="0.25">
      <c r="A34" s="43" t="s">
        <v>238</v>
      </c>
      <c r="B34" s="43">
        <v>4008</v>
      </c>
      <c r="C34" s="43" t="s">
        <v>60</v>
      </c>
      <c r="D34" s="43" t="s">
        <v>200</v>
      </c>
      <c r="E34" s="25">
        <v>42544.295300925929</v>
      </c>
      <c r="F34" s="25">
        <v>42544.296249999999</v>
      </c>
      <c r="G34" s="31">
        <v>1</v>
      </c>
      <c r="H34" s="25" t="s">
        <v>451</v>
      </c>
      <c r="I34" s="25">
        <v>42544.326226851852</v>
      </c>
      <c r="J34" s="43">
        <v>1</v>
      </c>
      <c r="K34" s="43" t="str">
        <f t="shared" si="0"/>
        <v>4007/4008</v>
      </c>
      <c r="L34" s="43" t="str">
        <f>VLOOKUP(A34,'Trips&amp;Operators'!$C$1:$E$10000,3,FALSE)</f>
        <v>SANTIZO</v>
      </c>
      <c r="M34" s="11">
        <f t="shared" si="1"/>
        <v>2.99768518525525E-2</v>
      </c>
      <c r="N34" s="12">
        <f t="shared" si="11"/>
        <v>43.166666667675599</v>
      </c>
      <c r="O34" s="12"/>
      <c r="P34" s="12"/>
      <c r="Q34" s="44"/>
      <c r="R34" s="44"/>
      <c r="S34" s="70">
        <f t="shared" si="3"/>
        <v>1</v>
      </c>
      <c r="T34" s="2" t="str">
        <f t="shared" si="4"/>
        <v>Southbound</v>
      </c>
      <c r="U34" s="2">
        <f>COUNTIFS(Variables!$M$2:$M$19, "&lt;=" &amp; Y34, Variables!$M$2:$M$19, "&gt;=" &amp; Z34)</f>
        <v>12</v>
      </c>
      <c r="V3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07:04:14-0600',mode:absolute,to:'2016-06-23 07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4" s="48" t="str">
        <f t="shared" si="6"/>
        <v>N</v>
      </c>
      <c r="X34" s="48">
        <f t="shared" si="7"/>
        <v>1</v>
      </c>
      <c r="Y34" s="48">
        <f t="shared" si="8"/>
        <v>23.297999999999998</v>
      </c>
      <c r="Z34" s="48">
        <f t="shared" si="9"/>
        <v>1.7600000000000001E-2</v>
      </c>
      <c r="AA34" s="48">
        <f t="shared" si="10"/>
        <v>23.280399999999997</v>
      </c>
      <c r="AB34" s="49">
        <f>VLOOKUP(A34,Enforcements!$C$7:$J$73,8,0)</f>
        <v>1</v>
      </c>
      <c r="AC34" s="49" t="str">
        <f>VLOOKUP(A34,Enforcements!$C$7:$E$73,3,0)</f>
        <v>TRACK WARRANT AUTHORITY</v>
      </c>
    </row>
    <row r="35" spans="1:29" s="2" customFormat="1" x14ac:dyDescent="0.25">
      <c r="A35" s="43" t="s">
        <v>393</v>
      </c>
      <c r="B35" s="43">
        <v>4040</v>
      </c>
      <c r="C35" s="43" t="s">
        <v>60</v>
      </c>
      <c r="D35" s="43" t="s">
        <v>163</v>
      </c>
      <c r="E35" s="25">
        <v>42544.266099537039</v>
      </c>
      <c r="F35" s="25">
        <v>42544.267557870371</v>
      </c>
      <c r="G35" s="31">
        <v>2</v>
      </c>
      <c r="H35" s="25" t="s">
        <v>452</v>
      </c>
      <c r="I35" s="25">
        <v>42544.296990740739</v>
      </c>
      <c r="J35" s="43">
        <v>0</v>
      </c>
      <c r="K35" s="43" t="str">
        <f t="shared" si="0"/>
        <v>4039/4040</v>
      </c>
      <c r="L35" s="43" t="str">
        <f>VLOOKUP(A35,'Trips&amp;Operators'!$C$1:$E$10000,3,FALSE)</f>
        <v>KILLION</v>
      </c>
      <c r="M35" s="11">
        <f t="shared" si="1"/>
        <v>2.9432870367600117E-2</v>
      </c>
      <c r="N35" s="12">
        <f t="shared" si="11"/>
        <v>42.383333329344168</v>
      </c>
      <c r="O35" s="12"/>
      <c r="P35" s="12"/>
      <c r="Q35" s="44"/>
      <c r="R35" s="44"/>
      <c r="S35" s="70">
        <f t="shared" si="3"/>
        <v>1</v>
      </c>
      <c r="T35" s="2" t="str">
        <f t="shared" si="4"/>
        <v>NorthBound</v>
      </c>
      <c r="U35" s="2">
        <f>COUNTIFS(Variables!$M$2:$M$19, "&gt;=" &amp; Y35, Variables!$M$2:$M$19, "&lt;=" &amp; Z35)</f>
        <v>12</v>
      </c>
      <c r="V3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06:22:11-0600',mode:absolute,to:'2016-06-23 07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5" s="48" t="str">
        <f t="shared" si="6"/>
        <v>N</v>
      </c>
      <c r="X35" s="48">
        <f t="shared" si="7"/>
        <v>1</v>
      </c>
      <c r="Y35" s="48">
        <f t="shared" si="8"/>
        <v>4.8399999999999999E-2</v>
      </c>
      <c r="Z35" s="48">
        <f t="shared" si="9"/>
        <v>23.3325</v>
      </c>
      <c r="AA35" s="48">
        <f t="shared" si="10"/>
        <v>23.284099999999999</v>
      </c>
      <c r="AB35" s="49" t="e">
        <f>VLOOKUP(A35,Enforcements!$C$7:$J$73,8,0)</f>
        <v>#N/A</v>
      </c>
      <c r="AC35" s="49" t="e">
        <f>VLOOKUP(A35,Enforcements!$C$7:$E$73,3,0)</f>
        <v>#N/A</v>
      </c>
    </row>
    <row r="36" spans="1:29" s="2" customFormat="1" x14ac:dyDescent="0.25">
      <c r="A36" s="43" t="s">
        <v>329</v>
      </c>
      <c r="B36" s="43">
        <v>4039</v>
      </c>
      <c r="C36" s="43" t="s">
        <v>60</v>
      </c>
      <c r="D36" s="43" t="s">
        <v>453</v>
      </c>
      <c r="E36" s="25">
        <v>42544.298831018517</v>
      </c>
      <c r="F36" s="25">
        <v>42544.299733796295</v>
      </c>
      <c r="G36" s="31">
        <v>1</v>
      </c>
      <c r="H36" s="25" t="s">
        <v>454</v>
      </c>
      <c r="I36" s="25">
        <v>42544.336261574077</v>
      </c>
      <c r="J36" s="43">
        <v>0</v>
      </c>
      <c r="K36" s="43" t="str">
        <f t="shared" si="0"/>
        <v>4039/4040</v>
      </c>
      <c r="L36" s="43" t="str">
        <f>VLOOKUP(A36,'Trips&amp;Operators'!$C$1:$E$10000,3,FALSE)</f>
        <v>KILLION</v>
      </c>
      <c r="M36" s="11">
        <f t="shared" si="1"/>
        <v>3.6527777781884652E-2</v>
      </c>
      <c r="N36" s="12">
        <f t="shared" si="11"/>
        <v>52.600000005913898</v>
      </c>
      <c r="O36" s="12"/>
      <c r="P36" s="12"/>
      <c r="Q36" s="44"/>
      <c r="R36" s="44"/>
      <c r="S36" s="70">
        <f t="shared" si="3"/>
        <v>1</v>
      </c>
      <c r="T36" s="2" t="str">
        <f t="shared" si="4"/>
        <v>Southbound</v>
      </c>
      <c r="U36" s="2">
        <f>COUNTIFS(Variables!$M$2:$M$19, "&lt;=" &amp; Y36, Variables!$M$2:$M$19, "&gt;=" &amp; Z36)</f>
        <v>12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07:09:19-0600',mode:absolute,to:'2016-06-23 08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6" s="48" t="str">
        <f t="shared" si="6"/>
        <v>N</v>
      </c>
      <c r="X36" s="48">
        <f t="shared" si="7"/>
        <v>1</v>
      </c>
      <c r="Y36" s="48">
        <f t="shared" si="8"/>
        <v>23.3004</v>
      </c>
      <c r="Z36" s="48">
        <f t="shared" si="9"/>
        <v>1.23E-2</v>
      </c>
      <c r="AA36" s="48">
        <f t="shared" si="10"/>
        <v>23.2881</v>
      </c>
      <c r="AB36" s="49" t="e">
        <f>VLOOKUP(A36,Enforcements!$C$7:$J$73,8,0)</f>
        <v>#N/A</v>
      </c>
      <c r="AC36" s="49" t="e">
        <f>VLOOKUP(A36,Enforcements!$C$7:$E$73,3,0)</f>
        <v>#N/A</v>
      </c>
    </row>
    <row r="37" spans="1:29" s="2" customFormat="1" x14ac:dyDescent="0.25">
      <c r="A37" s="43" t="s">
        <v>334</v>
      </c>
      <c r="B37" s="43">
        <v>4020</v>
      </c>
      <c r="C37" s="43" t="s">
        <v>60</v>
      </c>
      <c r="D37" s="43" t="s">
        <v>87</v>
      </c>
      <c r="E37" s="25">
        <v>42544.278587962966</v>
      </c>
      <c r="F37" s="25">
        <v>42544.281238425923</v>
      </c>
      <c r="G37" s="31">
        <v>3</v>
      </c>
      <c r="H37" s="25" t="s">
        <v>165</v>
      </c>
      <c r="I37" s="25">
        <v>42544.30741898148</v>
      </c>
      <c r="J37" s="43">
        <v>0</v>
      </c>
      <c r="K37" s="43" t="str">
        <f t="shared" si="0"/>
        <v>4019/4020</v>
      </c>
      <c r="L37" s="43" t="str">
        <f>VLOOKUP(A37,'Trips&amp;Operators'!$C$1:$E$10000,3,FALSE)</f>
        <v>STAMBAUGH</v>
      </c>
      <c r="M37" s="11">
        <f t="shared" si="1"/>
        <v>2.6180555556493346E-2</v>
      </c>
      <c r="N37" s="12">
        <f t="shared" si="11"/>
        <v>37.700000001350418</v>
      </c>
      <c r="O37" s="12"/>
      <c r="P37" s="12"/>
      <c r="Q37" s="44"/>
      <c r="R37" s="44"/>
      <c r="S37" s="70">
        <f t="shared" si="3"/>
        <v>1</v>
      </c>
      <c r="T37" s="2" t="str">
        <f t="shared" si="4"/>
        <v>NorthBound</v>
      </c>
      <c r="U37" s="2">
        <f>COUNTIFS(Variables!$M$2:$M$19, "&gt;=" &amp; Y37, Variables!$M$2:$M$19, "&lt;=" &amp; 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06:40:10-0600',mode:absolute,to:'2016-06-23 07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7" s="48" t="str">
        <f t="shared" si="6"/>
        <v>N</v>
      </c>
      <c r="X37" s="48">
        <f t="shared" si="7"/>
        <v>1</v>
      </c>
      <c r="Y37" s="48">
        <f t="shared" si="8"/>
        <v>4.58E-2</v>
      </c>
      <c r="Z37" s="48">
        <f t="shared" si="9"/>
        <v>23.328800000000001</v>
      </c>
      <c r="AA37" s="48">
        <f t="shared" si="10"/>
        <v>23.283000000000001</v>
      </c>
      <c r="AB37" s="49" t="e">
        <f>VLOOKUP(A37,Enforcements!$C$7:$J$73,8,0)</f>
        <v>#N/A</v>
      </c>
      <c r="AC37" s="49" t="e">
        <f>VLOOKUP(A37,Enforcements!$C$7:$E$73,3,0)</f>
        <v>#N/A</v>
      </c>
    </row>
    <row r="38" spans="1:29" s="2" customFormat="1" x14ac:dyDescent="0.25">
      <c r="A38" s="43" t="s">
        <v>374</v>
      </c>
      <c r="B38" s="43">
        <v>4019</v>
      </c>
      <c r="C38" s="43" t="s">
        <v>60</v>
      </c>
      <c r="D38" s="43" t="s">
        <v>92</v>
      </c>
      <c r="E38" s="25">
        <v>42544.315682870372</v>
      </c>
      <c r="F38" s="25">
        <v>42544.316817129627</v>
      </c>
      <c r="G38" s="31">
        <v>1</v>
      </c>
      <c r="H38" s="25" t="s">
        <v>77</v>
      </c>
      <c r="I38" s="25">
        <v>42544.348993055559</v>
      </c>
      <c r="J38" s="43">
        <v>0</v>
      </c>
      <c r="K38" s="43" t="str">
        <f t="shared" si="0"/>
        <v>4019/4020</v>
      </c>
      <c r="L38" s="43" t="str">
        <f>VLOOKUP(A38,'Trips&amp;Operators'!$C$1:$E$10000,3,FALSE)</f>
        <v>STAMBAUGH</v>
      </c>
      <c r="M38" s="11">
        <f t="shared" si="1"/>
        <v>3.217592593136942E-2</v>
      </c>
      <c r="N38" s="12">
        <f t="shared" si="11"/>
        <v>46.333333341171965</v>
      </c>
      <c r="O38" s="12"/>
      <c r="P38" s="12"/>
      <c r="Q38" s="44"/>
      <c r="R38" s="44"/>
      <c r="S38" s="70">
        <f t="shared" si="3"/>
        <v>1</v>
      </c>
      <c r="T38" s="2" t="str">
        <f t="shared" si="4"/>
        <v>Southbound</v>
      </c>
      <c r="U38" s="2">
        <f>COUNTIFS(Variables!$M$2:$M$19, "&lt;=" &amp; Y38, Variables!$M$2:$M$19, "&gt;=" &amp; 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07:33:35-0600',mode:absolute,to:'2016-06-23 08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23.297499999999999</v>
      </c>
      <c r="Z38" s="48">
        <f t="shared" si="9"/>
        <v>1.5599999999999999E-2</v>
      </c>
      <c r="AA38" s="48">
        <f t="shared" si="10"/>
        <v>23.2819</v>
      </c>
      <c r="AB38" s="49" t="e">
        <f>VLOOKUP(A38,Enforcements!$C$7:$J$73,8,0)</f>
        <v>#N/A</v>
      </c>
      <c r="AC38" s="49" t="e">
        <f>VLOOKUP(A38,Enforcements!$C$7:$E$73,3,0)</f>
        <v>#N/A</v>
      </c>
    </row>
    <row r="39" spans="1:29" s="2" customFormat="1" x14ac:dyDescent="0.25">
      <c r="A39" s="43" t="s">
        <v>416</v>
      </c>
      <c r="B39" s="43">
        <v>4029</v>
      </c>
      <c r="C39" s="43" t="s">
        <v>60</v>
      </c>
      <c r="D39" s="43" t="s">
        <v>193</v>
      </c>
      <c r="E39" s="25">
        <v>42544.2890162037</v>
      </c>
      <c r="F39" s="25">
        <v>42544.290011574078</v>
      </c>
      <c r="G39" s="31">
        <v>1</v>
      </c>
      <c r="H39" s="25" t="s">
        <v>190</v>
      </c>
      <c r="I39" s="25">
        <v>42544.318819444445</v>
      </c>
      <c r="J39" s="43">
        <v>0</v>
      </c>
      <c r="K39" s="43" t="str">
        <f t="shared" si="0"/>
        <v>4029/4030</v>
      </c>
      <c r="L39" s="43" t="str">
        <f>VLOOKUP(A39,'Trips&amp;Operators'!$C$1:$E$10000,3,FALSE)</f>
        <v>CANFIELD</v>
      </c>
      <c r="M39" s="11">
        <f t="shared" si="1"/>
        <v>2.880787036701804E-2</v>
      </c>
      <c r="N39" s="12">
        <f t="shared" si="11"/>
        <v>41.483333328505978</v>
      </c>
      <c r="O39" s="12"/>
      <c r="P39" s="12"/>
      <c r="Q39" s="44"/>
      <c r="R39" s="44"/>
      <c r="S39" s="70">
        <f t="shared" si="3"/>
        <v>1</v>
      </c>
      <c r="T39" s="2" t="str">
        <f t="shared" si="4"/>
        <v>NorthBound</v>
      </c>
      <c r="U39" s="2">
        <f>COUNTIFS(Variables!$M$2:$M$19, "&gt;=" &amp; Y39, Variables!$M$2:$M$19, "&lt;=" &amp; 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06:55:11-0600',mode:absolute,to:'2016-06-23 07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4.6600000000000003E-2</v>
      </c>
      <c r="Z39" s="48">
        <f t="shared" si="9"/>
        <v>23.329799999999999</v>
      </c>
      <c r="AA39" s="48">
        <f t="shared" si="10"/>
        <v>23.283199999999997</v>
      </c>
      <c r="AB39" s="49" t="e">
        <f>VLOOKUP(A39,Enforcements!$C$7:$J$73,8,0)</f>
        <v>#N/A</v>
      </c>
      <c r="AC39" s="49" t="e">
        <f>VLOOKUP(A39,Enforcements!$C$7:$E$73,3,0)</f>
        <v>#N/A</v>
      </c>
    </row>
    <row r="40" spans="1:29" s="2" customFormat="1" x14ac:dyDescent="0.25">
      <c r="A40" s="66" t="s">
        <v>372</v>
      </c>
      <c r="B40" s="43">
        <v>4030</v>
      </c>
      <c r="C40" s="43" t="s">
        <v>60</v>
      </c>
      <c r="D40" s="43" t="s">
        <v>195</v>
      </c>
      <c r="E40" s="25">
        <v>42544.325752314813</v>
      </c>
      <c r="F40" s="25">
        <v>42544.326805555553</v>
      </c>
      <c r="G40" s="31">
        <v>1</v>
      </c>
      <c r="H40" s="25" t="s">
        <v>67</v>
      </c>
      <c r="I40" s="25">
        <v>42544.358946759261</v>
      </c>
      <c r="J40" s="43">
        <v>0</v>
      </c>
      <c r="K40" s="43" t="str">
        <f t="shared" si="0"/>
        <v>4029/4030</v>
      </c>
      <c r="L40" s="43" t="str">
        <f>VLOOKUP(A40,'Trips&amp;Operators'!$C$1:$E$10000,3,FALSE)</f>
        <v>CANFIELD</v>
      </c>
      <c r="M40" s="11">
        <f t="shared" si="1"/>
        <v>3.2141203708306421E-2</v>
      </c>
      <c r="N40" s="12">
        <f t="shared" si="11"/>
        <v>46.283333339961246</v>
      </c>
      <c r="O40" s="12"/>
      <c r="P40" s="12"/>
      <c r="Q40" s="44"/>
      <c r="R40" s="44"/>
      <c r="S40" s="70">
        <f t="shared" si="3"/>
        <v>1</v>
      </c>
      <c r="T40" s="2" t="str">
        <f t="shared" si="4"/>
        <v>Southbound</v>
      </c>
      <c r="U40" s="2">
        <f>COUNTIFS(Variables!$M$2:$M$19, "&lt;=" &amp; Y40, Variables!$M$2:$M$19, "&gt;=" &amp; Z40)</f>
        <v>12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07:48:05-0600',mode:absolute,to:'2016-06-23 08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0" s="48" t="str">
        <f t="shared" si="6"/>
        <v>N</v>
      </c>
      <c r="X40" s="48">
        <f t="shared" si="7"/>
        <v>1</v>
      </c>
      <c r="Y40" s="48">
        <f t="shared" si="8"/>
        <v>23.2974</v>
      </c>
      <c r="Z40" s="48">
        <f t="shared" si="9"/>
        <v>1.47E-2</v>
      </c>
      <c r="AA40" s="48">
        <f t="shared" si="10"/>
        <v>23.282699999999998</v>
      </c>
      <c r="AB40" s="49" t="e">
        <f>VLOOKUP(A40,Enforcements!$C$7:$J$73,8,0)</f>
        <v>#N/A</v>
      </c>
      <c r="AC40" s="49" t="e">
        <f>VLOOKUP(A40,Enforcements!$C$7:$E$73,3,0)</f>
        <v>#N/A</v>
      </c>
    </row>
    <row r="41" spans="1:29" s="2" customFormat="1" x14ac:dyDescent="0.25">
      <c r="A41" s="43" t="s">
        <v>327</v>
      </c>
      <c r="B41" s="43">
        <v>4014</v>
      </c>
      <c r="C41" s="43" t="s">
        <v>60</v>
      </c>
      <c r="D41" s="43" t="s">
        <v>455</v>
      </c>
      <c r="E41" s="25">
        <v>42544.300011574072</v>
      </c>
      <c r="F41" s="25">
        <v>42544.301249999997</v>
      </c>
      <c r="G41" s="31">
        <v>1</v>
      </c>
      <c r="H41" s="25" t="s">
        <v>108</v>
      </c>
      <c r="I41" s="25">
        <v>42544.302407407406</v>
      </c>
      <c r="J41" s="43">
        <v>1</v>
      </c>
      <c r="K41" s="43" t="str">
        <f t="shared" si="0"/>
        <v>4013/4014</v>
      </c>
      <c r="L41" s="43" t="str">
        <f>VLOOKUP(A41,'Trips&amp;Operators'!$C$1:$E$10000,3,FALSE)</f>
        <v>MALAVE</v>
      </c>
      <c r="M41" s="11">
        <f t="shared" si="1"/>
        <v>1.157407408754807E-3</v>
      </c>
      <c r="N41" s="12"/>
      <c r="O41" s="12"/>
      <c r="P41" s="12">
        <f>24*60*SUM($M41:$M41)</f>
        <v>1.666666668606922</v>
      </c>
      <c r="Q41" s="44"/>
      <c r="R41" s="44" t="s">
        <v>223</v>
      </c>
      <c r="S41" s="70">
        <f t="shared" si="3"/>
        <v>1</v>
      </c>
      <c r="T41" s="2" t="str">
        <f t="shared" si="4"/>
        <v>NorthBound</v>
      </c>
      <c r="U41" s="2">
        <f>COUNTIFS(Variables!$M$2:$M$19, "&gt;=" &amp; Y41, Variables!$M$2:$M$19, "&lt;=" &amp; 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07:11:01-0600',mode:absolute,to:'2016-06-23 07:16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1" s="48" t="str">
        <f t="shared" si="6"/>
        <v>N</v>
      </c>
      <c r="X41" s="48">
        <f t="shared" si="7"/>
        <v>1</v>
      </c>
      <c r="Y41" s="48">
        <f t="shared" si="8"/>
        <v>4.1500000000000002E-2</v>
      </c>
      <c r="Z41" s="48">
        <f t="shared" si="9"/>
        <v>23.329499999999999</v>
      </c>
      <c r="AA41" s="48">
        <f t="shared" si="10"/>
        <v>23.288</v>
      </c>
      <c r="AB41" s="49" t="e">
        <f>VLOOKUP(A41,Enforcements!$C$7:$J$73,8,0)</f>
        <v>#N/A</v>
      </c>
      <c r="AC41" s="49" t="e">
        <f>VLOOKUP(A41,Enforcements!$C$7:$E$73,3,0)</f>
        <v>#N/A</v>
      </c>
    </row>
    <row r="42" spans="1:29" s="2" customFormat="1" x14ac:dyDescent="0.25">
      <c r="A42" s="43" t="s">
        <v>422</v>
      </c>
      <c r="B42" s="43">
        <v>4013</v>
      </c>
      <c r="C42" s="43" t="s">
        <v>60</v>
      </c>
      <c r="D42" s="43" t="s">
        <v>162</v>
      </c>
      <c r="E42" s="25">
        <v>42544.339571759258</v>
      </c>
      <c r="F42" s="25">
        <v>42544.340648148151</v>
      </c>
      <c r="G42" s="31">
        <v>1</v>
      </c>
      <c r="H42" s="25" t="s">
        <v>456</v>
      </c>
      <c r="I42" s="25">
        <v>42544.370034722226</v>
      </c>
      <c r="J42" s="43">
        <v>0</v>
      </c>
      <c r="K42" s="43" t="str">
        <f t="shared" si="0"/>
        <v>4013/4014</v>
      </c>
      <c r="L42" s="43" t="str">
        <f>VLOOKUP(A42,'Trips&amp;Operators'!$C$1:$E$10000,3,FALSE)</f>
        <v>MALAVE</v>
      </c>
      <c r="M42" s="11">
        <f t="shared" si="1"/>
        <v>2.9386574075033423E-2</v>
      </c>
      <c r="N42" s="12">
        <f t="shared" ref="N42:N60" si="12">24*60*SUM($M42:$M42)</f>
        <v>42.316666668048128</v>
      </c>
      <c r="O42" s="12"/>
      <c r="P42" s="12"/>
      <c r="Q42" s="44"/>
      <c r="R42" s="44"/>
      <c r="S42" s="70">
        <f t="shared" si="3"/>
        <v>1</v>
      </c>
      <c r="T42" s="2" t="str">
        <f t="shared" si="4"/>
        <v>Southbound</v>
      </c>
      <c r="U42" s="2">
        <f>COUNTIFS(Variables!$M$2:$M$19, "&lt;=" &amp; Y42, Variables!$M$2:$M$19, "&gt;=" &amp; Z42)</f>
        <v>12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08:07:59-0600',mode:absolute,to:'2016-06-23 08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2" s="48" t="str">
        <f t="shared" si="6"/>
        <v>N</v>
      </c>
      <c r="X42" s="48">
        <f t="shared" si="7"/>
        <v>1</v>
      </c>
      <c r="Y42" s="48">
        <f t="shared" si="8"/>
        <v>23.296700000000001</v>
      </c>
      <c r="Z42" s="48">
        <f t="shared" si="9"/>
        <v>0.11559999999999999</v>
      </c>
      <c r="AA42" s="48">
        <f t="shared" si="10"/>
        <v>23.181100000000001</v>
      </c>
      <c r="AB42" s="49" t="e">
        <f>VLOOKUP(A42,Enforcements!$C$7:$J$73,8,0)</f>
        <v>#N/A</v>
      </c>
      <c r="AC42" s="49" t="e">
        <f>VLOOKUP(A42,Enforcements!$C$7:$E$73,3,0)</f>
        <v>#N/A</v>
      </c>
    </row>
    <row r="43" spans="1:29" s="2" customFormat="1" x14ac:dyDescent="0.25">
      <c r="A43" s="43" t="s">
        <v>237</v>
      </c>
      <c r="B43" s="43">
        <v>4009</v>
      </c>
      <c r="C43" s="43" t="s">
        <v>60</v>
      </c>
      <c r="D43" s="43" t="s">
        <v>457</v>
      </c>
      <c r="E43" s="25">
        <v>42544.309548611112</v>
      </c>
      <c r="F43" s="25">
        <v>42544.310254629629</v>
      </c>
      <c r="G43" s="31">
        <v>1</v>
      </c>
      <c r="H43" s="25" t="s">
        <v>458</v>
      </c>
      <c r="I43" s="25">
        <v>42544.339687500003</v>
      </c>
      <c r="J43" s="43">
        <v>3</v>
      </c>
      <c r="K43" s="43" t="str">
        <f t="shared" si="0"/>
        <v>4009/4010</v>
      </c>
      <c r="L43" s="43" t="str">
        <f>VLOOKUP(A43,'Trips&amp;Operators'!$C$1:$E$10000,3,FALSE)</f>
        <v>STARKS</v>
      </c>
      <c r="M43" s="11">
        <f t="shared" si="1"/>
        <v>2.9432870374876074E-2</v>
      </c>
      <c r="N43" s="12">
        <f t="shared" si="12"/>
        <v>42.383333339821547</v>
      </c>
      <c r="O43" s="12"/>
      <c r="P43" s="12"/>
      <c r="Q43" s="44"/>
      <c r="R43" s="44"/>
      <c r="S43" s="70">
        <f t="shared" si="3"/>
        <v>1</v>
      </c>
      <c r="T43" s="2" t="str">
        <f t="shared" si="4"/>
        <v>NorthBound</v>
      </c>
      <c r="U43" s="2">
        <f>COUNTIFS(Variables!$M$2:$M$19, "&gt;=" &amp; Y43, Variables!$M$2:$M$19, "&lt;=" &amp; Z43)</f>
        <v>12</v>
      </c>
      <c r="V4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3" s="48" t="str">
        <f t="shared" si="6"/>
        <v>N</v>
      </c>
      <c r="X43" s="48">
        <f t="shared" si="7"/>
        <v>1</v>
      </c>
      <c r="Y43" s="48">
        <f t="shared" si="8"/>
        <v>3.9300000000000002E-2</v>
      </c>
      <c r="Z43" s="48">
        <f t="shared" si="9"/>
        <v>23.209</v>
      </c>
      <c r="AA43" s="48">
        <f t="shared" si="10"/>
        <v>23.169699999999999</v>
      </c>
      <c r="AB43" s="49">
        <f>VLOOKUP(A43,Enforcements!$C$7:$J$73,8,0)</f>
        <v>108954</v>
      </c>
      <c r="AC43" s="49" t="str">
        <f>VLOOKUP(A43,Enforcements!$C$7:$E$73,3,0)</f>
        <v>GRADE CROSSING</v>
      </c>
    </row>
    <row r="44" spans="1:29" s="2" customFormat="1" x14ac:dyDescent="0.25">
      <c r="A44" s="43" t="s">
        <v>242</v>
      </c>
      <c r="B44" s="43">
        <v>4010</v>
      </c>
      <c r="C44" s="43" t="s">
        <v>60</v>
      </c>
      <c r="D44" s="43" t="s">
        <v>459</v>
      </c>
      <c r="E44" s="25">
        <v>42544.349293981482</v>
      </c>
      <c r="F44" s="25">
        <v>42544.350231481483</v>
      </c>
      <c r="G44" s="31">
        <v>1</v>
      </c>
      <c r="H44" s="25">
        <v>8.5388888888888896</v>
      </c>
      <c r="I44" s="25">
        <v>42544.377939814818</v>
      </c>
      <c r="J44" s="43">
        <v>1</v>
      </c>
      <c r="K44" s="43" t="str">
        <f t="shared" si="0"/>
        <v>4009/4010</v>
      </c>
      <c r="L44" s="43" t="str">
        <f>VLOOKUP(A44,'Trips&amp;Operators'!$C$1:$E$10000,3,FALSE)</f>
        <v>STARKS</v>
      </c>
      <c r="M44" s="11">
        <f t="shared" si="1"/>
        <v>2.7708333334885538E-2</v>
      </c>
      <c r="N44" s="12">
        <f t="shared" si="12"/>
        <v>39.900000002235174</v>
      </c>
      <c r="O44" s="12"/>
      <c r="P44" s="12"/>
      <c r="Q44" s="44"/>
      <c r="R44" s="44"/>
      <c r="S44" s="70">
        <f t="shared" si="3"/>
        <v>1</v>
      </c>
      <c r="T44" s="2" t="str">
        <f t="shared" si="4"/>
        <v>Southbound</v>
      </c>
      <c r="U44" s="2">
        <f>COUNTIFS(Variables!$M$2:$M$19, "&lt;=" &amp; Y44, Variables!$M$2:$M$19, "&gt;=" &amp; Z44)</f>
        <v>12</v>
      </c>
      <c r="V4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https://search-rtdc-monitor-bjffxe2xuh6vdkpspy63sjmuny.us-east-1.es.amazonaws.com/_plugin/kibana/#/discover/Steve-Slow-Train-Analysis-(2080s-and-2083s)?_g=(refreshInterval:(display:Off,section:0,value:0),time:(from:'2016-06-23 08:21:59-0600',mode:absolute,to:'2016-06-23 09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4" s="48" t="str">
        <f t="shared" si="6"/>
        <v>N</v>
      </c>
      <c r="X44" s="48">
        <f t="shared" si="7"/>
        <v>1</v>
      </c>
      <c r="Y44" s="48">
        <f t="shared" si="8"/>
        <v>23.3062</v>
      </c>
      <c r="Z44" s="48">
        <v>5.5999999999999999E-3</v>
      </c>
      <c r="AA44" s="48">
        <f t="shared" si="10"/>
        <v>23.300599999999999</v>
      </c>
      <c r="AB44" s="49">
        <f>VLOOKUP(A44,Enforcements!$C$7:$J$73,8,0)</f>
        <v>1</v>
      </c>
      <c r="AC44" s="49" t="str">
        <f>VLOOKUP(A44,Enforcements!$C$7:$E$73,3,0)</f>
        <v>TRACK WARRANT AUTHORITY</v>
      </c>
    </row>
    <row r="45" spans="1:29" s="2" customFormat="1" x14ac:dyDescent="0.25">
      <c r="A45" s="43" t="s">
        <v>383</v>
      </c>
      <c r="B45" s="43">
        <v>4018</v>
      </c>
      <c r="C45" s="43" t="s">
        <v>60</v>
      </c>
      <c r="D45" s="43" t="s">
        <v>122</v>
      </c>
      <c r="E45" s="25">
        <v>42544.317685185182</v>
      </c>
      <c r="F45" s="25">
        <v>42544.318854166668</v>
      </c>
      <c r="G45" s="31">
        <v>1</v>
      </c>
      <c r="H45" s="25" t="s">
        <v>460</v>
      </c>
      <c r="I45" s="25">
        <v>42544.348530092589</v>
      </c>
      <c r="J45" s="43">
        <v>0</v>
      </c>
      <c r="K45" s="43" t="str">
        <f t="shared" ref="K45:K76" si="13">IF(ISEVEN(B45),(B45-1)&amp;"/"&amp;B45,B45&amp;"/"&amp;(B45+1))</f>
        <v>4017/4018</v>
      </c>
      <c r="L45" s="43" t="str">
        <f>VLOOKUP(A45,'Trips&amp;Operators'!$C$1:$E$10000,3,FALSE)</f>
        <v>YORK</v>
      </c>
      <c r="M45" s="11">
        <f t="shared" ref="M45:M76" si="14">I45-F45</f>
        <v>2.9675925921765156E-2</v>
      </c>
      <c r="N45" s="12">
        <f t="shared" si="12"/>
        <v>42.733333327341825</v>
      </c>
      <c r="O45" s="12"/>
      <c r="P45" s="12"/>
      <c r="Q45" s="44"/>
      <c r="R45" s="44"/>
      <c r="S45" s="70">
        <f t="shared" ref="S45:S69" si="15">SUM(U45:U45)/12</f>
        <v>1</v>
      </c>
      <c r="T45" s="2" t="str">
        <f t="shared" ref="T45:T76" si="16">IF(ISEVEN(LEFT(A45,3)),"Southbound","NorthBound")</f>
        <v>NorthBound</v>
      </c>
      <c r="U45" s="2">
        <f>COUNTIFS(Variables!$M$2:$M$19, "&gt;=" &amp; Y45, Variables!$M$2:$M$19, "&lt;=" &amp; Z45)</f>
        <v>12</v>
      </c>
      <c r="V45" s="48" t="str">
        <f t="shared" ref="V45:V76" si="17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https://search-rtdc-monitor-bjffxe2xuh6vdkpspy63sjmuny.us-east-1.es.amazonaws.com/_plugin/kibana/#/discover/Steve-Slow-Train-Analysis-(2080s-and-2083s)?_g=(refreshInterval:(display:Off,section:0,value:0),time:(from:'2016-06-23 07:36:28-0600',mode:absolute,to:'2016-06-23 08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48" t="str">
        <f t="shared" ref="W45:W76" si="18">IF(AA45&lt;23,"Y","N")</f>
        <v>N</v>
      </c>
      <c r="X45" s="48">
        <f t="shared" ref="X45:X76" si="19">VALUE(LEFT(A45,3))-VALUE(LEFT(A44,3))</f>
        <v>1</v>
      </c>
      <c r="Y45" s="48">
        <f t="shared" si="8"/>
        <v>4.5499999999999999E-2</v>
      </c>
      <c r="Z45" s="80">
        <v>23.3293</v>
      </c>
      <c r="AA45" s="48">
        <f t="shared" ref="AA45:AA76" si="20">ABS(Z45-Y45)</f>
        <v>23.283799999999999</v>
      </c>
      <c r="AB45" s="49" t="e">
        <f>VLOOKUP(A45,Enforcements!$C$7:$J$73,8,0)</f>
        <v>#N/A</v>
      </c>
      <c r="AC45" s="49" t="e">
        <f>VLOOKUP(A45,Enforcements!$C$7:$E$73,3,0)</f>
        <v>#N/A</v>
      </c>
    </row>
    <row r="46" spans="1:29" s="2" customFormat="1" x14ac:dyDescent="0.25">
      <c r="A46" s="43" t="s">
        <v>241</v>
      </c>
      <c r="B46" s="43">
        <v>4017</v>
      </c>
      <c r="C46" s="43" t="s">
        <v>60</v>
      </c>
      <c r="D46" s="43" t="s">
        <v>162</v>
      </c>
      <c r="E46" s="25">
        <v>42544.349722222221</v>
      </c>
      <c r="F46" s="25">
        <v>42544.350601851853</v>
      </c>
      <c r="G46" s="31">
        <v>1</v>
      </c>
      <c r="H46" s="25" t="s">
        <v>130</v>
      </c>
      <c r="I46" s="25">
        <v>42544.387442129628</v>
      </c>
      <c r="J46" s="43">
        <v>1</v>
      </c>
      <c r="K46" s="43" t="str">
        <f t="shared" si="13"/>
        <v>4017/4018</v>
      </c>
      <c r="L46" s="43" t="str">
        <f>VLOOKUP(A46,'Trips&amp;Operators'!$C$1:$E$10000,3,FALSE)</f>
        <v>YORK</v>
      </c>
      <c r="M46" s="11">
        <f t="shared" si="14"/>
        <v>3.6840277774899732E-2</v>
      </c>
      <c r="N46" s="12">
        <f t="shared" si="12"/>
        <v>53.049999995855615</v>
      </c>
      <c r="O46" s="12"/>
      <c r="P46" s="12"/>
      <c r="Q46" s="44"/>
      <c r="R46" s="44"/>
      <c r="S46" s="70">
        <f t="shared" si="15"/>
        <v>1</v>
      </c>
      <c r="T46" s="2" t="str">
        <f t="shared" si="16"/>
        <v>Southbound</v>
      </c>
      <c r="U46" s="2">
        <f>COUNTIFS(Variables!$M$2:$M$19, "&lt;=" &amp; Y46, Variables!$M$2:$M$19, "&gt;=" &amp; Z46)</f>
        <v>12</v>
      </c>
      <c r="V4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08:22:36-0600',mode:absolute,to:'2016-06-23 09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48" t="str">
        <f t="shared" si="18"/>
        <v>N</v>
      </c>
      <c r="X46" s="48">
        <f t="shared" si="19"/>
        <v>1</v>
      </c>
      <c r="Y46" s="48">
        <f t="shared" si="8"/>
        <v>23.296700000000001</v>
      </c>
      <c r="Z46" s="48">
        <f t="shared" ref="Z46:Z57" si="21">RIGHT(H46,LEN(H46)-4)/10000</f>
        <v>1.4999999999999999E-2</v>
      </c>
      <c r="AA46" s="48">
        <f t="shared" si="20"/>
        <v>23.281700000000001</v>
      </c>
      <c r="AB46" s="49">
        <f>VLOOKUP(A46,Enforcements!$C$7:$J$73,8,0)</f>
        <v>127587</v>
      </c>
      <c r="AC46" s="49" t="str">
        <f>VLOOKUP(A46,Enforcements!$C$7:$E$73,3,0)</f>
        <v>SIGNAL</v>
      </c>
    </row>
    <row r="47" spans="1:29" s="2" customFormat="1" x14ac:dyDescent="0.25">
      <c r="A47" s="43" t="s">
        <v>322</v>
      </c>
      <c r="B47" s="43">
        <v>4007</v>
      </c>
      <c r="C47" s="43" t="s">
        <v>60</v>
      </c>
      <c r="D47" s="43" t="s">
        <v>210</v>
      </c>
      <c r="E47" s="25">
        <v>42544.331261574072</v>
      </c>
      <c r="F47" s="25">
        <v>42544.332106481481</v>
      </c>
      <c r="G47" s="31">
        <v>1</v>
      </c>
      <c r="H47" s="25" t="s">
        <v>461</v>
      </c>
      <c r="I47" s="25">
        <v>42544.358773148146</v>
      </c>
      <c r="J47" s="43">
        <v>0</v>
      </c>
      <c r="K47" s="43" t="str">
        <f t="shared" si="13"/>
        <v>4007/4008</v>
      </c>
      <c r="L47" s="43" t="str">
        <f>VLOOKUP(A47,'Trips&amp;Operators'!$C$1:$E$10000,3,FALSE)</f>
        <v>SANTIZO</v>
      </c>
      <c r="M47" s="11">
        <f t="shared" si="14"/>
        <v>2.6666666664823424E-2</v>
      </c>
      <c r="N47" s="12">
        <f t="shared" si="12"/>
        <v>38.399999997345731</v>
      </c>
      <c r="O47" s="12"/>
      <c r="P47" s="12"/>
      <c r="Q47" s="44"/>
      <c r="R47" s="44"/>
      <c r="S47" s="70">
        <f t="shared" si="15"/>
        <v>1</v>
      </c>
      <c r="T47" s="2" t="str">
        <f t="shared" si="16"/>
        <v>NorthBound</v>
      </c>
      <c r="U47" s="2">
        <f>COUNTIFS(Variables!$M$2:$M$19, "&gt;=" &amp; Y47, Variables!$M$2:$M$19, "&lt;=" &amp; Z47)</f>
        <v>12</v>
      </c>
      <c r="V4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07:56:01-0600',mode:absolute,to:'2016-06-23 08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7" s="48" t="str">
        <f t="shared" si="18"/>
        <v>N</v>
      </c>
      <c r="X47" s="48">
        <f t="shared" si="19"/>
        <v>1</v>
      </c>
      <c r="Y47" s="48">
        <f t="shared" si="8"/>
        <v>4.9299999999999997E-2</v>
      </c>
      <c r="Z47" s="48">
        <f t="shared" si="21"/>
        <v>23.3323</v>
      </c>
      <c r="AA47" s="48">
        <f t="shared" si="20"/>
        <v>23.283000000000001</v>
      </c>
      <c r="AB47" s="49" t="e">
        <f>VLOOKUP(A47,Enforcements!$C$7:$J$73,8,0)</f>
        <v>#N/A</v>
      </c>
      <c r="AC47" s="49" t="e">
        <f>VLOOKUP(A47,Enforcements!$C$7:$E$73,3,0)</f>
        <v>#N/A</v>
      </c>
    </row>
    <row r="48" spans="1:29" s="2" customFormat="1" x14ac:dyDescent="0.25">
      <c r="A48" s="43" t="s">
        <v>246</v>
      </c>
      <c r="B48" s="43">
        <v>4008</v>
      </c>
      <c r="C48" s="43" t="s">
        <v>60</v>
      </c>
      <c r="D48" s="43" t="s">
        <v>75</v>
      </c>
      <c r="E48" s="25">
        <v>42544.366724537038</v>
      </c>
      <c r="F48" s="25">
        <v>42544.368043981478</v>
      </c>
      <c r="G48" s="31">
        <v>1</v>
      </c>
      <c r="H48" s="25" t="s">
        <v>462</v>
      </c>
      <c r="I48" s="25">
        <v>42544.398599537039</v>
      </c>
      <c r="J48" s="43">
        <v>1</v>
      </c>
      <c r="K48" s="43" t="str">
        <f t="shared" si="13"/>
        <v>4007/4008</v>
      </c>
      <c r="L48" s="43" t="str">
        <f>VLOOKUP(A48,'Trips&amp;Operators'!$C$1:$E$10000,3,FALSE)</f>
        <v>SANTIZO</v>
      </c>
      <c r="M48" s="11">
        <f t="shared" si="14"/>
        <v>3.0555555560567882E-2</v>
      </c>
      <c r="N48" s="12">
        <f t="shared" si="12"/>
        <v>44.00000000721775</v>
      </c>
      <c r="O48" s="12"/>
      <c r="P48" s="12"/>
      <c r="Q48" s="44"/>
      <c r="R48" s="44"/>
      <c r="S48" s="70">
        <f t="shared" si="15"/>
        <v>1</v>
      </c>
      <c r="T48" s="2" t="str">
        <f t="shared" si="16"/>
        <v>Southbound</v>
      </c>
      <c r="U48" s="2">
        <f>COUNTIFS(Variables!$M$2:$M$19, "&lt;=" &amp; Y48, Variables!$M$2:$M$19, "&gt;=" &amp; Z48)</f>
        <v>12</v>
      </c>
      <c r="V4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08:47:05-0600',mode:absolute,to:'2016-06-23 09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8" s="48" t="str">
        <f t="shared" si="18"/>
        <v>N</v>
      </c>
      <c r="X48" s="48">
        <f t="shared" si="19"/>
        <v>1</v>
      </c>
      <c r="Y48" s="48">
        <f t="shared" si="8"/>
        <v>23.299099999999999</v>
      </c>
      <c r="Z48" s="48">
        <f t="shared" si="21"/>
        <v>1.89E-2</v>
      </c>
      <c r="AA48" s="48">
        <f t="shared" si="20"/>
        <v>23.280200000000001</v>
      </c>
      <c r="AB48" s="49">
        <f>VLOOKUP(A48,Enforcements!$C$7:$J$73,8,0)</f>
        <v>1</v>
      </c>
      <c r="AC48" s="49" t="str">
        <f>VLOOKUP(A48,Enforcements!$C$7:$E$73,3,0)</f>
        <v>TRACK WARRANT AUTHORITY</v>
      </c>
    </row>
    <row r="49" spans="1:29" s="2" customFormat="1" x14ac:dyDescent="0.25">
      <c r="A49" s="43" t="s">
        <v>409</v>
      </c>
      <c r="B49" s="43">
        <v>4040</v>
      </c>
      <c r="C49" s="43" t="s">
        <v>60</v>
      </c>
      <c r="D49" s="43" t="s">
        <v>455</v>
      </c>
      <c r="E49" s="25">
        <v>42544.338136574072</v>
      </c>
      <c r="F49" s="25">
        <v>42544.339363425926</v>
      </c>
      <c r="G49" s="31">
        <v>1</v>
      </c>
      <c r="H49" s="25" t="s">
        <v>119</v>
      </c>
      <c r="I49" s="25">
        <v>42544.369432870371</v>
      </c>
      <c r="J49" s="43">
        <v>0</v>
      </c>
      <c r="K49" s="43" t="str">
        <f t="shared" si="13"/>
        <v>4039/4040</v>
      </c>
      <c r="L49" s="43" t="str">
        <f>VLOOKUP(A49,'Trips&amp;Operators'!$C$1:$E$10000,3,FALSE)</f>
        <v>KILLION</v>
      </c>
      <c r="M49" s="11">
        <f t="shared" si="14"/>
        <v>3.0069444444961846E-2</v>
      </c>
      <c r="N49" s="12">
        <f t="shared" si="12"/>
        <v>43.300000000745058</v>
      </c>
      <c r="O49" s="12"/>
      <c r="P49" s="12"/>
      <c r="Q49" s="44"/>
      <c r="R49" s="44"/>
      <c r="S49" s="70">
        <f t="shared" si="15"/>
        <v>1</v>
      </c>
      <c r="T49" s="2" t="str">
        <f t="shared" si="16"/>
        <v>NorthBound</v>
      </c>
      <c r="U49" s="2">
        <f>COUNTIFS(Variables!$M$2:$M$19, "&gt;=" &amp; Y49, Variables!$M$2:$M$19, "&lt;=" &amp; Z49)</f>
        <v>12</v>
      </c>
      <c r="V4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08:05:55-0600',mode:absolute,to:'2016-06-23 08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9" s="48" t="str">
        <f t="shared" si="18"/>
        <v>N</v>
      </c>
      <c r="X49" s="48">
        <f t="shared" si="19"/>
        <v>1</v>
      </c>
      <c r="Y49" s="48">
        <f t="shared" si="8"/>
        <v>4.1500000000000002E-2</v>
      </c>
      <c r="Z49" s="48">
        <f t="shared" si="21"/>
        <v>23.3291</v>
      </c>
      <c r="AA49" s="48">
        <f t="shared" si="20"/>
        <v>23.287600000000001</v>
      </c>
      <c r="AB49" s="49" t="e">
        <f>VLOOKUP(A49,Enforcements!$C$7:$J$73,8,0)</f>
        <v>#N/A</v>
      </c>
      <c r="AC49" s="49" t="e">
        <f>VLOOKUP(A49,Enforcements!$C$7:$E$73,3,0)</f>
        <v>#N/A</v>
      </c>
    </row>
    <row r="50" spans="1:29" s="2" customFormat="1" x14ac:dyDescent="0.25">
      <c r="A50" s="43" t="s">
        <v>244</v>
      </c>
      <c r="B50" s="43">
        <v>4039</v>
      </c>
      <c r="C50" s="43" t="s">
        <v>60</v>
      </c>
      <c r="D50" s="43" t="s">
        <v>463</v>
      </c>
      <c r="E50" s="25">
        <v>42544.375821759262</v>
      </c>
      <c r="F50" s="25">
        <v>42544.376770833333</v>
      </c>
      <c r="G50" s="31">
        <v>1</v>
      </c>
      <c r="H50" s="25" t="s">
        <v>464</v>
      </c>
      <c r="I50" s="25">
        <v>42544.410555555558</v>
      </c>
      <c r="J50" s="43">
        <v>2</v>
      </c>
      <c r="K50" s="43" t="str">
        <f t="shared" si="13"/>
        <v>4039/4040</v>
      </c>
      <c r="L50" s="43" t="str">
        <f>VLOOKUP(A50,'Trips&amp;Operators'!$C$1:$E$10000,3,FALSE)</f>
        <v>KILLION</v>
      </c>
      <c r="M50" s="11">
        <f t="shared" si="14"/>
        <v>3.3784722225391306E-2</v>
      </c>
      <c r="N50" s="12">
        <f t="shared" si="12"/>
        <v>48.650000004563481</v>
      </c>
      <c r="O50" s="12"/>
      <c r="P50" s="12"/>
      <c r="Q50" s="44"/>
      <c r="R50" s="44"/>
      <c r="S50" s="70">
        <f t="shared" si="15"/>
        <v>1</v>
      </c>
      <c r="T50" s="2" t="str">
        <f t="shared" si="16"/>
        <v>Southbound</v>
      </c>
      <c r="U50" s="2">
        <f>COUNTIFS(Variables!$M$2:$M$19, "&lt;=" &amp; Y50, Variables!$M$2:$M$19, "&gt;=" &amp; Z50)</f>
        <v>12</v>
      </c>
      <c r="V5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09:00:11-0600',mode:absolute,to:'2016-06-23 09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48" t="str">
        <f t="shared" si="18"/>
        <v>N</v>
      </c>
      <c r="X50" s="48">
        <f t="shared" si="19"/>
        <v>1</v>
      </c>
      <c r="Y50" s="48">
        <f t="shared" si="8"/>
        <v>23.296099999999999</v>
      </c>
      <c r="Z50" s="48">
        <f t="shared" si="21"/>
        <v>1.9599999999999999E-2</v>
      </c>
      <c r="AA50" s="48">
        <f t="shared" si="20"/>
        <v>23.276499999999999</v>
      </c>
      <c r="AB50" s="49">
        <f>VLOOKUP(A50,Enforcements!$C$7:$J$73,8,0)</f>
        <v>183829</v>
      </c>
      <c r="AC50" s="49" t="str">
        <f>VLOOKUP(A50,Enforcements!$C$7:$E$73,3,0)</f>
        <v>PERMANENT SPEED RESTRICTION</v>
      </c>
    </row>
    <row r="51" spans="1:29" s="2" customFormat="1" x14ac:dyDescent="0.25">
      <c r="A51" s="43" t="s">
        <v>243</v>
      </c>
      <c r="B51" s="43">
        <v>4020</v>
      </c>
      <c r="C51" s="43" t="s">
        <v>60</v>
      </c>
      <c r="D51" s="43" t="s">
        <v>465</v>
      </c>
      <c r="E51" s="25">
        <v>42544.350636574076</v>
      </c>
      <c r="F51" s="25">
        <v>42544.351678240739</v>
      </c>
      <c r="G51" s="31">
        <v>1</v>
      </c>
      <c r="H51" s="25" t="s">
        <v>466</v>
      </c>
      <c r="I51" s="25">
        <v>42544.382569444446</v>
      </c>
      <c r="J51" s="43">
        <v>1</v>
      </c>
      <c r="K51" s="43" t="str">
        <f t="shared" si="13"/>
        <v>4019/4020</v>
      </c>
      <c r="L51" s="43" t="str">
        <f>VLOOKUP(A51,'Trips&amp;Operators'!$C$1:$E$10000,3,FALSE)</f>
        <v>STAMBAUGH</v>
      </c>
      <c r="M51" s="11">
        <f t="shared" si="14"/>
        <v>3.0891203707142267E-2</v>
      </c>
      <c r="N51" s="12">
        <f t="shared" si="12"/>
        <v>44.483333338284865</v>
      </c>
      <c r="O51" s="12"/>
      <c r="P51" s="12"/>
      <c r="Q51" s="44"/>
      <c r="R51" s="44"/>
      <c r="S51" s="70">
        <f t="shared" si="15"/>
        <v>1</v>
      </c>
      <c r="T51" s="2" t="str">
        <f t="shared" si="16"/>
        <v>NorthBound</v>
      </c>
      <c r="U51" s="2">
        <f>COUNTIFS(Variables!$M$2:$M$19, "&gt;=" &amp; Y51, Variables!$M$2:$M$19, "&lt;=" &amp; Z51)</f>
        <v>12</v>
      </c>
      <c r="V5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08:23:55-0600',mode:absolute,to:'2016-06-23 09:11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1" s="48" t="str">
        <f t="shared" si="18"/>
        <v>N</v>
      </c>
      <c r="X51" s="48">
        <f t="shared" si="19"/>
        <v>1</v>
      </c>
      <c r="Y51" s="48">
        <f t="shared" si="8"/>
        <v>4.3799999999999999E-2</v>
      </c>
      <c r="Z51" s="48">
        <f t="shared" si="21"/>
        <v>23.326799999999999</v>
      </c>
      <c r="AA51" s="48">
        <f t="shared" si="20"/>
        <v>23.282999999999998</v>
      </c>
      <c r="AB51" s="49">
        <f>VLOOKUP(A51,Enforcements!$C$7:$J$73,8,0)</f>
        <v>222090</v>
      </c>
      <c r="AC51" s="49" t="str">
        <f>VLOOKUP(A51,Enforcements!$C$7:$E$73,3,0)</f>
        <v>PERMANENT SPEED RESTRICTION</v>
      </c>
    </row>
    <row r="52" spans="1:29" s="2" customFormat="1" x14ac:dyDescent="0.25">
      <c r="A52" s="43" t="s">
        <v>401</v>
      </c>
      <c r="B52" s="43">
        <v>4019</v>
      </c>
      <c r="C52" s="43" t="s">
        <v>60</v>
      </c>
      <c r="D52" s="43" t="s">
        <v>467</v>
      </c>
      <c r="E52" s="25">
        <v>42544.390185185184</v>
      </c>
      <c r="F52" s="25">
        <v>42544.391053240739</v>
      </c>
      <c r="G52" s="31">
        <v>1</v>
      </c>
      <c r="H52" s="25" t="s">
        <v>77</v>
      </c>
      <c r="I52" s="25">
        <v>42544.422476851854</v>
      </c>
      <c r="J52" s="43">
        <v>0</v>
      </c>
      <c r="K52" s="43" t="str">
        <f t="shared" si="13"/>
        <v>4019/4020</v>
      </c>
      <c r="L52" s="43" t="str">
        <f>VLOOKUP(A52,'Trips&amp;Operators'!$C$1:$E$10000,3,FALSE)</f>
        <v>STAMBAUGH</v>
      </c>
      <c r="M52" s="11">
        <f t="shared" si="14"/>
        <v>3.1423611115314998E-2</v>
      </c>
      <c r="N52" s="12">
        <f t="shared" si="12"/>
        <v>45.250000006053597</v>
      </c>
      <c r="O52" s="12"/>
      <c r="P52" s="12"/>
      <c r="Q52" s="44"/>
      <c r="R52" s="44"/>
      <c r="S52" s="70">
        <f t="shared" si="15"/>
        <v>1</v>
      </c>
      <c r="T52" s="2" t="str">
        <f t="shared" si="16"/>
        <v>Southbound</v>
      </c>
      <c r="U52" s="2">
        <f>COUNTIFS(Variables!$M$2:$M$19, "&lt;=" &amp; Y52, Variables!$M$2:$M$19, "&gt;=" &amp; Z52)</f>
        <v>12</v>
      </c>
      <c r="V5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09:20:52-0600',mode:absolute,to:'2016-06-23 10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2" s="48" t="str">
        <f t="shared" si="18"/>
        <v>N</v>
      </c>
      <c r="X52" s="48">
        <f t="shared" si="19"/>
        <v>1</v>
      </c>
      <c r="Y52" s="48">
        <f t="shared" si="8"/>
        <v>23.2972</v>
      </c>
      <c r="Z52" s="48">
        <f t="shared" si="21"/>
        <v>1.5599999999999999E-2</v>
      </c>
      <c r="AA52" s="48">
        <f t="shared" si="20"/>
        <v>23.281600000000001</v>
      </c>
      <c r="AB52" s="49" t="e">
        <f>VLOOKUP(A52,Enforcements!$C$7:$J$73,8,0)</f>
        <v>#N/A</v>
      </c>
      <c r="AC52" s="49" t="e">
        <f>VLOOKUP(A52,Enforcements!$C$7:$E$73,3,0)</f>
        <v>#N/A</v>
      </c>
    </row>
    <row r="53" spans="1:29" s="2" customFormat="1" x14ac:dyDescent="0.25">
      <c r="A53" s="43" t="s">
        <v>353</v>
      </c>
      <c r="B53" s="43">
        <v>4029</v>
      </c>
      <c r="C53" s="43" t="s">
        <v>60</v>
      </c>
      <c r="D53" s="43" t="s">
        <v>170</v>
      </c>
      <c r="E53" s="25">
        <v>42544.362581018519</v>
      </c>
      <c r="F53" s="25">
        <v>42544.363530092596</v>
      </c>
      <c r="G53" s="31">
        <v>1</v>
      </c>
      <c r="H53" s="25" t="s">
        <v>135</v>
      </c>
      <c r="I53" s="25">
        <v>42544.392511574071</v>
      </c>
      <c r="J53" s="43">
        <v>0</v>
      </c>
      <c r="K53" s="43" t="str">
        <f t="shared" si="13"/>
        <v>4029/4030</v>
      </c>
      <c r="L53" s="43" t="str">
        <f>VLOOKUP(A53,'Trips&amp;Operators'!$C$1:$E$10000,3,FALSE)</f>
        <v>CANFIELD</v>
      </c>
      <c r="M53" s="11">
        <f t="shared" si="14"/>
        <v>2.898148147505708E-2</v>
      </c>
      <c r="N53" s="12">
        <f t="shared" si="12"/>
        <v>41.733333324082196</v>
      </c>
      <c r="O53" s="12"/>
      <c r="P53" s="12"/>
      <c r="Q53" s="44"/>
      <c r="R53" s="44"/>
      <c r="S53" s="70">
        <f t="shared" si="15"/>
        <v>1</v>
      </c>
      <c r="T53" s="2" t="str">
        <f t="shared" si="16"/>
        <v>NorthBound</v>
      </c>
      <c r="U53" s="2">
        <f>COUNTIFS(Variables!$M$2:$M$19, "&gt;=" &amp; Y53, Variables!$M$2:$M$19, "&lt;=" &amp; Z53)</f>
        <v>12</v>
      </c>
      <c r="V5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08:41:07-0600',mode:absolute,to:'2016-06-23 09:26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3" s="48" t="str">
        <f t="shared" si="18"/>
        <v>N</v>
      </c>
      <c r="X53" s="48">
        <f t="shared" si="19"/>
        <v>1</v>
      </c>
      <c r="Y53" s="48">
        <f t="shared" si="8"/>
        <v>4.82E-2</v>
      </c>
      <c r="Z53" s="48">
        <f t="shared" si="21"/>
        <v>23.330100000000002</v>
      </c>
      <c r="AA53" s="48">
        <f t="shared" si="20"/>
        <v>23.2819</v>
      </c>
      <c r="AB53" s="49" t="e">
        <f>VLOOKUP(A53,Enforcements!$C$7:$J$73,8,0)</f>
        <v>#N/A</v>
      </c>
      <c r="AC53" s="49" t="e">
        <f>VLOOKUP(A53,Enforcements!$C$7:$E$73,3,0)</f>
        <v>#N/A</v>
      </c>
    </row>
    <row r="54" spans="1:29" s="2" customFormat="1" x14ac:dyDescent="0.25">
      <c r="A54" s="43" t="s">
        <v>357</v>
      </c>
      <c r="B54" s="43">
        <v>4030</v>
      </c>
      <c r="C54" s="43" t="s">
        <v>60</v>
      </c>
      <c r="D54" s="43" t="s">
        <v>92</v>
      </c>
      <c r="E54" s="25">
        <v>42544.396412037036</v>
      </c>
      <c r="F54" s="25">
        <v>42544.397303240738</v>
      </c>
      <c r="G54" s="31">
        <v>1</v>
      </c>
      <c r="H54" s="25" t="s">
        <v>78</v>
      </c>
      <c r="I54" s="25">
        <v>42544.430266203701</v>
      </c>
      <c r="J54" s="43">
        <v>0</v>
      </c>
      <c r="K54" s="43" t="str">
        <f t="shared" si="13"/>
        <v>4029/4030</v>
      </c>
      <c r="L54" s="43" t="str">
        <f>VLOOKUP(A54,'Trips&amp;Operators'!$C$1:$E$10000,3,FALSE)</f>
        <v>CANFIELD</v>
      </c>
      <c r="M54" s="11">
        <f t="shared" si="14"/>
        <v>3.2962962963210884E-2</v>
      </c>
      <c r="N54" s="12">
        <f t="shared" si="12"/>
        <v>47.466666667023674</v>
      </c>
      <c r="O54" s="12"/>
      <c r="P54" s="12"/>
      <c r="Q54" s="44"/>
      <c r="R54" s="44"/>
      <c r="S54" s="70">
        <f t="shared" si="15"/>
        <v>1</v>
      </c>
      <c r="T54" s="2" t="str">
        <f t="shared" si="16"/>
        <v>Southbound</v>
      </c>
      <c r="U54" s="2">
        <f>COUNTIFS(Variables!$M$2:$M$19, "&lt;=" &amp; Y54, Variables!$M$2:$M$19, "&gt;=" &amp; Z54)</f>
        <v>12</v>
      </c>
      <c r="V5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09:29:50-0600',mode:absolute,to:'2016-06-23 10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4" s="48" t="str">
        <f t="shared" si="18"/>
        <v>N</v>
      </c>
      <c r="X54" s="48">
        <f t="shared" si="19"/>
        <v>1</v>
      </c>
      <c r="Y54" s="48">
        <f t="shared" si="8"/>
        <v>23.297499999999999</v>
      </c>
      <c r="Z54" s="48">
        <f t="shared" si="21"/>
        <v>1.49E-2</v>
      </c>
      <c r="AA54" s="48">
        <f t="shared" si="20"/>
        <v>23.282599999999999</v>
      </c>
      <c r="AB54" s="49" t="e">
        <f>VLOOKUP(A54,Enforcements!$C$7:$J$73,8,0)</f>
        <v>#N/A</v>
      </c>
      <c r="AC54" s="49" t="e">
        <f>VLOOKUP(A54,Enforcements!$C$7:$E$73,3,0)</f>
        <v>#N/A</v>
      </c>
    </row>
    <row r="55" spans="1:29" s="2" customFormat="1" x14ac:dyDescent="0.25">
      <c r="A55" s="43" t="s">
        <v>247</v>
      </c>
      <c r="B55" s="43">
        <v>4042</v>
      </c>
      <c r="C55" s="43" t="s">
        <v>60</v>
      </c>
      <c r="D55" s="43" t="s">
        <v>468</v>
      </c>
      <c r="E55" s="25">
        <v>42544.374930555554</v>
      </c>
      <c r="F55" s="25">
        <v>42544.376111111109</v>
      </c>
      <c r="G55" s="31">
        <v>1</v>
      </c>
      <c r="H55" s="25" t="s">
        <v>119</v>
      </c>
      <c r="I55" s="25">
        <v>42544.402743055558</v>
      </c>
      <c r="J55" s="43">
        <v>0</v>
      </c>
      <c r="K55" s="43" t="str">
        <f t="shared" si="13"/>
        <v>4041/4042</v>
      </c>
      <c r="L55" s="43" t="str">
        <f>VLOOKUP(A55,'Trips&amp;Operators'!$C$1:$E$10000,3,FALSE)</f>
        <v>MALAVE</v>
      </c>
      <c r="M55" s="11">
        <f t="shared" si="14"/>
        <v>2.6631944449036382E-2</v>
      </c>
      <c r="N55" s="12">
        <f t="shared" si="12"/>
        <v>38.35000000661239</v>
      </c>
      <c r="O55" s="12"/>
      <c r="P55" s="12"/>
      <c r="Q55" s="44"/>
      <c r="R55" s="44"/>
      <c r="S55" s="70">
        <f t="shared" si="15"/>
        <v>1</v>
      </c>
      <c r="T55" s="2" t="str">
        <f t="shared" si="16"/>
        <v>NorthBound</v>
      </c>
      <c r="U55" s="2">
        <f>COUNTIFS(Variables!$M$2:$M$19, "&gt;=" &amp; Y55, Variables!$M$2:$M$19, "&lt;=" &amp; Z55)</f>
        <v>12</v>
      </c>
      <c r="V5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08:58:54-0600',mode:absolute,to:'2016-06-23 09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5" s="48" t="str">
        <f t="shared" si="18"/>
        <v>N</v>
      </c>
      <c r="X55" s="48">
        <f t="shared" si="19"/>
        <v>1</v>
      </c>
      <c r="Y55" s="48">
        <f t="shared" si="8"/>
        <v>4.8000000000000001E-2</v>
      </c>
      <c r="Z55" s="48">
        <f t="shared" si="21"/>
        <v>23.3291</v>
      </c>
      <c r="AA55" s="48">
        <f t="shared" si="20"/>
        <v>23.281100000000002</v>
      </c>
      <c r="AB55" s="49">
        <f>VLOOKUP(A55,Enforcements!$C$7:$J$73,8,0)</f>
        <v>233491</v>
      </c>
      <c r="AC55" s="49" t="str">
        <f>VLOOKUP(A55,Enforcements!$C$7:$E$73,3,0)</f>
        <v>TRACK WARRANT AUTHORITY</v>
      </c>
    </row>
    <row r="56" spans="1:29" s="2" customFormat="1" x14ac:dyDescent="0.25">
      <c r="A56" s="43" t="s">
        <v>368</v>
      </c>
      <c r="B56" s="43">
        <v>4041</v>
      </c>
      <c r="C56" s="43" t="s">
        <v>60</v>
      </c>
      <c r="D56" s="43" t="s">
        <v>195</v>
      </c>
      <c r="E56" s="25">
        <v>42544.414629629631</v>
      </c>
      <c r="F56" s="25">
        <v>42544.415416666663</v>
      </c>
      <c r="G56" s="31">
        <v>1</v>
      </c>
      <c r="H56" s="25" t="s">
        <v>102</v>
      </c>
      <c r="I56" s="25">
        <v>42544.44091435185</v>
      </c>
      <c r="J56" s="43">
        <v>0</v>
      </c>
      <c r="K56" s="43" t="str">
        <f t="shared" si="13"/>
        <v>4041/4042</v>
      </c>
      <c r="L56" s="43" t="str">
        <f>VLOOKUP(A56,'Trips&amp;Operators'!$C$1:$E$10000,3,FALSE)</f>
        <v>MALAVE</v>
      </c>
      <c r="M56" s="11">
        <f t="shared" si="14"/>
        <v>2.5497685186564922E-2</v>
      </c>
      <c r="N56" s="12">
        <f t="shared" si="12"/>
        <v>36.716666668653488</v>
      </c>
      <c r="O56" s="12"/>
      <c r="P56" s="12"/>
      <c r="Q56" s="44"/>
      <c r="R56" s="44"/>
      <c r="S56" s="70">
        <f t="shared" si="15"/>
        <v>1</v>
      </c>
      <c r="T56" s="2" t="str">
        <f t="shared" si="16"/>
        <v>Southbound</v>
      </c>
      <c r="U56" s="2">
        <f>COUNTIFS(Variables!$M$2:$M$19, "&lt;=" &amp; Y56, Variables!$M$2:$M$19, "&gt;=" &amp; Z56)</f>
        <v>12</v>
      </c>
      <c r="V5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09:56:04-0600',mode:absolute,to:'2016-06-23 10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6" s="48" t="str">
        <f t="shared" si="18"/>
        <v>N</v>
      </c>
      <c r="X56" s="48">
        <f t="shared" si="19"/>
        <v>1</v>
      </c>
      <c r="Y56" s="48">
        <f t="shared" si="8"/>
        <v>23.2974</v>
      </c>
      <c r="Z56" s="48">
        <f t="shared" si="21"/>
        <v>1.61E-2</v>
      </c>
      <c r="AA56" s="48">
        <f t="shared" si="20"/>
        <v>23.281299999999998</v>
      </c>
      <c r="AB56" s="49" t="e">
        <f>VLOOKUP(A56,Enforcements!$C$7:$J$73,8,0)</f>
        <v>#N/A</v>
      </c>
      <c r="AC56" s="49" t="e">
        <f>VLOOKUP(A56,Enforcements!$C$7:$E$73,3,0)</f>
        <v>#N/A</v>
      </c>
    </row>
    <row r="57" spans="1:29" s="2" customFormat="1" x14ac:dyDescent="0.25">
      <c r="A57" s="43" t="s">
        <v>355</v>
      </c>
      <c r="B57" s="43">
        <v>4009</v>
      </c>
      <c r="C57" s="43" t="s">
        <v>60</v>
      </c>
      <c r="D57" s="43" t="s">
        <v>469</v>
      </c>
      <c r="E57" s="25">
        <v>42544.38490740741</v>
      </c>
      <c r="F57" s="25">
        <v>42544.385810185187</v>
      </c>
      <c r="G57" s="31">
        <v>1</v>
      </c>
      <c r="H57" s="25" t="s">
        <v>203</v>
      </c>
      <c r="I57" s="25">
        <v>42544.411365740743</v>
      </c>
      <c r="J57" s="43">
        <v>0</v>
      </c>
      <c r="K57" s="43" t="str">
        <f t="shared" si="13"/>
        <v>4009/4010</v>
      </c>
      <c r="L57" s="43" t="str">
        <f>VLOOKUP(A57,'Trips&amp;Operators'!$C$1:$E$10000,3,FALSE)</f>
        <v>STARKS</v>
      </c>
      <c r="M57" s="11">
        <f t="shared" si="14"/>
        <v>2.5555555555911269E-2</v>
      </c>
      <c r="N57" s="12">
        <f t="shared" si="12"/>
        <v>36.800000000512227</v>
      </c>
      <c r="O57" s="12"/>
      <c r="P57" s="12"/>
      <c r="Q57" s="44"/>
      <c r="R57" s="44"/>
      <c r="S57" s="70">
        <f t="shared" si="15"/>
        <v>1</v>
      </c>
      <c r="T57" s="2" t="str">
        <f t="shared" si="16"/>
        <v>NorthBound</v>
      </c>
      <c r="U57" s="2">
        <f>COUNTIFS(Variables!$M$2:$M$19, "&gt;=" &amp; Y57, Variables!$M$2:$M$19, "&lt;=" &amp; Z57)</f>
        <v>12</v>
      </c>
      <c r="V5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09:13:16-0600',mode:absolute,to:'2016-06-23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7" s="48" t="str">
        <f t="shared" si="18"/>
        <v>N</v>
      </c>
      <c r="X57" s="48">
        <f t="shared" si="19"/>
        <v>1</v>
      </c>
      <c r="Y57" s="48">
        <f t="shared" si="8"/>
        <v>3.85E-2</v>
      </c>
      <c r="Z57" s="48">
        <f t="shared" si="21"/>
        <v>23.335100000000001</v>
      </c>
      <c r="AA57" s="48">
        <f t="shared" si="20"/>
        <v>23.296600000000002</v>
      </c>
      <c r="AB57" s="49" t="e">
        <f>VLOOKUP(A57,Enforcements!$C$7:$J$73,8,0)</f>
        <v>#N/A</v>
      </c>
      <c r="AC57" s="49" t="e">
        <f>VLOOKUP(A57,Enforcements!$C$7:$E$73,3,0)</f>
        <v>#N/A</v>
      </c>
    </row>
    <row r="58" spans="1:29" s="2" customFormat="1" x14ac:dyDescent="0.25">
      <c r="A58" s="66" t="s">
        <v>248</v>
      </c>
      <c r="B58" s="43">
        <v>4010</v>
      </c>
      <c r="C58" s="43" t="s">
        <v>60</v>
      </c>
      <c r="D58" s="43" t="s">
        <v>470</v>
      </c>
      <c r="E58" s="25">
        <v>42544.421307870369</v>
      </c>
      <c r="F58" s="25">
        <v>42544.422199074077</v>
      </c>
      <c r="G58" s="31">
        <v>1</v>
      </c>
      <c r="H58" s="25" t="s">
        <v>120</v>
      </c>
      <c r="I58" s="25">
        <v>42544.451180555552</v>
      </c>
      <c r="J58" s="43">
        <v>1</v>
      </c>
      <c r="K58" s="43" t="str">
        <f t="shared" si="13"/>
        <v>4009/4010</v>
      </c>
      <c r="L58" s="43" t="str">
        <f>VLOOKUP(A58,'Trips&amp;Operators'!$C$1:$E$10000,3,FALSE)</f>
        <v>STARKS</v>
      </c>
      <c r="M58" s="11">
        <f t="shared" si="14"/>
        <v>2.898148147505708E-2</v>
      </c>
      <c r="N58" s="12">
        <f t="shared" si="12"/>
        <v>41.733333324082196</v>
      </c>
      <c r="O58" s="12"/>
      <c r="P58" s="12"/>
      <c r="Q58" s="44"/>
      <c r="R58" s="44"/>
      <c r="S58" s="70">
        <f t="shared" si="15"/>
        <v>1</v>
      </c>
      <c r="T58" s="2" t="str">
        <f t="shared" si="16"/>
        <v>Southbound</v>
      </c>
      <c r="U58" s="2">
        <f>COUNTIFS(Variables!$M$2:$M$19, "&lt;=" &amp; Y58, Variables!$M$2:$M$19, "&gt;=" &amp; Z58)</f>
        <v>12</v>
      </c>
      <c r="V5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10:05:41-0600',mode:absolute,to:'2016-06-23 10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8" s="48" t="str">
        <f t="shared" si="18"/>
        <v>N</v>
      </c>
      <c r="X58" s="48">
        <f t="shared" si="19"/>
        <v>1</v>
      </c>
      <c r="Y58" s="48">
        <v>23.297499999999999</v>
      </c>
      <c r="Z58" s="48">
        <v>1.5599999999999999E-2</v>
      </c>
      <c r="AA58" s="48">
        <f t="shared" si="20"/>
        <v>23.2819</v>
      </c>
      <c r="AB58" s="49">
        <f>VLOOKUP(A58,Enforcements!$C$7:$J$73,8,0)</f>
        <v>63309</v>
      </c>
      <c r="AC58" s="49" t="str">
        <f>VLOOKUP(A58,Enforcements!$C$7:$E$73,3,0)</f>
        <v>GRADE CROSSING</v>
      </c>
    </row>
    <row r="59" spans="1:29" s="2" customFormat="1" x14ac:dyDescent="0.25">
      <c r="A59" s="43" t="s">
        <v>319</v>
      </c>
      <c r="B59" s="43">
        <v>4018</v>
      </c>
      <c r="C59" s="43" t="s">
        <v>60</v>
      </c>
      <c r="D59" s="43" t="s">
        <v>69</v>
      </c>
      <c r="E59" s="25">
        <v>42544.390682870369</v>
      </c>
      <c r="F59" s="25">
        <v>42544.391631944447</v>
      </c>
      <c r="G59" s="31">
        <v>1</v>
      </c>
      <c r="H59" s="25" t="s">
        <v>108</v>
      </c>
      <c r="I59" s="25">
        <v>42544.420856481483</v>
      </c>
      <c r="J59" s="43">
        <v>0</v>
      </c>
      <c r="K59" s="43" t="str">
        <f t="shared" si="13"/>
        <v>4017/4018</v>
      </c>
      <c r="L59" s="43" t="str">
        <f>VLOOKUP(A59,'Trips&amp;Operators'!$C$1:$E$10000,3,FALSE)</f>
        <v>YORK</v>
      </c>
      <c r="M59" s="11">
        <f t="shared" si="14"/>
        <v>2.9224537036498077E-2</v>
      </c>
      <c r="N59" s="12">
        <f t="shared" si="12"/>
        <v>42.083333332557231</v>
      </c>
      <c r="O59" s="12"/>
      <c r="P59" s="12"/>
      <c r="Q59" s="44"/>
      <c r="R59" s="44"/>
      <c r="S59" s="70">
        <f t="shared" si="15"/>
        <v>1</v>
      </c>
      <c r="T59" s="2" t="str">
        <f t="shared" si="16"/>
        <v>NorthBound</v>
      </c>
      <c r="U59" s="2">
        <f>COUNTIFS(Variables!$M$2:$M$19, "&gt;=" &amp; Y59, Variables!$M$2:$M$19, "&lt;=" &amp; Z59)</f>
        <v>12</v>
      </c>
      <c r="V5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09:21:35-0600',mode:absolute,to:'2016-06-23 10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9" s="48" t="str">
        <f t="shared" si="18"/>
        <v>N</v>
      </c>
      <c r="X59" s="48">
        <f t="shared" si="19"/>
        <v>1</v>
      </c>
      <c r="Y59" s="48">
        <f t="shared" ref="Y59:Y78" si="22">RIGHT(D59,LEN(D59)-4)/10000</f>
        <v>4.5999999999999999E-2</v>
      </c>
      <c r="Z59" s="48">
        <f t="shared" ref="Z59:Z78" si="23">RIGHT(H59,LEN(H59)-4)/10000</f>
        <v>23.329499999999999</v>
      </c>
      <c r="AA59" s="48">
        <f t="shared" si="20"/>
        <v>23.2835</v>
      </c>
      <c r="AB59" s="49" t="e">
        <f>VLOOKUP(A59,Enforcements!$C$7:$J$73,8,0)</f>
        <v>#N/A</v>
      </c>
      <c r="AC59" s="49" t="e">
        <f>VLOOKUP(A59,Enforcements!$C$7:$E$73,3,0)</f>
        <v>#N/A</v>
      </c>
    </row>
    <row r="60" spans="1:29" s="2" customFormat="1" x14ac:dyDescent="0.25">
      <c r="A60" s="43" t="s">
        <v>394</v>
      </c>
      <c r="B60" s="43">
        <v>4017</v>
      </c>
      <c r="C60" s="43" t="s">
        <v>60</v>
      </c>
      <c r="D60" s="43" t="s">
        <v>195</v>
      </c>
      <c r="E60" s="25">
        <v>42544.421724537038</v>
      </c>
      <c r="F60" s="25">
        <v>42544.422407407408</v>
      </c>
      <c r="G60" s="31">
        <v>0</v>
      </c>
      <c r="H60" s="25" t="s">
        <v>67</v>
      </c>
      <c r="I60" s="25">
        <v>42544.460405092592</v>
      </c>
      <c r="J60" s="43">
        <v>0</v>
      </c>
      <c r="K60" s="43" t="str">
        <f t="shared" si="13"/>
        <v>4017/4018</v>
      </c>
      <c r="L60" s="43" t="str">
        <f>VLOOKUP(A60,'Trips&amp;Operators'!$C$1:$E$10000,3,FALSE)</f>
        <v>YORK</v>
      </c>
      <c r="M60" s="11">
        <f t="shared" si="14"/>
        <v>3.7997685183654539E-2</v>
      </c>
      <c r="N60" s="12">
        <f t="shared" si="12"/>
        <v>54.716666664462537</v>
      </c>
      <c r="O60" s="12"/>
      <c r="P60" s="12"/>
      <c r="Q60" s="44"/>
      <c r="R60" s="44"/>
      <c r="S60" s="70">
        <f t="shared" si="15"/>
        <v>1</v>
      </c>
      <c r="T60" s="2" t="str">
        <f t="shared" si="16"/>
        <v>Southbound</v>
      </c>
      <c r="U60" s="2">
        <f>COUNTIFS(Variables!$M$2:$M$19, "&lt;=" &amp; Y60, Variables!$M$2:$M$19, "&gt;=" &amp; Z60)</f>
        <v>12</v>
      </c>
      <c r="V6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10:06:17-0600',mode:absolute,to:'2016-06-23 11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0" s="48" t="str">
        <f t="shared" si="18"/>
        <v>N</v>
      </c>
      <c r="X60" s="48">
        <f t="shared" si="19"/>
        <v>1</v>
      </c>
      <c r="Y60" s="48">
        <f t="shared" si="22"/>
        <v>23.2974</v>
      </c>
      <c r="Z60" s="48">
        <f t="shared" si="23"/>
        <v>1.47E-2</v>
      </c>
      <c r="AA60" s="48">
        <f t="shared" si="20"/>
        <v>23.282699999999998</v>
      </c>
      <c r="AB60" s="49" t="e">
        <f>VLOOKUP(A60,Enforcements!$C$7:$J$73,8,0)</f>
        <v>#N/A</v>
      </c>
      <c r="AC60" s="49" t="e">
        <f>VLOOKUP(A60,Enforcements!$C$7:$E$73,3,0)</f>
        <v>#N/A</v>
      </c>
    </row>
    <row r="61" spans="1:29" s="2" customFormat="1" x14ac:dyDescent="0.25">
      <c r="A61" s="43" t="s">
        <v>316</v>
      </c>
      <c r="B61" s="43">
        <v>4007</v>
      </c>
      <c r="C61" s="43" t="s">
        <v>60</v>
      </c>
      <c r="D61" s="43" t="s">
        <v>471</v>
      </c>
      <c r="E61" s="25">
        <v>42544.401550925926</v>
      </c>
      <c r="F61" s="25">
        <v>42544.402708333335</v>
      </c>
      <c r="G61" s="31">
        <v>1</v>
      </c>
      <c r="H61" s="25" t="s">
        <v>472</v>
      </c>
      <c r="I61" s="25">
        <v>42544.403935185182</v>
      </c>
      <c r="J61" s="43">
        <v>0</v>
      </c>
      <c r="K61" s="43" t="str">
        <f t="shared" si="13"/>
        <v>4007/4008</v>
      </c>
      <c r="L61" s="43" t="str">
        <f>VLOOKUP(A61,'Trips&amp;Operators'!$C$1:$E$10000,3,FALSE)</f>
        <v>SANTIZO</v>
      </c>
      <c r="M61" s="11">
        <f t="shared" si="14"/>
        <v>1.2268518476048484E-3</v>
      </c>
      <c r="N61" s="12"/>
      <c r="O61" s="12"/>
      <c r="P61" s="12">
        <f>24*60*SUM($M61:$M61)</f>
        <v>1.7666666605509818</v>
      </c>
      <c r="Q61" s="44"/>
      <c r="R61" s="44" t="s">
        <v>223</v>
      </c>
      <c r="S61" s="70">
        <f t="shared" si="15"/>
        <v>1</v>
      </c>
      <c r="T61" s="2" t="str">
        <f t="shared" si="16"/>
        <v>NorthBound</v>
      </c>
      <c r="U61" s="2">
        <f>COUNTIFS(Variables!$M$2:$M$19, "&gt;=" &amp; Y61, Variables!$M$2:$M$19, "&lt;=" &amp; Z61)</f>
        <v>12</v>
      </c>
      <c r="V6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09:37:14-0600',mode:absolute,to:'2016-06-23 09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1" s="48" t="str">
        <f t="shared" si="18"/>
        <v>N</v>
      </c>
      <c r="X61" s="48">
        <f t="shared" si="19"/>
        <v>1</v>
      </c>
      <c r="Y61" s="48">
        <f t="shared" si="22"/>
        <v>4.9700000000000001E-2</v>
      </c>
      <c r="Z61" s="48">
        <f t="shared" si="23"/>
        <v>23.328600000000002</v>
      </c>
      <c r="AA61" s="48">
        <f t="shared" si="20"/>
        <v>23.2789</v>
      </c>
      <c r="AB61" s="49" t="e">
        <f>VLOOKUP(A61,Enforcements!$C$7:$J$73,8,0)</f>
        <v>#N/A</v>
      </c>
      <c r="AC61" s="49" t="e">
        <f>VLOOKUP(A61,Enforcements!$C$7:$E$73,3,0)</f>
        <v>#N/A</v>
      </c>
    </row>
    <row r="62" spans="1:29" s="2" customFormat="1" x14ac:dyDescent="0.25">
      <c r="A62" s="43" t="s">
        <v>314</v>
      </c>
      <c r="B62" s="43">
        <v>4008</v>
      </c>
      <c r="C62" s="43" t="s">
        <v>60</v>
      </c>
      <c r="D62" s="43" t="s">
        <v>71</v>
      </c>
      <c r="E62" s="25">
        <v>42544.44</v>
      </c>
      <c r="F62" s="25">
        <v>42544.440891203703</v>
      </c>
      <c r="G62" s="31">
        <v>1</v>
      </c>
      <c r="H62" s="25" t="s">
        <v>473</v>
      </c>
      <c r="I62" s="25">
        <v>42544.472048611111</v>
      </c>
      <c r="J62" s="43">
        <v>0</v>
      </c>
      <c r="K62" s="43" t="str">
        <f t="shared" si="13"/>
        <v>4007/4008</v>
      </c>
      <c r="L62" s="43" t="str">
        <f>VLOOKUP(A62,'Trips&amp;Operators'!$C$1:$E$10000,3,FALSE)</f>
        <v>SANTIZO</v>
      </c>
      <c r="M62" s="11">
        <f t="shared" si="14"/>
        <v>3.1157407407590654E-2</v>
      </c>
      <c r="N62" s="12">
        <f>24*60*SUM($M62:$M62)</f>
        <v>44.866666666930541</v>
      </c>
      <c r="O62" s="12"/>
      <c r="P62" s="12"/>
      <c r="Q62" s="44"/>
      <c r="R62" s="44"/>
      <c r="S62" s="70">
        <f t="shared" si="15"/>
        <v>1</v>
      </c>
      <c r="T62" s="2" t="str">
        <f t="shared" si="16"/>
        <v>Southbound</v>
      </c>
      <c r="U62" s="2">
        <f>COUNTIFS(Variables!$M$2:$M$19, "&lt;=" &amp; Y62, Variables!$M$2:$M$19, "&gt;=" &amp; Z62)</f>
        <v>12</v>
      </c>
      <c r="V6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10:32:36-0600',mode:absolute,to:'2016-06-23 11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2" s="48" t="str">
        <f t="shared" si="18"/>
        <v>N</v>
      </c>
      <c r="X62" s="48">
        <f t="shared" si="19"/>
        <v>1</v>
      </c>
      <c r="Y62" s="48">
        <f t="shared" si="22"/>
        <v>23.297699999999999</v>
      </c>
      <c r="Z62" s="48">
        <f t="shared" si="23"/>
        <v>0.24049999999999999</v>
      </c>
      <c r="AA62" s="48">
        <f t="shared" si="20"/>
        <v>23.057199999999998</v>
      </c>
      <c r="AB62" s="49" t="e">
        <f>VLOOKUP(A62,Enforcements!$C$7:$J$73,8,0)</f>
        <v>#N/A</v>
      </c>
      <c r="AC62" s="49" t="e">
        <f>VLOOKUP(A62,Enforcements!$C$7:$E$73,3,0)</f>
        <v>#N/A</v>
      </c>
    </row>
    <row r="63" spans="1:29" s="2" customFormat="1" x14ac:dyDescent="0.25">
      <c r="A63" s="43" t="s">
        <v>415</v>
      </c>
      <c r="B63" s="43">
        <v>4040</v>
      </c>
      <c r="C63" s="43" t="s">
        <v>60</v>
      </c>
      <c r="D63" s="43" t="s">
        <v>474</v>
      </c>
      <c r="E63" s="25">
        <v>42544.413344907407</v>
      </c>
      <c r="F63" s="25">
        <v>42544.414143518516</v>
      </c>
      <c r="G63" s="31">
        <v>1</v>
      </c>
      <c r="H63" s="25" t="s">
        <v>475</v>
      </c>
      <c r="I63" s="25">
        <v>42544.414664351854</v>
      </c>
      <c r="J63" s="43">
        <v>0</v>
      </c>
      <c r="K63" s="43" t="str">
        <f t="shared" si="13"/>
        <v>4039/4040</v>
      </c>
      <c r="L63" s="43" t="str">
        <f>VLOOKUP(A63,'Trips&amp;Operators'!$C$1:$E$10000,3,FALSE)</f>
        <v>KILLION</v>
      </c>
      <c r="M63" s="11">
        <f t="shared" si="14"/>
        <v>5.2083333866903558E-4</v>
      </c>
      <c r="N63" s="12"/>
      <c r="O63" s="12"/>
      <c r="P63" s="12">
        <f>24*60*SUM($M63:$M63)</f>
        <v>0.75000000768341124</v>
      </c>
      <c r="Q63" s="44"/>
      <c r="R63" s="44" t="s">
        <v>223</v>
      </c>
      <c r="S63" s="70">
        <f t="shared" si="15"/>
        <v>0</v>
      </c>
      <c r="T63" s="2" t="str">
        <f t="shared" si="16"/>
        <v>NorthBound</v>
      </c>
      <c r="U63" s="2">
        <f>COUNTIFS(Variables!$M$2:$M$19, "&gt;=" &amp; Y63, Variables!$M$2:$M$19, "&lt;=" &amp; Z63)</f>
        <v>0</v>
      </c>
      <c r="V6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09:54:13-0600',mode:absolute,to:'2016-06-23 09:58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3" s="48" t="str">
        <f t="shared" si="18"/>
        <v>Y</v>
      </c>
      <c r="X63" s="48">
        <f t="shared" si="19"/>
        <v>1</v>
      </c>
      <c r="Y63" s="48">
        <f t="shared" si="22"/>
        <v>5.0599999999999999E-2</v>
      </c>
      <c r="Z63" s="48">
        <f t="shared" si="23"/>
        <v>4.9799999999999997E-2</v>
      </c>
      <c r="AA63" s="48">
        <f t="shared" si="20"/>
        <v>8.000000000000021E-4</v>
      </c>
      <c r="AB63" s="49" t="e">
        <f>VLOOKUP(A63,Enforcements!$C$7:$J$73,8,0)</f>
        <v>#N/A</v>
      </c>
      <c r="AC63" s="49" t="e">
        <f>VLOOKUP(A63,Enforcements!$C$7:$E$73,3,0)</f>
        <v>#N/A</v>
      </c>
    </row>
    <row r="64" spans="1:29" s="2" customFormat="1" x14ac:dyDescent="0.25">
      <c r="A64" s="43" t="s">
        <v>406</v>
      </c>
      <c r="B64" s="43">
        <v>4039</v>
      </c>
      <c r="C64" s="43" t="s">
        <v>60</v>
      </c>
      <c r="D64" s="43" t="s">
        <v>476</v>
      </c>
      <c r="E64" s="25">
        <v>42544.450104166666</v>
      </c>
      <c r="F64" s="25">
        <v>42544.451898148145</v>
      </c>
      <c r="G64" s="31">
        <v>2</v>
      </c>
      <c r="H64" s="25" t="s">
        <v>68</v>
      </c>
      <c r="I64" s="25">
        <v>42544.48201388889</v>
      </c>
      <c r="J64" s="43">
        <v>0</v>
      </c>
      <c r="K64" s="43" t="str">
        <f t="shared" si="13"/>
        <v>4039/4040</v>
      </c>
      <c r="L64" s="43" t="str">
        <f>VLOOKUP(A64,'Trips&amp;Operators'!$C$1:$E$10000,3,FALSE)</f>
        <v>KILLION</v>
      </c>
      <c r="M64" s="11">
        <f t="shared" si="14"/>
        <v>3.0115740744804498E-2</v>
      </c>
      <c r="N64" s="12">
        <f>24*60*SUM($M64:$M64)</f>
        <v>43.366666672518477</v>
      </c>
      <c r="O64" s="12"/>
      <c r="P64" s="12"/>
      <c r="Q64" s="44"/>
      <c r="R64" s="44"/>
      <c r="S64" s="70">
        <f t="shared" si="15"/>
        <v>1</v>
      </c>
      <c r="T64" s="2" t="str">
        <f t="shared" si="16"/>
        <v>Southbound</v>
      </c>
      <c r="U64" s="2">
        <f>COUNTIFS(Variables!$M$2:$M$19, "&lt;=" &amp; Y64, Variables!$M$2:$M$19, "&gt;=" &amp; Z64)</f>
        <v>12</v>
      </c>
      <c r="V6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10:47:09-0600',mode:absolute,to:'2016-06-23 11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4" s="48" t="str">
        <f t="shared" si="18"/>
        <v>N</v>
      </c>
      <c r="X64" s="48">
        <f t="shared" si="19"/>
        <v>1</v>
      </c>
      <c r="Y64" s="48">
        <f t="shared" si="22"/>
        <v>23.3081</v>
      </c>
      <c r="Z64" s="48">
        <f t="shared" si="23"/>
        <v>1.6E-2</v>
      </c>
      <c r="AA64" s="48">
        <f t="shared" si="20"/>
        <v>23.292100000000001</v>
      </c>
      <c r="AB64" s="49" t="e">
        <f>VLOOKUP(A64,Enforcements!$C$7:$J$73,8,0)</f>
        <v>#N/A</v>
      </c>
      <c r="AC64" s="49" t="e">
        <f>VLOOKUP(A64,Enforcements!$C$7:$E$73,3,0)</f>
        <v>#N/A</v>
      </c>
    </row>
    <row r="65" spans="1:29" s="2" customFormat="1" x14ac:dyDescent="0.25">
      <c r="A65" s="43" t="s">
        <v>341</v>
      </c>
      <c r="B65" s="43">
        <v>4020</v>
      </c>
      <c r="C65" s="43"/>
      <c r="D65" s="43"/>
      <c r="E65" s="25"/>
      <c r="F65" s="25">
        <v>42544.42832175926</v>
      </c>
      <c r="G65" s="31"/>
      <c r="H65" s="25"/>
      <c r="I65" s="25">
        <v>42544.430162037039</v>
      </c>
      <c r="J65" s="43"/>
      <c r="K65" s="43" t="str">
        <f t="shared" si="13"/>
        <v>4019/4020</v>
      </c>
      <c r="L65" s="43" t="str">
        <f>VLOOKUP(A65,'Trips&amp;Operators'!$C$1:$E$10000,3,FALSE)</f>
        <v>ROCHA</v>
      </c>
      <c r="M65" s="11">
        <f t="shared" si="14"/>
        <v>1.8402777786832303E-3</v>
      </c>
      <c r="N65" s="12"/>
      <c r="O65" s="12"/>
      <c r="P65" s="12">
        <f>24*60*SUM($M65:$M65)</f>
        <v>2.6500000013038516</v>
      </c>
      <c r="Q65" s="44"/>
      <c r="R65" s="44" t="s">
        <v>223</v>
      </c>
      <c r="S65" s="70">
        <f t="shared" si="15"/>
        <v>0</v>
      </c>
      <c r="T65" s="2" t="str">
        <f t="shared" si="16"/>
        <v>NorthBound</v>
      </c>
      <c r="U65" s="2">
        <f>COUNTIFS(Variables!$M$2:$M$19, "&gt;=" &amp; Y65, Variables!$M$2:$M$19, "&lt;=" &amp; Z65)</f>
        <v>0</v>
      </c>
      <c r="V65" s="48" t="e">
        <f t="shared" si="17"/>
        <v>#VALUE!</v>
      </c>
      <c r="W65" s="48" t="e">
        <f t="shared" si="18"/>
        <v>#VALUE!</v>
      </c>
      <c r="X65" s="48">
        <f t="shared" si="19"/>
        <v>1</v>
      </c>
      <c r="Y65" s="48" t="e">
        <f t="shared" si="22"/>
        <v>#VALUE!</v>
      </c>
      <c r="Z65" s="48" t="e">
        <f t="shared" si="23"/>
        <v>#VALUE!</v>
      </c>
      <c r="AA65" s="48" t="e">
        <f t="shared" si="20"/>
        <v>#VALUE!</v>
      </c>
      <c r="AB65" s="49" t="e">
        <f>VLOOKUP(A65,Enforcements!$C$7:$J$73,8,0)</f>
        <v>#N/A</v>
      </c>
      <c r="AC65" s="49" t="e">
        <f>VLOOKUP(A65,Enforcements!$C$7:$E$73,3,0)</f>
        <v>#N/A</v>
      </c>
    </row>
    <row r="66" spans="1:29" s="2" customFormat="1" x14ac:dyDescent="0.25">
      <c r="A66" s="43" t="s">
        <v>378</v>
      </c>
      <c r="B66" s="43">
        <v>4019</v>
      </c>
      <c r="C66" s="43" t="s">
        <v>60</v>
      </c>
      <c r="D66" s="43" t="s">
        <v>159</v>
      </c>
      <c r="E66" s="25">
        <v>42544.464386574073</v>
      </c>
      <c r="F66" s="25">
        <v>42544.465451388889</v>
      </c>
      <c r="G66" s="31">
        <v>1</v>
      </c>
      <c r="H66" s="25" t="s">
        <v>477</v>
      </c>
      <c r="I66" s="25">
        <v>42544.494560185187</v>
      </c>
      <c r="J66" s="43">
        <v>0</v>
      </c>
      <c r="K66" s="43" t="str">
        <f t="shared" si="13"/>
        <v>4019/4020</v>
      </c>
      <c r="L66" s="43" t="str">
        <f>VLOOKUP(A66,'Trips&amp;Operators'!$C$1:$E$10000,3,FALSE)</f>
        <v>ROCHA</v>
      </c>
      <c r="M66" s="11">
        <f t="shared" si="14"/>
        <v>2.9108796297805384E-2</v>
      </c>
      <c r="N66" s="12">
        <f>24*60*SUM($M66:$M66)</f>
        <v>41.916666668839753</v>
      </c>
      <c r="O66" s="12"/>
      <c r="P66" s="12"/>
      <c r="Q66" s="44"/>
      <c r="R66" s="44"/>
      <c r="S66" s="70">
        <f t="shared" si="15"/>
        <v>1</v>
      </c>
      <c r="T66" s="2" t="str">
        <f t="shared" si="16"/>
        <v>Southbound</v>
      </c>
      <c r="U66" s="2">
        <f>COUNTIFS(Variables!$M$2:$M$19, "&lt;=" &amp; Y66, Variables!$M$2:$M$19, "&gt;=" &amp; Z66)</f>
        <v>12</v>
      </c>
      <c r="V6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11:07:43-0600',mode:absolute,to:'2016-06-23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48" t="str">
        <f t="shared" si="18"/>
        <v>N</v>
      </c>
      <c r="X66" s="48">
        <f t="shared" si="19"/>
        <v>1</v>
      </c>
      <c r="Y66" s="48">
        <f t="shared" si="22"/>
        <v>23.298200000000001</v>
      </c>
      <c r="Z66" s="48">
        <f t="shared" si="23"/>
        <v>1.6899999999999998E-2</v>
      </c>
      <c r="AA66" s="48">
        <f t="shared" si="20"/>
        <v>23.281300000000002</v>
      </c>
      <c r="AB66" s="49" t="e">
        <f>VLOOKUP(A66,Enforcements!$C$7:$J$73,8,0)</f>
        <v>#N/A</v>
      </c>
      <c r="AC66" s="49" t="e">
        <f>VLOOKUP(A66,Enforcements!$C$7:$E$73,3,0)</f>
        <v>#N/A</v>
      </c>
    </row>
    <row r="67" spans="1:29" s="2" customFormat="1" x14ac:dyDescent="0.25">
      <c r="A67" s="66" t="s">
        <v>404</v>
      </c>
      <c r="B67" s="43">
        <v>4029</v>
      </c>
      <c r="C67" s="43" t="s">
        <v>60</v>
      </c>
      <c r="D67" s="43" t="s">
        <v>209</v>
      </c>
      <c r="E67" s="25">
        <v>42544.432118055556</v>
      </c>
      <c r="F67" s="25">
        <v>42544.433587962965</v>
      </c>
      <c r="G67" s="31">
        <v>2</v>
      </c>
      <c r="H67" s="25" t="s">
        <v>161</v>
      </c>
      <c r="I67" s="25">
        <v>42544.444027777776</v>
      </c>
      <c r="J67" s="43">
        <v>0</v>
      </c>
      <c r="K67" s="43" t="str">
        <f t="shared" si="13"/>
        <v>4029/4030</v>
      </c>
      <c r="L67" s="43" t="str">
        <f>VLOOKUP(A67,'Trips&amp;Operators'!$C$1:$E$10000,3,FALSE)</f>
        <v>STAMBAUGH</v>
      </c>
      <c r="M67" s="11">
        <f t="shared" si="14"/>
        <v>1.0439814810524695E-2</v>
      </c>
      <c r="N67" s="12"/>
      <c r="O67" s="12"/>
      <c r="P67" s="12">
        <f>24*60*SUM($M67:$M67)</f>
        <v>15.03333332715556</v>
      </c>
      <c r="Q67" s="44"/>
      <c r="R67" s="44" t="s">
        <v>223</v>
      </c>
      <c r="S67" s="70">
        <f t="shared" si="15"/>
        <v>1</v>
      </c>
      <c r="T67" s="2" t="str">
        <f t="shared" si="16"/>
        <v>NorthBound</v>
      </c>
      <c r="U67" s="2">
        <f>COUNTIFS(Variables!$M$2:$M$19, "&gt;=" &amp; Y67, Variables!$M$2:$M$19, "&lt;=" &amp; Z67)</f>
        <v>12</v>
      </c>
      <c r="V6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10:21:15-0600',mode:absolute,to:'2016-06-23 10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7" s="48" t="str">
        <f t="shared" si="18"/>
        <v>N</v>
      </c>
      <c r="X67" s="48">
        <f t="shared" si="19"/>
        <v>1</v>
      </c>
      <c r="Y67" s="48">
        <f t="shared" si="22"/>
        <v>4.7500000000000001E-2</v>
      </c>
      <c r="Z67" s="48">
        <f t="shared" si="23"/>
        <v>23.327400000000001</v>
      </c>
      <c r="AA67" s="48">
        <f t="shared" si="20"/>
        <v>23.279900000000001</v>
      </c>
      <c r="AB67" s="49" t="e">
        <f>VLOOKUP(A67,Enforcements!$C$7:$J$73,8,0)</f>
        <v>#N/A</v>
      </c>
      <c r="AC67" s="49" t="e">
        <f>VLOOKUP(A67,Enforcements!$C$7:$E$73,3,0)</f>
        <v>#N/A</v>
      </c>
    </row>
    <row r="68" spans="1:29" s="2" customFormat="1" x14ac:dyDescent="0.25">
      <c r="A68" s="43" t="s">
        <v>251</v>
      </c>
      <c r="B68" s="43">
        <v>4030</v>
      </c>
      <c r="C68" s="43" t="s">
        <v>60</v>
      </c>
      <c r="D68" s="43" t="s">
        <v>132</v>
      </c>
      <c r="E68" s="25">
        <v>42544.475601851853</v>
      </c>
      <c r="F68" s="25">
        <v>42544.476539351854</v>
      </c>
      <c r="G68" s="31">
        <v>1</v>
      </c>
      <c r="H68" s="25" t="s">
        <v>478</v>
      </c>
      <c r="I68" s="25">
        <v>42544.514722222222</v>
      </c>
      <c r="J68" s="43">
        <v>3</v>
      </c>
      <c r="K68" s="43" t="str">
        <f t="shared" si="13"/>
        <v>4029/4030</v>
      </c>
      <c r="L68" s="43" t="str">
        <f>VLOOKUP(A68,'Trips&amp;Operators'!$C$1:$E$10000,3,FALSE)</f>
        <v>STAMBAUGH</v>
      </c>
      <c r="M68" s="11">
        <f t="shared" si="14"/>
        <v>3.8182870368473232E-2</v>
      </c>
      <c r="N68" s="12">
        <f>24*60*SUM($M68:$M68)</f>
        <v>54.983333330601454</v>
      </c>
      <c r="O68" s="12"/>
      <c r="P68" s="12"/>
      <c r="Q68" s="44"/>
      <c r="R68" s="44"/>
      <c r="S68" s="70">
        <f t="shared" si="15"/>
        <v>1</v>
      </c>
      <c r="T68" s="2" t="str">
        <f t="shared" si="16"/>
        <v>Southbound</v>
      </c>
      <c r="U68" s="2">
        <f>COUNTIFS(Variables!$M$2:$M$19, "&lt;=" &amp; Y68, Variables!$M$2:$M$19, "&gt;=" &amp; Z68)</f>
        <v>12</v>
      </c>
      <c r="V6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8" s="48" t="str">
        <f t="shared" si="18"/>
        <v>N</v>
      </c>
      <c r="X68" s="48">
        <f t="shared" si="19"/>
        <v>1</v>
      </c>
      <c r="Y68" s="48">
        <f t="shared" si="22"/>
        <v>23.298300000000001</v>
      </c>
      <c r="Z68" s="48">
        <f t="shared" si="23"/>
        <v>5.0799999999999998E-2</v>
      </c>
      <c r="AA68" s="48">
        <f t="shared" si="20"/>
        <v>23.247500000000002</v>
      </c>
      <c r="AB68" s="49">
        <f>VLOOKUP(A68,Enforcements!$C$7:$J$73,8,0)</f>
        <v>30562</v>
      </c>
      <c r="AC68" s="49" t="str">
        <f>VLOOKUP(A68,Enforcements!$C$7:$E$73,3,0)</f>
        <v>PERMANENT SPEED RESTRICTION</v>
      </c>
    </row>
    <row r="69" spans="1:29" s="2" customFormat="1" x14ac:dyDescent="0.25">
      <c r="A69" s="43" t="s">
        <v>408</v>
      </c>
      <c r="B69" s="43">
        <v>4042</v>
      </c>
      <c r="C69" s="43" t="s">
        <v>60</v>
      </c>
      <c r="D69" s="43" t="s">
        <v>122</v>
      </c>
      <c r="E69" s="25">
        <v>42544.443726851852</v>
      </c>
      <c r="F69" s="25">
        <v>42544.445057870369</v>
      </c>
      <c r="G69" s="31">
        <v>1</v>
      </c>
      <c r="H69" s="25" t="s">
        <v>112</v>
      </c>
      <c r="I69" s="25">
        <v>42544.475208333337</v>
      </c>
      <c r="J69" s="43">
        <v>0</v>
      </c>
      <c r="K69" s="43" t="str">
        <f t="shared" si="13"/>
        <v>4041/4042</v>
      </c>
      <c r="L69" s="43" t="str">
        <f>VLOOKUP(A69,'Trips&amp;Operators'!$C$1:$E$10000,3,FALSE)</f>
        <v>STEWART</v>
      </c>
      <c r="M69" s="11">
        <f t="shared" si="14"/>
        <v>3.0150462967867497E-2</v>
      </c>
      <c r="N69" s="12">
        <f>24*60*SUM($M69:$M69)</f>
        <v>43.416666673729196</v>
      </c>
      <c r="O69" s="12"/>
      <c r="P69" s="12"/>
      <c r="Q69" s="44"/>
      <c r="R69" s="44"/>
      <c r="S69" s="70">
        <f t="shared" si="15"/>
        <v>1</v>
      </c>
      <c r="T69" s="2" t="str">
        <f t="shared" si="16"/>
        <v>NorthBound</v>
      </c>
      <c r="U69" s="2">
        <f>COUNTIFS(Variables!$M$2:$M$19, "&gt;=" &amp; Y69, Variables!$M$2:$M$19, "&lt;=" &amp; Z69)</f>
        <v>12</v>
      </c>
      <c r="V6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10:37:58-0600',mode:absolute,to:'2016-06-23 11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9" s="48" t="str">
        <f t="shared" si="18"/>
        <v>N</v>
      </c>
      <c r="X69" s="48">
        <f t="shared" si="19"/>
        <v>1</v>
      </c>
      <c r="Y69" s="48">
        <f t="shared" si="22"/>
        <v>4.5499999999999999E-2</v>
      </c>
      <c r="Z69" s="48">
        <f t="shared" si="23"/>
        <v>23.329699999999999</v>
      </c>
      <c r="AA69" s="48">
        <f t="shared" si="20"/>
        <v>23.284199999999998</v>
      </c>
      <c r="AB69" s="49" t="e">
        <f>VLOOKUP(A69,Enforcements!$C$7:$J$73,8,0)</f>
        <v>#N/A</v>
      </c>
      <c r="AC69" s="49" t="e">
        <f>VLOOKUP(A69,Enforcements!$C$7:$E$73,3,0)</f>
        <v>#N/A</v>
      </c>
    </row>
    <row r="70" spans="1:29" s="2" customFormat="1" x14ac:dyDescent="0.25">
      <c r="A70" s="43" t="s">
        <v>308</v>
      </c>
      <c r="B70" s="43">
        <v>4041</v>
      </c>
      <c r="C70" s="43" t="s">
        <v>60</v>
      </c>
      <c r="D70" s="43" t="s">
        <v>71</v>
      </c>
      <c r="E70" s="25">
        <v>42544.485138888886</v>
      </c>
      <c r="F70" s="25">
        <v>42544.485902777778</v>
      </c>
      <c r="G70" s="31">
        <v>1</v>
      </c>
      <c r="H70" s="25" t="s">
        <v>479</v>
      </c>
      <c r="I70" s="25">
        <v>42544.504490740743</v>
      </c>
      <c r="J70" s="43">
        <v>0</v>
      </c>
      <c r="K70" s="43" t="str">
        <f t="shared" si="13"/>
        <v>4041/4042</v>
      </c>
      <c r="L70" s="43" t="str">
        <f>VLOOKUP(A70,'Trips&amp;Operators'!$C$1:$E$10000,3,FALSE)</f>
        <v>STEWART</v>
      </c>
      <c r="M70" s="11">
        <f t="shared" si="14"/>
        <v>1.8587962964375038E-2</v>
      </c>
      <c r="N70" s="12"/>
      <c r="O70" s="12"/>
      <c r="P70" s="12">
        <f>24*60*SUM($M70:$M71)</f>
        <v>39.816666670376435</v>
      </c>
      <c r="Q70" s="44"/>
      <c r="R70" s="44" t="s">
        <v>181</v>
      </c>
      <c r="S70" s="70">
        <f>SUM(U70:U71)/12</f>
        <v>0.41666666666666669</v>
      </c>
      <c r="T70" s="2" t="str">
        <f t="shared" si="16"/>
        <v>Southbound</v>
      </c>
      <c r="U70" s="2">
        <f>COUNTIFS(Variables!$M$2:$M$19, "&lt;=" &amp; Y70, Variables!$M$2:$M$19, "&gt;=" &amp; Z70)</f>
        <v>2</v>
      </c>
      <c r="V7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11:37:36-0600',mode:absolute,to:'2016-06-23 12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0" s="48" t="str">
        <f t="shared" si="18"/>
        <v>Y</v>
      </c>
      <c r="X70" s="48">
        <f t="shared" si="19"/>
        <v>1</v>
      </c>
      <c r="Y70" s="48">
        <f t="shared" si="22"/>
        <v>23.297699999999999</v>
      </c>
      <c r="Z70" s="48">
        <f t="shared" si="23"/>
        <v>8.2507000000000001</v>
      </c>
      <c r="AA70" s="48">
        <f t="shared" si="20"/>
        <v>15.046999999999999</v>
      </c>
      <c r="AB70" s="49" t="e">
        <f>VLOOKUP(A70,Enforcements!$C$7:$J$73,8,0)</f>
        <v>#N/A</v>
      </c>
      <c r="AC70" s="49" t="e">
        <f>VLOOKUP(A70,Enforcements!$C$7:$E$73,3,0)</f>
        <v>#N/A</v>
      </c>
    </row>
    <row r="71" spans="1:29" s="2" customFormat="1" x14ac:dyDescent="0.25">
      <c r="A71" s="43" t="s">
        <v>308</v>
      </c>
      <c r="B71" s="43">
        <v>4041</v>
      </c>
      <c r="C71" s="43" t="s">
        <v>60</v>
      </c>
      <c r="D71" s="43" t="s">
        <v>480</v>
      </c>
      <c r="E71" s="25">
        <v>42544.510196759256</v>
      </c>
      <c r="F71" s="25">
        <v>42544.510833333334</v>
      </c>
      <c r="G71" s="31">
        <v>0</v>
      </c>
      <c r="H71" s="25" t="s">
        <v>67</v>
      </c>
      <c r="I71" s="25">
        <v>42544.519895833335</v>
      </c>
      <c r="J71" s="43">
        <v>0</v>
      </c>
      <c r="K71" s="43" t="str">
        <f t="shared" si="13"/>
        <v>4041/4042</v>
      </c>
      <c r="L71" s="43" t="str">
        <f>VLOOKUP(A71,'Trips&amp;Operators'!$C$1:$E$10000,3,FALSE)</f>
        <v>STEWART</v>
      </c>
      <c r="M71" s="11">
        <f t="shared" si="14"/>
        <v>9.0625000011641532E-3</v>
      </c>
      <c r="N71" s="12"/>
      <c r="O71" s="12"/>
      <c r="P71" s="12"/>
      <c r="Q71" s="44"/>
      <c r="R71" s="44"/>
      <c r="S71" s="70"/>
      <c r="T71" s="2" t="str">
        <f t="shared" si="16"/>
        <v>Southbound</v>
      </c>
      <c r="U71" s="2">
        <f>COUNTIFS(Variables!$M$2:$M$19, "&lt;=" &amp; Y71, Variables!$M$2:$M$19, "&gt;=" &amp; Z71)</f>
        <v>3</v>
      </c>
      <c r="V7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12:13:41-0600',mode:absolute,to:'2016-06-23 12:29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1" s="48" t="str">
        <f t="shared" si="18"/>
        <v>Y</v>
      </c>
      <c r="X71" s="48">
        <f t="shared" si="19"/>
        <v>0</v>
      </c>
      <c r="Y71" s="48">
        <f t="shared" si="22"/>
        <v>3.6781999999999999</v>
      </c>
      <c r="Z71" s="48">
        <f t="shared" si="23"/>
        <v>1.47E-2</v>
      </c>
      <c r="AA71" s="48">
        <f t="shared" si="20"/>
        <v>3.6635</v>
      </c>
      <c r="AB71" s="49" t="e">
        <f>VLOOKUP(A71,Enforcements!$C$7:$J$73,8,0)</f>
        <v>#N/A</v>
      </c>
      <c r="AC71" s="49" t="e">
        <f>VLOOKUP(A71,Enforcements!$C$7:$E$73,3,0)</f>
        <v>#N/A</v>
      </c>
    </row>
    <row r="72" spans="1:29" s="2" customFormat="1" x14ac:dyDescent="0.25">
      <c r="A72" s="43" t="s">
        <v>250</v>
      </c>
      <c r="B72" s="43">
        <v>4009</v>
      </c>
      <c r="C72" s="43" t="s">
        <v>60</v>
      </c>
      <c r="D72" s="43" t="s">
        <v>72</v>
      </c>
      <c r="E72" s="25">
        <v>42544.453344907408</v>
      </c>
      <c r="F72" s="25">
        <v>42544.454282407409</v>
      </c>
      <c r="G72" s="31">
        <v>1</v>
      </c>
      <c r="H72" s="25" t="s">
        <v>481</v>
      </c>
      <c r="I72" s="25">
        <v>42544.4843287037</v>
      </c>
      <c r="J72" s="43">
        <v>1</v>
      </c>
      <c r="K72" s="43" t="str">
        <f t="shared" si="13"/>
        <v>4009/4010</v>
      </c>
      <c r="L72" s="43" t="str">
        <f>VLOOKUP(A72,'Trips&amp;Operators'!$C$1:$E$10000,3,FALSE)</f>
        <v>MALAVE</v>
      </c>
      <c r="M72" s="11">
        <f t="shared" si="14"/>
        <v>3.0046296291402541E-2</v>
      </c>
      <c r="N72" s="12">
        <f t="shared" ref="N72:N78" si="24">24*60*SUM($M72:$M72)</f>
        <v>43.266666659619659</v>
      </c>
      <c r="O72" s="12"/>
      <c r="P72" s="12"/>
      <c r="Q72" s="44"/>
      <c r="R72" s="44"/>
      <c r="S72" s="70">
        <f t="shared" ref="S72:S103" si="25">SUM(U72:U72)/12</f>
        <v>1</v>
      </c>
      <c r="T72" s="2" t="str">
        <f t="shared" si="16"/>
        <v>NorthBound</v>
      </c>
      <c r="U72" s="2">
        <f>COUNTIFS(Variables!$M$2:$M$19, "&gt;=" &amp; Y72, Variables!$M$2:$M$19, "&lt;=" &amp; Z72)</f>
        <v>12</v>
      </c>
      <c r="V7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10:51:49-0600',mode:absolute,to:'2016-06-23 11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2" s="48" t="str">
        <f t="shared" si="18"/>
        <v>N</v>
      </c>
      <c r="X72" s="48">
        <f t="shared" si="19"/>
        <v>1</v>
      </c>
      <c r="Y72" s="48">
        <f t="shared" si="22"/>
        <v>4.6199999999999998E-2</v>
      </c>
      <c r="Z72" s="48">
        <f t="shared" si="23"/>
        <v>23.328299999999999</v>
      </c>
      <c r="AA72" s="48">
        <f t="shared" si="20"/>
        <v>23.2821</v>
      </c>
      <c r="AB72" s="49">
        <f>VLOOKUP(A72,Enforcements!$C$7:$J$73,8,0)</f>
        <v>233491</v>
      </c>
      <c r="AC72" s="49" t="str">
        <f>VLOOKUP(A72,Enforcements!$C$7:$E$73,3,0)</f>
        <v>TRACK WARRANT AUTHORITY</v>
      </c>
    </row>
    <row r="73" spans="1:29" s="2" customFormat="1" x14ac:dyDescent="0.25">
      <c r="A73" s="43" t="s">
        <v>254</v>
      </c>
      <c r="B73" s="43">
        <v>4010</v>
      </c>
      <c r="C73" s="43" t="s">
        <v>60</v>
      </c>
      <c r="D73" s="43" t="s">
        <v>208</v>
      </c>
      <c r="E73" s="25">
        <v>42544.499097222222</v>
      </c>
      <c r="F73" s="25">
        <v>42544.5</v>
      </c>
      <c r="G73" s="31">
        <v>1</v>
      </c>
      <c r="H73" s="25" t="s">
        <v>482</v>
      </c>
      <c r="I73" s="25">
        <v>42544.526099537034</v>
      </c>
      <c r="J73" s="43">
        <v>1</v>
      </c>
      <c r="K73" s="43" t="str">
        <f t="shared" si="13"/>
        <v>4009/4010</v>
      </c>
      <c r="L73" s="43" t="str">
        <f>VLOOKUP(A73,'Trips&amp;Operators'!$C$1:$E$10000,3,FALSE)</f>
        <v>MALAVE</v>
      </c>
      <c r="M73" s="11">
        <f t="shared" si="14"/>
        <v>2.6099537033587694E-2</v>
      </c>
      <c r="N73" s="12">
        <f t="shared" si="24"/>
        <v>37.58333332836628</v>
      </c>
      <c r="O73" s="12"/>
      <c r="P73" s="12"/>
      <c r="Q73" s="44"/>
      <c r="R73" s="44"/>
      <c r="S73" s="70">
        <f t="shared" si="25"/>
        <v>1</v>
      </c>
      <c r="T73" s="2" t="str">
        <f t="shared" si="16"/>
        <v>Southbound</v>
      </c>
      <c r="U73" s="2">
        <f>COUNTIFS(Variables!$M$2:$M$19, "&lt;=" &amp; Y73, Variables!$M$2:$M$19, "&gt;=" &amp; Z73)</f>
        <v>12</v>
      </c>
      <c r="V7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11:57:42-0600',mode:absolute,to:'2016-06-23 12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3" s="48" t="str">
        <f t="shared" si="18"/>
        <v>N</v>
      </c>
      <c r="X73" s="48">
        <f t="shared" si="19"/>
        <v>1</v>
      </c>
      <c r="Y73" s="48">
        <f t="shared" si="22"/>
        <v>23.296199999999999</v>
      </c>
      <c r="Z73" s="48">
        <f t="shared" si="23"/>
        <v>3.1600000000000003E-2</v>
      </c>
      <c r="AA73" s="48">
        <f t="shared" si="20"/>
        <v>23.264599999999998</v>
      </c>
      <c r="AB73" s="49">
        <f>VLOOKUP(A73,Enforcements!$C$7:$J$73,8,0)</f>
        <v>1</v>
      </c>
      <c r="AC73" s="49" t="str">
        <f>VLOOKUP(A73,Enforcements!$C$7:$E$73,3,0)</f>
        <v>TRACK WARRANT AUTHORITY</v>
      </c>
    </row>
    <row r="74" spans="1:29" s="2" customFormat="1" x14ac:dyDescent="0.25">
      <c r="A74" s="43" t="s">
        <v>311</v>
      </c>
      <c r="B74" s="43">
        <v>4018</v>
      </c>
      <c r="C74" s="43" t="s">
        <v>60</v>
      </c>
      <c r="D74" s="43" t="s">
        <v>87</v>
      </c>
      <c r="E74" s="25">
        <v>42544.467083333337</v>
      </c>
      <c r="F74" s="25">
        <v>42544.467743055553</v>
      </c>
      <c r="G74" s="31">
        <v>0</v>
      </c>
      <c r="H74" s="25" t="s">
        <v>460</v>
      </c>
      <c r="I74" s="25">
        <v>42544.495509259257</v>
      </c>
      <c r="J74" s="43">
        <v>0</v>
      </c>
      <c r="K74" s="43" t="str">
        <f t="shared" si="13"/>
        <v>4017/4018</v>
      </c>
      <c r="L74" s="43" t="str">
        <f>VLOOKUP(A74,'Trips&amp;Operators'!$C$1:$E$10000,3,FALSE)</f>
        <v>SPECTOR</v>
      </c>
      <c r="M74" s="11">
        <f t="shared" si="14"/>
        <v>2.7766203704231884E-2</v>
      </c>
      <c r="N74" s="12">
        <f t="shared" si="24"/>
        <v>39.983333334093913</v>
      </c>
      <c r="O74" s="12"/>
      <c r="P74" s="12"/>
      <c r="Q74" s="44"/>
      <c r="R74" s="44"/>
      <c r="S74" s="70">
        <f t="shared" si="25"/>
        <v>1</v>
      </c>
      <c r="T74" s="2" t="str">
        <f t="shared" si="16"/>
        <v>NorthBound</v>
      </c>
      <c r="U74" s="2">
        <f>COUNTIFS(Variables!$M$2:$M$19, "&gt;=" &amp; Y74, Variables!$M$2:$M$19, "&lt;=" &amp; Z74)</f>
        <v>12</v>
      </c>
      <c r="V7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11:11:36-0600',mode:absolute,to:'2016-06-23 11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4" s="48" t="str">
        <f t="shared" si="18"/>
        <v>N</v>
      </c>
      <c r="X74" s="48">
        <f t="shared" si="19"/>
        <v>1</v>
      </c>
      <c r="Y74" s="48">
        <f t="shared" si="22"/>
        <v>4.58E-2</v>
      </c>
      <c r="Z74" s="48">
        <f t="shared" si="23"/>
        <v>23.3293</v>
      </c>
      <c r="AA74" s="48">
        <f t="shared" si="20"/>
        <v>23.2835</v>
      </c>
      <c r="AB74" s="49" t="e">
        <f>VLOOKUP(A74,Enforcements!$C$7:$J$73,8,0)</f>
        <v>#N/A</v>
      </c>
      <c r="AC74" s="49" t="e">
        <f>VLOOKUP(A74,Enforcements!$C$7:$E$73,3,0)</f>
        <v>#N/A</v>
      </c>
    </row>
    <row r="75" spans="1:29" s="2" customFormat="1" x14ac:dyDescent="0.25">
      <c r="A75" s="43" t="s">
        <v>407</v>
      </c>
      <c r="B75" s="43">
        <v>4017</v>
      </c>
      <c r="C75" s="43" t="s">
        <v>60</v>
      </c>
      <c r="D75" s="43" t="s">
        <v>211</v>
      </c>
      <c r="E75" s="25">
        <v>42544.502465277779</v>
      </c>
      <c r="F75" s="25">
        <v>42544.50341435185</v>
      </c>
      <c r="G75" s="31">
        <v>1</v>
      </c>
      <c r="H75" s="25" t="s">
        <v>130</v>
      </c>
      <c r="I75" s="25">
        <v>42544.534733796296</v>
      </c>
      <c r="J75" s="43">
        <v>0</v>
      </c>
      <c r="K75" s="43" t="str">
        <f t="shared" si="13"/>
        <v>4017/4018</v>
      </c>
      <c r="L75" s="43" t="str">
        <f>VLOOKUP(A75,'Trips&amp;Operators'!$C$1:$E$10000,3,FALSE)</f>
        <v>SPECTOR</v>
      </c>
      <c r="M75" s="11">
        <f t="shared" si="14"/>
        <v>3.1319444446125999E-2</v>
      </c>
      <c r="N75" s="12">
        <f t="shared" si="24"/>
        <v>45.100000002421439</v>
      </c>
      <c r="O75" s="12"/>
      <c r="P75" s="12"/>
      <c r="Q75" s="44"/>
      <c r="R75" s="44"/>
      <c r="S75" s="70">
        <f t="shared" si="25"/>
        <v>1</v>
      </c>
      <c r="T75" s="2" t="str">
        <f t="shared" si="16"/>
        <v>Southbound</v>
      </c>
      <c r="U75" s="2">
        <f>COUNTIFS(Variables!$M$2:$M$19, "&lt;=" &amp; Y75, Variables!$M$2:$M$19, "&gt;=" &amp; Z75)</f>
        <v>12</v>
      </c>
      <c r="V7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12:02:33-0600',mode:absolute,to:'2016-06-23 12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5" s="48" t="str">
        <f t="shared" si="18"/>
        <v>N</v>
      </c>
      <c r="X75" s="48">
        <f t="shared" si="19"/>
        <v>1</v>
      </c>
      <c r="Y75" s="48">
        <f t="shared" si="22"/>
        <v>23.299199999999999</v>
      </c>
      <c r="Z75" s="48">
        <f t="shared" si="23"/>
        <v>1.4999999999999999E-2</v>
      </c>
      <c r="AA75" s="48">
        <f t="shared" si="20"/>
        <v>23.284199999999998</v>
      </c>
      <c r="AB75" s="49" t="e">
        <f>VLOOKUP(A75,Enforcements!$C$7:$J$73,8,0)</f>
        <v>#N/A</v>
      </c>
      <c r="AC75" s="49" t="e">
        <f>VLOOKUP(A75,Enforcements!$C$7:$E$73,3,0)</f>
        <v>#N/A</v>
      </c>
    </row>
    <row r="76" spans="1:29" s="2" customFormat="1" x14ac:dyDescent="0.25">
      <c r="A76" s="43" t="s">
        <v>252</v>
      </c>
      <c r="B76" s="43">
        <v>4014</v>
      </c>
      <c r="C76" s="43" t="s">
        <v>60</v>
      </c>
      <c r="D76" s="43" t="s">
        <v>483</v>
      </c>
      <c r="E76" s="25">
        <v>42544.474976851852</v>
      </c>
      <c r="F76" s="25">
        <v>42544.477048611108</v>
      </c>
      <c r="G76" s="31">
        <v>2</v>
      </c>
      <c r="H76" s="25" t="s">
        <v>108</v>
      </c>
      <c r="I76" s="25">
        <v>42544.508136574077</v>
      </c>
      <c r="J76" s="43">
        <v>1</v>
      </c>
      <c r="K76" s="43" t="str">
        <f t="shared" si="13"/>
        <v>4013/4014</v>
      </c>
      <c r="L76" s="43" t="str">
        <f>VLOOKUP(A76,'Trips&amp;Operators'!$C$1:$E$10000,3,FALSE)</f>
        <v>DAVIS</v>
      </c>
      <c r="M76" s="11">
        <f t="shared" si="14"/>
        <v>3.1087962968740612E-2</v>
      </c>
      <c r="N76" s="12">
        <f t="shared" si="24"/>
        <v>44.766666674986482</v>
      </c>
      <c r="O76" s="12"/>
      <c r="P76" s="12"/>
      <c r="Q76" s="44"/>
      <c r="R76" s="44"/>
      <c r="S76" s="70">
        <f t="shared" si="25"/>
        <v>1</v>
      </c>
      <c r="T76" s="2" t="str">
        <f t="shared" si="16"/>
        <v>NorthBound</v>
      </c>
      <c r="U76" s="2">
        <f>COUNTIFS(Variables!$M$2:$M$19, "&gt;=" &amp; Y76, Variables!$M$2:$M$19, "&lt;=" &amp; Z76)</f>
        <v>12</v>
      </c>
      <c r="V7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https://search-rtdc-monitor-bjffxe2xuh6vdkpspy63sjmuny.us-east-1.es.amazonaws.com/_plugin/kibana/#/discover/Steve-Slow-Train-Analysis-(2080s-and-2083s)?_g=(refreshInterval:(display:Off,section:0,value:0),time:(from:'2016-06-23 11:22:58-0600',mode:absolute,to:'2016-06-23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6" s="48" t="str">
        <f t="shared" si="18"/>
        <v>N</v>
      </c>
      <c r="X76" s="48">
        <f t="shared" si="19"/>
        <v>1</v>
      </c>
      <c r="Y76" s="48">
        <f t="shared" si="22"/>
        <v>0.14810000000000001</v>
      </c>
      <c r="Z76" s="48">
        <f t="shared" si="23"/>
        <v>23.329499999999999</v>
      </c>
      <c r="AA76" s="48">
        <f t="shared" si="20"/>
        <v>23.1814</v>
      </c>
      <c r="AB76" s="49">
        <f>VLOOKUP(A76,Enforcements!$C$7:$J$73,8,0)</f>
        <v>233491</v>
      </c>
      <c r="AC76" s="49" t="str">
        <f>VLOOKUP(A76,Enforcements!$C$7:$E$73,3,0)</f>
        <v>TRACK WARRANT AUTHORITY</v>
      </c>
    </row>
    <row r="77" spans="1:29" s="2" customFormat="1" x14ac:dyDescent="0.25">
      <c r="A77" s="43" t="s">
        <v>307</v>
      </c>
      <c r="B77" s="43">
        <v>4013</v>
      </c>
      <c r="C77" s="43" t="s">
        <v>60</v>
      </c>
      <c r="D77" s="43" t="s">
        <v>160</v>
      </c>
      <c r="E77" s="25">
        <v>42544.517476851855</v>
      </c>
      <c r="F77" s="25">
        <v>42544.51829861111</v>
      </c>
      <c r="G77" s="31">
        <v>1</v>
      </c>
      <c r="H77" s="25" t="s">
        <v>484</v>
      </c>
      <c r="I77" s="25">
        <v>42544.548842592594</v>
      </c>
      <c r="J77" s="43">
        <v>0</v>
      </c>
      <c r="K77" s="43" t="str">
        <f t="shared" ref="K77:K108" si="26">IF(ISEVEN(B77),(B77-1)&amp;"/"&amp;B77,B77&amp;"/"&amp;(B77+1))</f>
        <v>4013/4014</v>
      </c>
      <c r="L77" s="43" t="str">
        <f>VLOOKUP(A77,'Trips&amp;Operators'!$C$1:$E$10000,3,FALSE)</f>
        <v>DAVIS</v>
      </c>
      <c r="M77" s="11">
        <f t="shared" ref="M77:M108" si="27">I77-F77</f>
        <v>3.054398148378823E-2</v>
      </c>
      <c r="N77" s="12">
        <f t="shared" si="24"/>
        <v>43.983333336655051</v>
      </c>
      <c r="O77" s="12"/>
      <c r="P77" s="12"/>
      <c r="Q77" s="44"/>
      <c r="R77" s="44"/>
      <c r="S77" s="70">
        <f t="shared" si="25"/>
        <v>1</v>
      </c>
      <c r="T77" s="2" t="str">
        <f t="shared" ref="T77:T108" si="28">IF(ISEVEN(LEFT(A77,3)),"Southbound","NorthBound")</f>
        <v>Southbound</v>
      </c>
      <c r="U77" s="2">
        <f>COUNTIFS(Variables!$M$2:$M$19, "&lt;=" &amp; Y77, Variables!$M$2:$M$19, "&gt;=" &amp; Z77)</f>
        <v>12</v>
      </c>
      <c r="V77" s="48" t="str">
        <f t="shared" ref="V77:V108" si="29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https://search-rtdc-monitor-bjffxe2xuh6vdkpspy63sjmuny.us-east-1.es.amazonaws.com/_plugin/kibana/#/discover/Steve-Slow-Train-Analysis-(2080s-and-2083s)?_g=(refreshInterval:(display:Off,section:0,value:0),time:(from:'2016-06-23 12:24:10-0600',mode:absolute,to:'2016-06-23 13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7" s="48" t="str">
        <f t="shared" ref="W77:W108" si="30">IF(AA77&lt;23,"Y","N")</f>
        <v>N</v>
      </c>
      <c r="X77" s="48">
        <f t="shared" ref="X77:X108" si="31">VALUE(LEFT(A77,3))-VALUE(LEFT(A76,3))</f>
        <v>1</v>
      </c>
      <c r="Y77" s="48">
        <f t="shared" si="22"/>
        <v>23.2989</v>
      </c>
      <c r="Z77" s="48">
        <f t="shared" si="23"/>
        <v>1.32E-2</v>
      </c>
      <c r="AA77" s="48">
        <f t="shared" ref="AA77:AA108" si="32">ABS(Z77-Y77)</f>
        <v>23.285699999999999</v>
      </c>
      <c r="AB77" s="49" t="e">
        <f>VLOOKUP(A77,Enforcements!$C$7:$J$73,8,0)</f>
        <v>#N/A</v>
      </c>
      <c r="AC77" s="49" t="e">
        <f>VLOOKUP(A77,Enforcements!$C$7:$E$73,3,0)</f>
        <v>#N/A</v>
      </c>
    </row>
    <row r="78" spans="1:29" s="2" customFormat="1" ht="16.5" customHeight="1" x14ac:dyDescent="0.25">
      <c r="A78" s="43" t="s">
        <v>356</v>
      </c>
      <c r="B78" s="43">
        <v>4040</v>
      </c>
      <c r="C78" s="43" t="s">
        <v>60</v>
      </c>
      <c r="D78" s="43" t="s">
        <v>168</v>
      </c>
      <c r="E78" s="25">
        <v>42544.484722222223</v>
      </c>
      <c r="F78" s="25">
        <v>42544.486446759256</v>
      </c>
      <c r="G78" s="31">
        <v>2</v>
      </c>
      <c r="H78" s="25" t="s">
        <v>189</v>
      </c>
      <c r="I78" s="25">
        <v>42544.515648148146</v>
      </c>
      <c r="J78" s="43">
        <v>0</v>
      </c>
      <c r="K78" s="43" t="str">
        <f t="shared" si="26"/>
        <v>4039/4040</v>
      </c>
      <c r="L78" s="43" t="str">
        <f>VLOOKUP(A78,'Trips&amp;Operators'!$C$1:$E$10000,3,FALSE)</f>
        <v>GOODNIGHT</v>
      </c>
      <c r="M78" s="11">
        <f t="shared" si="27"/>
        <v>2.920138889021473E-2</v>
      </c>
      <c r="N78" s="12">
        <f t="shared" si="24"/>
        <v>42.050000001909211</v>
      </c>
      <c r="O78" s="12"/>
      <c r="P78" s="12"/>
      <c r="Q78" s="44"/>
      <c r="R78" s="44"/>
      <c r="S78" s="70">
        <f t="shared" si="25"/>
        <v>1</v>
      </c>
      <c r="T78" s="2" t="str">
        <f t="shared" si="28"/>
        <v>NorthBound</v>
      </c>
      <c r="U78" s="2">
        <f>COUNTIFS(Variables!$M$2:$M$19, "&gt;=" &amp; Y78, Variables!$M$2:$M$19, "&lt;=" &amp; Z78)</f>
        <v>12</v>
      </c>
      <c r="V7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11:37:00-0600',mode:absolute,to:'2016-06-23 12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8" s="48" t="str">
        <f t="shared" si="30"/>
        <v>N</v>
      </c>
      <c r="X78" s="48">
        <f t="shared" si="31"/>
        <v>1</v>
      </c>
      <c r="Y78" s="48">
        <f t="shared" si="22"/>
        <v>4.7300000000000002E-2</v>
      </c>
      <c r="Z78" s="48">
        <f t="shared" si="23"/>
        <v>23.330500000000001</v>
      </c>
      <c r="AA78" s="48">
        <f t="shared" si="32"/>
        <v>23.283200000000001</v>
      </c>
      <c r="AB78" s="49" t="e">
        <f>VLOOKUP(A78,Enforcements!$C$7:$J$73,8,0)</f>
        <v>#N/A</v>
      </c>
      <c r="AC78" s="49" t="e">
        <f>VLOOKUP(A78,Enforcements!$C$7:$E$73,3,0)</f>
        <v>#N/A</v>
      </c>
    </row>
    <row r="79" spans="1:29" s="2" customFormat="1" ht="16.5" customHeight="1" x14ac:dyDescent="0.25">
      <c r="A79" s="66" t="s">
        <v>345</v>
      </c>
      <c r="B79" s="43">
        <v>4039</v>
      </c>
      <c r="C79" s="43" t="s">
        <v>515</v>
      </c>
      <c r="D79" s="43" t="s">
        <v>516</v>
      </c>
      <c r="E79" s="25">
        <v>42545.069016203706</v>
      </c>
      <c r="F79" s="25">
        <v>42544.526030092595</v>
      </c>
      <c r="G79" s="25">
        <v>1</v>
      </c>
      <c r="H79" s="25" t="s">
        <v>517</v>
      </c>
      <c r="I79" s="25">
        <v>42544.527777777781</v>
      </c>
      <c r="J79" s="43">
        <v>3</v>
      </c>
      <c r="K79" s="43" t="str">
        <f t="shared" si="26"/>
        <v>4039/4040</v>
      </c>
      <c r="L79" s="43" t="str">
        <f>VLOOKUP(A79,'Trips&amp;Operators'!$C$1:$E$10000,3,FALSE)</f>
        <v>GOODNIGHT</v>
      </c>
      <c r="M79" s="11">
        <f t="shared" si="27"/>
        <v>1.747685186273884E-3</v>
      </c>
      <c r="N79" s="12"/>
      <c r="O79" s="12"/>
      <c r="P79" s="12">
        <f>24*60*SUM($M79:$M79)</f>
        <v>2.516666668234393</v>
      </c>
      <c r="Q79" s="44"/>
      <c r="R79" s="44" t="s">
        <v>223</v>
      </c>
      <c r="S79" s="70">
        <f t="shared" si="25"/>
        <v>0</v>
      </c>
      <c r="T79" s="2" t="str">
        <f t="shared" si="28"/>
        <v>Southbound</v>
      </c>
      <c r="U79" s="2">
        <f>COUNTIFS(Variables!$M$2:$M$19, "&lt;=" &amp; Y79, Variables!$M$2:$M$19, "&gt;=" &amp; Z79)</f>
        <v>0</v>
      </c>
      <c r="V7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01:38:23-0600',mode:absolute,to:'2016-06-23 12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9" s="48" t="str">
        <f t="shared" si="30"/>
        <v>Y</v>
      </c>
      <c r="X79" s="48">
        <f t="shared" si="31"/>
        <v>1</v>
      </c>
      <c r="Y79" s="48">
        <v>23.299199999999999</v>
      </c>
      <c r="Z79" s="48">
        <v>23.298200000000001</v>
      </c>
      <c r="AA79" s="48">
        <f t="shared" si="32"/>
        <v>9.9999999999766942E-4</v>
      </c>
      <c r="AB79" s="49" t="e">
        <f>VLOOKUP(A79,Enforcements!$C$7:$J$73,8,0)</f>
        <v>#N/A</v>
      </c>
      <c r="AC79" s="49" t="e">
        <f>VLOOKUP(A79,Enforcements!$C$7:$E$73,3,0)</f>
        <v>#N/A</v>
      </c>
    </row>
    <row r="80" spans="1:29" s="2" customFormat="1" x14ac:dyDescent="0.25">
      <c r="A80" s="43" t="s">
        <v>414</v>
      </c>
      <c r="B80" s="43">
        <v>4038</v>
      </c>
      <c r="C80" s="43" t="s">
        <v>60</v>
      </c>
      <c r="D80" s="43" t="s">
        <v>456</v>
      </c>
      <c r="E80" s="25">
        <v>42544.502523148149</v>
      </c>
      <c r="F80" s="25">
        <v>42544.50377314815</v>
      </c>
      <c r="G80" s="31">
        <v>1</v>
      </c>
      <c r="H80" s="25" t="s">
        <v>127</v>
      </c>
      <c r="I80" s="25">
        <v>42544.544918981483</v>
      </c>
      <c r="J80" s="43">
        <v>0</v>
      </c>
      <c r="K80" s="43" t="str">
        <f t="shared" si="26"/>
        <v>4037/4038</v>
      </c>
      <c r="L80" s="43" t="str">
        <f>VLOOKUP(A80,'Trips&amp;Operators'!$C$1:$E$10000,3,FALSE)</f>
        <v>YOUNG</v>
      </c>
      <c r="M80" s="11">
        <f t="shared" si="27"/>
        <v>4.1145833332848269E-2</v>
      </c>
      <c r="N80" s="12">
        <f t="shared" ref="N80:N89" si="33">24*60*SUM($M80:$M80)</f>
        <v>59.249999999301508</v>
      </c>
      <c r="O80" s="12"/>
      <c r="P80" s="12"/>
      <c r="Q80" s="44"/>
      <c r="R80" s="44"/>
      <c r="S80" s="70">
        <f t="shared" si="25"/>
        <v>1</v>
      </c>
      <c r="T80" s="2" t="str">
        <f t="shared" si="28"/>
        <v>NorthBound</v>
      </c>
      <c r="U80" s="2">
        <f>COUNTIFS(Variables!$M$2:$M$19, "&gt;=" &amp; Y80, Variables!$M$2:$M$19, "&lt;=" &amp; Z80)</f>
        <v>12</v>
      </c>
      <c r="V8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12:02:38-0600',mode:absolute,to:'2016-06-23 13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0" s="48" t="str">
        <f t="shared" si="30"/>
        <v>N</v>
      </c>
      <c r="X80" s="48">
        <f t="shared" si="31"/>
        <v>3</v>
      </c>
      <c r="Y80" s="48">
        <f t="shared" ref="Y80:Y97" si="34">RIGHT(D80,LEN(D80)-4)/10000</f>
        <v>0.11559999999999999</v>
      </c>
      <c r="Z80" s="48">
        <f t="shared" ref="Z80:Z97" si="35">RIGHT(H80,LEN(H80)-4)/10000</f>
        <v>23.331399999999999</v>
      </c>
      <c r="AA80" s="48">
        <f t="shared" si="32"/>
        <v>23.215799999999998</v>
      </c>
      <c r="AB80" s="49" t="e">
        <f>VLOOKUP(A80,Enforcements!$C$7:$J$73,8,0)</f>
        <v>#N/A</v>
      </c>
      <c r="AC80" s="49" t="e">
        <f>VLOOKUP(A80,Enforcements!$C$7:$E$73,3,0)</f>
        <v>#N/A</v>
      </c>
    </row>
    <row r="81" spans="1:29" s="2" customFormat="1" x14ac:dyDescent="0.25">
      <c r="A81" s="43" t="s">
        <v>259</v>
      </c>
      <c r="B81" s="43">
        <v>4037</v>
      </c>
      <c r="C81" s="43" t="s">
        <v>60</v>
      </c>
      <c r="D81" s="43" t="s">
        <v>211</v>
      </c>
      <c r="E81" s="25">
        <v>42544.548518518517</v>
      </c>
      <c r="F81" s="25">
        <v>42544.549467592595</v>
      </c>
      <c r="G81" s="31">
        <v>1</v>
      </c>
      <c r="H81" s="25" t="s">
        <v>61</v>
      </c>
      <c r="I81" s="25">
        <v>42544.582557870373</v>
      </c>
      <c r="J81" s="43">
        <v>1</v>
      </c>
      <c r="K81" s="43" t="str">
        <f t="shared" si="26"/>
        <v>4037/4038</v>
      </c>
      <c r="L81" s="43" t="str">
        <f>VLOOKUP(A81,'Trips&amp;Operators'!$C$1:$E$10000,3,FALSE)</f>
        <v>YOUNG</v>
      </c>
      <c r="M81" s="11">
        <f t="shared" si="27"/>
        <v>3.309027777868323E-2</v>
      </c>
      <c r="N81" s="12">
        <f t="shared" si="33"/>
        <v>47.650000001303852</v>
      </c>
      <c r="O81" s="12"/>
      <c r="P81" s="12"/>
      <c r="Q81" s="44"/>
      <c r="R81" s="44"/>
      <c r="S81" s="70">
        <f t="shared" si="25"/>
        <v>1</v>
      </c>
      <c r="T81" s="2" t="str">
        <f t="shared" si="28"/>
        <v>Southbound</v>
      </c>
      <c r="U81" s="2">
        <f>COUNTIFS(Variables!$M$2:$M$19, "&lt;=" &amp; Y81, Variables!$M$2:$M$19, "&gt;=" &amp; Z81)</f>
        <v>12</v>
      </c>
      <c r="V8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13:08:52-0600',mode:absolute,to:'2016-06-23 13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1" s="48" t="str">
        <f t="shared" si="30"/>
        <v>N</v>
      </c>
      <c r="X81" s="48">
        <f t="shared" si="31"/>
        <v>1</v>
      </c>
      <c r="Y81" s="48">
        <f t="shared" si="34"/>
        <v>23.299199999999999</v>
      </c>
      <c r="Z81" s="48">
        <f t="shared" si="35"/>
        <v>1.4500000000000001E-2</v>
      </c>
      <c r="AA81" s="48">
        <f t="shared" si="32"/>
        <v>23.284699999999997</v>
      </c>
      <c r="AB81" s="49">
        <f>VLOOKUP(A81,Enforcements!$C$7:$J$73,8,0)</f>
        <v>63309</v>
      </c>
      <c r="AC81" s="49" t="str">
        <f>VLOOKUP(A81,Enforcements!$C$7:$E$73,3,0)</f>
        <v>GRADE CROSSING</v>
      </c>
    </row>
    <row r="82" spans="1:29" s="2" customFormat="1" x14ac:dyDescent="0.25">
      <c r="A82" s="43" t="s">
        <v>256</v>
      </c>
      <c r="B82" s="43">
        <v>4042</v>
      </c>
      <c r="C82" s="43" t="s">
        <v>60</v>
      </c>
      <c r="D82" s="43" t="s">
        <v>74</v>
      </c>
      <c r="E82" s="25">
        <v>42544.522187499999</v>
      </c>
      <c r="F82" s="25">
        <v>42544.523425925923</v>
      </c>
      <c r="G82" s="31">
        <v>1</v>
      </c>
      <c r="H82" s="25" t="s">
        <v>460</v>
      </c>
      <c r="I82" s="25">
        <v>42544.557268518518</v>
      </c>
      <c r="J82" s="43">
        <v>1</v>
      </c>
      <c r="K82" s="43" t="str">
        <f t="shared" si="26"/>
        <v>4041/4042</v>
      </c>
      <c r="L82" s="43" t="str">
        <f>VLOOKUP(A82,'Trips&amp;Operators'!$C$1:$E$10000,3,FALSE)</f>
        <v>STEWART</v>
      </c>
      <c r="M82" s="11">
        <f t="shared" si="27"/>
        <v>3.3842592594737653E-2</v>
      </c>
      <c r="N82" s="12">
        <f t="shared" si="33"/>
        <v>48.73333333642222</v>
      </c>
      <c r="O82" s="12"/>
      <c r="P82" s="12"/>
      <c r="Q82" s="44"/>
      <c r="R82" s="44"/>
      <c r="S82" s="70">
        <f t="shared" si="25"/>
        <v>1</v>
      </c>
      <c r="T82" s="2" t="str">
        <f t="shared" si="28"/>
        <v>NorthBound</v>
      </c>
      <c r="U82" s="2">
        <f>COUNTIFS(Variables!$M$2:$M$19, "&gt;=" &amp; Y82, Variables!$M$2:$M$19, "&lt;=" &amp; Z82)</f>
        <v>12</v>
      </c>
      <c r="V8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12:30:57-0600',mode:absolute,to:'2016-06-23 13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2" s="48" t="str">
        <f t="shared" si="30"/>
        <v>N</v>
      </c>
      <c r="X82" s="48">
        <f t="shared" si="31"/>
        <v>1</v>
      </c>
      <c r="Y82" s="48">
        <f t="shared" si="34"/>
        <v>4.5699999999999998E-2</v>
      </c>
      <c r="Z82" s="48">
        <f t="shared" si="35"/>
        <v>23.3293</v>
      </c>
      <c r="AA82" s="48">
        <f t="shared" si="32"/>
        <v>23.2836</v>
      </c>
      <c r="AB82" s="49">
        <f>VLOOKUP(A82,Enforcements!$C$7:$J$73,8,0)</f>
        <v>233491</v>
      </c>
      <c r="AC82" s="49" t="str">
        <f>VLOOKUP(A82,Enforcements!$C$7:$E$73,3,0)</f>
        <v>TRACK WARRANT AUTHORITY</v>
      </c>
    </row>
    <row r="83" spans="1:29" s="2" customFormat="1" x14ac:dyDescent="0.25">
      <c r="A83" s="43" t="s">
        <v>261</v>
      </c>
      <c r="B83" s="43">
        <v>4041</v>
      </c>
      <c r="C83" s="43" t="s">
        <v>60</v>
      </c>
      <c r="D83" s="43" t="s">
        <v>200</v>
      </c>
      <c r="E83" s="25">
        <v>42544.559131944443</v>
      </c>
      <c r="F83" s="25">
        <v>42544.560150462959</v>
      </c>
      <c r="G83" s="31">
        <v>1</v>
      </c>
      <c r="H83" s="25" t="s">
        <v>485</v>
      </c>
      <c r="I83" s="25">
        <v>42544.589884259258</v>
      </c>
      <c r="J83" s="43">
        <v>1</v>
      </c>
      <c r="K83" s="43" t="str">
        <f t="shared" si="26"/>
        <v>4041/4042</v>
      </c>
      <c r="L83" s="43" t="str">
        <f>VLOOKUP(A83,'Trips&amp;Operators'!$C$1:$E$10000,3,FALSE)</f>
        <v>STEWART</v>
      </c>
      <c r="M83" s="11">
        <f t="shared" si="27"/>
        <v>2.973379629838746E-2</v>
      </c>
      <c r="N83" s="12">
        <f t="shared" si="33"/>
        <v>42.816666669677943</v>
      </c>
      <c r="O83" s="12"/>
      <c r="P83" s="12"/>
      <c r="Q83" s="44"/>
      <c r="R83" s="44"/>
      <c r="S83" s="70">
        <f t="shared" si="25"/>
        <v>1</v>
      </c>
      <c r="T83" s="2" t="str">
        <f t="shared" si="28"/>
        <v>Southbound</v>
      </c>
      <c r="U83" s="2">
        <f>COUNTIFS(Variables!$M$2:$M$19, "&lt;=" &amp; Y83, Variables!$M$2:$M$19, "&gt;=" &amp; Z83)</f>
        <v>12</v>
      </c>
      <c r="V8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13:24:09-0600',mode:absolute,to:'2016-06-23 14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3" s="48" t="str">
        <f t="shared" si="30"/>
        <v>N</v>
      </c>
      <c r="X83" s="48">
        <f t="shared" si="31"/>
        <v>1</v>
      </c>
      <c r="Y83" s="48">
        <f t="shared" si="34"/>
        <v>23.297999999999998</v>
      </c>
      <c r="Z83" s="48">
        <f t="shared" si="35"/>
        <v>1.8700000000000001E-2</v>
      </c>
      <c r="AA83" s="48">
        <f t="shared" si="32"/>
        <v>23.279299999999999</v>
      </c>
      <c r="AB83" s="49">
        <f>VLOOKUP(A83,Enforcements!$C$7:$J$73,8,0)</f>
        <v>1</v>
      </c>
      <c r="AC83" s="49" t="str">
        <f>VLOOKUP(A83,Enforcements!$C$7:$E$73,3,0)</f>
        <v>TRACK WARRANT AUTHORITY</v>
      </c>
    </row>
    <row r="84" spans="1:29" s="64" customFormat="1" x14ac:dyDescent="0.25">
      <c r="A84" s="43" t="s">
        <v>424</v>
      </c>
      <c r="B84" s="43">
        <v>4009</v>
      </c>
      <c r="C84" s="43" t="s">
        <v>60</v>
      </c>
      <c r="D84" s="43" t="s">
        <v>486</v>
      </c>
      <c r="E84" s="25">
        <v>42544.531331018516</v>
      </c>
      <c r="F84" s="25">
        <v>42544.532951388886</v>
      </c>
      <c r="G84" s="31">
        <v>2</v>
      </c>
      <c r="H84" s="25" t="s">
        <v>187</v>
      </c>
      <c r="I84" s="25">
        <v>42544.56658564815</v>
      </c>
      <c r="J84" s="43">
        <v>0</v>
      </c>
      <c r="K84" s="43" t="str">
        <f t="shared" si="26"/>
        <v>4009/4010</v>
      </c>
      <c r="L84" s="43" t="str">
        <f>VLOOKUP(A84,'Trips&amp;Operators'!$C$1:$E$10000,3,FALSE)</f>
        <v>BARTELL</v>
      </c>
      <c r="M84" s="11">
        <f t="shared" si="27"/>
        <v>3.3634259263635613E-2</v>
      </c>
      <c r="N84" s="12">
        <f t="shared" si="33"/>
        <v>48.433333339635283</v>
      </c>
      <c r="O84" s="12"/>
      <c r="P84" s="12"/>
      <c r="Q84" s="44"/>
      <c r="R84" s="44"/>
      <c r="S84" s="70">
        <f t="shared" si="25"/>
        <v>1</v>
      </c>
      <c r="T84" s="2" t="str">
        <f t="shared" si="28"/>
        <v>NorthBound</v>
      </c>
      <c r="U84" s="2">
        <f>COUNTIFS(Variables!$M$2:$M$19, "&gt;=" &amp; Y84, Variables!$M$2:$M$19, "&lt;=" &amp; Z84)</f>
        <v>12</v>
      </c>
      <c r="V8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12:44:07-0600',mode:absolute,to:'2016-06-23 13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4" s="48" t="str">
        <f t="shared" si="30"/>
        <v>N</v>
      </c>
      <c r="X84" s="48">
        <f t="shared" si="31"/>
        <v>1</v>
      </c>
      <c r="Y84" s="48">
        <f t="shared" si="34"/>
        <v>6.4799999999999996E-2</v>
      </c>
      <c r="Z84" s="48">
        <f t="shared" si="35"/>
        <v>23.3263</v>
      </c>
      <c r="AA84" s="48">
        <f t="shared" si="32"/>
        <v>23.261499999999998</v>
      </c>
      <c r="AB84" s="49" t="e">
        <f>VLOOKUP(A84,Enforcements!$C$7:$J$73,8,0)</f>
        <v>#N/A</v>
      </c>
      <c r="AC84" s="49" t="e">
        <f>VLOOKUP(A84,Enforcements!$C$7:$E$73,3,0)</f>
        <v>#N/A</v>
      </c>
    </row>
    <row r="85" spans="1:29" s="2" customFormat="1" x14ac:dyDescent="0.25">
      <c r="A85" s="43" t="s">
        <v>260</v>
      </c>
      <c r="B85" s="43">
        <v>4010</v>
      </c>
      <c r="C85" s="43" t="s">
        <v>60</v>
      </c>
      <c r="D85" s="43" t="s">
        <v>487</v>
      </c>
      <c r="E85" s="25">
        <v>42544.569872685184</v>
      </c>
      <c r="F85" s="25">
        <v>42544.571377314816</v>
      </c>
      <c r="G85" s="31">
        <v>2</v>
      </c>
      <c r="H85" s="25" t="s">
        <v>484</v>
      </c>
      <c r="I85" s="25">
        <v>42544.603692129633</v>
      </c>
      <c r="J85" s="43">
        <v>2</v>
      </c>
      <c r="K85" s="43" t="str">
        <f t="shared" si="26"/>
        <v>4009/4010</v>
      </c>
      <c r="L85" s="43" t="str">
        <f>VLOOKUP(A85,'Trips&amp;Operators'!$C$1:$E$10000,3,FALSE)</f>
        <v>BARTELL</v>
      </c>
      <c r="M85" s="11">
        <f t="shared" si="27"/>
        <v>3.2314814816345461E-2</v>
      </c>
      <c r="N85" s="12">
        <f t="shared" si="33"/>
        <v>46.533333335537463</v>
      </c>
      <c r="O85" s="12"/>
      <c r="P85" s="12"/>
      <c r="Q85" s="44"/>
      <c r="R85" s="44"/>
      <c r="S85" s="70">
        <f t="shared" si="25"/>
        <v>1</v>
      </c>
      <c r="T85" s="2" t="str">
        <f t="shared" si="28"/>
        <v>Southbound</v>
      </c>
      <c r="U85" s="2">
        <f>COUNTIFS(Variables!$M$2:$M$19, "&lt;=" &amp; Y85, Variables!$M$2:$M$19, "&gt;=" &amp; Z85)</f>
        <v>12</v>
      </c>
      <c r="V8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13:39:37-0600',mode:absolute,to:'2016-06-23 14:30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5" s="48" t="str">
        <f t="shared" si="30"/>
        <v>N</v>
      </c>
      <c r="X85" s="48">
        <f t="shared" si="31"/>
        <v>1</v>
      </c>
      <c r="Y85" s="48">
        <f t="shared" si="34"/>
        <v>23.2944</v>
      </c>
      <c r="Z85" s="48">
        <f t="shared" si="35"/>
        <v>1.32E-2</v>
      </c>
      <c r="AA85" s="48">
        <f t="shared" si="32"/>
        <v>23.281199999999998</v>
      </c>
      <c r="AB85" s="49">
        <f>VLOOKUP(A85,Enforcements!$C$7:$J$73,8,0)</f>
        <v>229055</v>
      </c>
      <c r="AC85" s="49" t="str">
        <f>VLOOKUP(A85,Enforcements!$C$7:$E$73,3,0)</f>
        <v>PERMANENT SPEED RESTRICTION</v>
      </c>
    </row>
    <row r="86" spans="1:29" s="2" customFormat="1" ht="14.25" customHeight="1" x14ac:dyDescent="0.25">
      <c r="A86" s="43" t="s">
        <v>309</v>
      </c>
      <c r="B86" s="43">
        <v>4018</v>
      </c>
      <c r="C86" s="43" t="s">
        <v>60</v>
      </c>
      <c r="D86" s="43" t="s">
        <v>81</v>
      </c>
      <c r="E86" s="25">
        <v>42544.539224537039</v>
      </c>
      <c r="F86" s="25">
        <v>42544.540150462963</v>
      </c>
      <c r="G86" s="31">
        <v>1</v>
      </c>
      <c r="H86" s="25" t="s">
        <v>488</v>
      </c>
      <c r="I86" s="25">
        <v>42544.568344907406</v>
      </c>
      <c r="J86" s="43">
        <v>0</v>
      </c>
      <c r="K86" s="43" t="str">
        <f t="shared" si="26"/>
        <v>4017/4018</v>
      </c>
      <c r="L86" s="43" t="str">
        <f>VLOOKUP(A86,'Trips&amp;Operators'!$C$1:$E$10000,3,FALSE)</f>
        <v>SPECTOR</v>
      </c>
      <c r="M86" s="11">
        <f t="shared" si="27"/>
        <v>2.8194444443215616E-2</v>
      </c>
      <c r="N86" s="12">
        <f t="shared" si="33"/>
        <v>40.599999998230487</v>
      </c>
      <c r="O86" s="12"/>
      <c r="P86" s="12"/>
      <c r="Q86" s="44"/>
      <c r="R86" s="44"/>
      <c r="S86" s="70">
        <f t="shared" si="25"/>
        <v>1</v>
      </c>
      <c r="T86" s="2" t="str">
        <f t="shared" si="28"/>
        <v>NorthBound</v>
      </c>
      <c r="U86" s="2">
        <f>COUNTIFS(Variables!$M$2:$M$19, "&gt;=" &amp; Y86, Variables!$M$2:$M$19, "&lt;=" &amp; Z86)</f>
        <v>12</v>
      </c>
      <c r="V8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12:55:29-0600',mode:absolute,to:'2016-06-23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48" t="str">
        <f t="shared" si="30"/>
        <v>N</v>
      </c>
      <c r="X86" s="48">
        <f t="shared" si="31"/>
        <v>1</v>
      </c>
      <c r="Y86" s="48">
        <f t="shared" si="34"/>
        <v>4.53E-2</v>
      </c>
      <c r="Z86" s="48">
        <f t="shared" si="35"/>
        <v>23.332899999999999</v>
      </c>
      <c r="AA86" s="48">
        <f t="shared" si="32"/>
        <v>23.287599999999998</v>
      </c>
      <c r="AB86" s="49" t="e">
        <f>VLOOKUP(A86,Enforcements!$C$7:$J$73,8,0)</f>
        <v>#N/A</v>
      </c>
      <c r="AC86" s="49" t="e">
        <f>VLOOKUP(A86,Enforcements!$C$7:$E$73,3,0)</f>
        <v>#N/A</v>
      </c>
    </row>
    <row r="87" spans="1:29" s="2" customFormat="1" x14ac:dyDescent="0.25">
      <c r="A87" s="43" t="s">
        <v>310</v>
      </c>
      <c r="B87" s="43">
        <v>4017</v>
      </c>
      <c r="C87" s="43" t="s">
        <v>60</v>
      </c>
      <c r="D87" s="43" t="s">
        <v>204</v>
      </c>
      <c r="E87" s="25">
        <v>42544.57408564815</v>
      </c>
      <c r="F87" s="25">
        <v>42544.578275462962</v>
      </c>
      <c r="G87" s="31">
        <v>6</v>
      </c>
      <c r="H87" s="25" t="s">
        <v>130</v>
      </c>
      <c r="I87" s="25">
        <v>42544.610925925925</v>
      </c>
      <c r="J87" s="43">
        <v>0</v>
      </c>
      <c r="K87" s="43" t="str">
        <f t="shared" si="26"/>
        <v>4017/4018</v>
      </c>
      <c r="L87" s="43" t="str">
        <f>VLOOKUP(A87,'Trips&amp;Operators'!$C$1:$E$10000,3,FALSE)</f>
        <v>SPECTOR</v>
      </c>
      <c r="M87" s="11">
        <f t="shared" si="27"/>
        <v>3.2650462962919846E-2</v>
      </c>
      <c r="N87" s="12">
        <f t="shared" si="33"/>
        <v>47.016666666604578</v>
      </c>
      <c r="O87" s="12"/>
      <c r="P87" s="12"/>
      <c r="Q87" s="44"/>
      <c r="R87" s="44"/>
      <c r="S87" s="70">
        <f t="shared" si="25"/>
        <v>1</v>
      </c>
      <c r="T87" s="2" t="str">
        <f t="shared" si="28"/>
        <v>Southbound</v>
      </c>
      <c r="U87" s="2">
        <f>COUNTIFS(Variables!$M$2:$M$19, "&lt;=" &amp; Y87, Variables!$M$2:$M$19, "&gt;=" &amp; Z87)</f>
        <v>12</v>
      </c>
      <c r="V8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13:45:41-0600',mode:absolute,to:'2016-06-23 14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48" t="str">
        <f t="shared" si="30"/>
        <v>N</v>
      </c>
      <c r="X87" s="48">
        <f t="shared" si="31"/>
        <v>1</v>
      </c>
      <c r="Y87" s="48">
        <f t="shared" si="34"/>
        <v>23.300599999999999</v>
      </c>
      <c r="Z87" s="48">
        <f t="shared" si="35"/>
        <v>1.4999999999999999E-2</v>
      </c>
      <c r="AA87" s="48">
        <f t="shared" si="32"/>
        <v>23.285599999999999</v>
      </c>
      <c r="AB87" s="49" t="e">
        <f>VLOOKUP(A87,Enforcements!$C$7:$J$73,8,0)</f>
        <v>#N/A</v>
      </c>
      <c r="AC87" s="49" t="e">
        <f>VLOOKUP(A87,Enforcements!$C$7:$E$73,3,0)</f>
        <v>#N/A</v>
      </c>
    </row>
    <row r="88" spans="1:29" s="2" customFormat="1" x14ac:dyDescent="0.25">
      <c r="A88" s="43" t="s">
        <v>257</v>
      </c>
      <c r="B88" s="43">
        <v>4014</v>
      </c>
      <c r="C88" s="43" t="s">
        <v>60</v>
      </c>
      <c r="D88" s="43" t="s">
        <v>72</v>
      </c>
      <c r="E88" s="25">
        <v>42544.550995370373</v>
      </c>
      <c r="F88" s="25">
        <v>42544.552245370367</v>
      </c>
      <c r="G88" s="31">
        <v>1</v>
      </c>
      <c r="H88" s="25" t="s">
        <v>438</v>
      </c>
      <c r="I88" s="25">
        <v>42544.581111111111</v>
      </c>
      <c r="J88" s="43">
        <v>1</v>
      </c>
      <c r="K88" s="43" t="str">
        <f t="shared" si="26"/>
        <v>4013/4014</v>
      </c>
      <c r="L88" s="43" t="str">
        <f>VLOOKUP(A88,'Trips&amp;Operators'!$C$1:$E$10000,3,FALSE)</f>
        <v>DAVIS</v>
      </c>
      <c r="M88" s="11">
        <f t="shared" si="27"/>
        <v>2.8865740743640345E-2</v>
      </c>
      <c r="N88" s="12">
        <f t="shared" si="33"/>
        <v>41.566666670842096</v>
      </c>
      <c r="O88" s="12"/>
      <c r="P88" s="12"/>
      <c r="Q88" s="44"/>
      <c r="R88" s="44"/>
      <c r="S88" s="70">
        <f t="shared" si="25"/>
        <v>1</v>
      </c>
      <c r="T88" s="2" t="str">
        <f t="shared" si="28"/>
        <v>NorthBound</v>
      </c>
      <c r="U88" s="2">
        <f>COUNTIFS(Variables!$M$2:$M$19, "&gt;=" &amp; Y88, Variables!$M$2:$M$19, "&lt;=" &amp; Z88)</f>
        <v>12</v>
      </c>
      <c r="V8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13:12:26-0600',mode:absolute,to:'2016-06-23 13:57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8" s="48" t="str">
        <f t="shared" si="30"/>
        <v>N</v>
      </c>
      <c r="X88" s="48">
        <f t="shared" si="31"/>
        <v>1</v>
      </c>
      <c r="Y88" s="48">
        <f t="shared" si="34"/>
        <v>4.6199999999999998E-2</v>
      </c>
      <c r="Z88" s="48">
        <f t="shared" si="35"/>
        <v>23.3355</v>
      </c>
      <c r="AA88" s="48">
        <f t="shared" si="32"/>
        <v>23.289300000000001</v>
      </c>
      <c r="AB88" s="49">
        <f>VLOOKUP(A88,Enforcements!$C$7:$J$73,8,0)</f>
        <v>20338</v>
      </c>
      <c r="AC88" s="49" t="str">
        <f>VLOOKUP(A88,Enforcements!$C$7:$E$73,3,0)</f>
        <v>PERMANENT SPEED RESTRICTION</v>
      </c>
    </row>
    <row r="89" spans="1:29" s="2" customFormat="1" x14ac:dyDescent="0.25">
      <c r="A89" s="43" t="s">
        <v>263</v>
      </c>
      <c r="B89" s="43">
        <v>4013</v>
      </c>
      <c r="C89" s="43" t="s">
        <v>60</v>
      </c>
      <c r="D89" s="43" t="s">
        <v>489</v>
      </c>
      <c r="E89" s="25">
        <v>42544.589560185188</v>
      </c>
      <c r="F89" s="25">
        <v>42544.59107638889</v>
      </c>
      <c r="G89" s="31">
        <v>2</v>
      </c>
      <c r="H89" s="25" t="s">
        <v>116</v>
      </c>
      <c r="I89" s="25">
        <v>42544.621365740742</v>
      </c>
      <c r="J89" s="43">
        <v>2</v>
      </c>
      <c r="K89" s="43" t="str">
        <f t="shared" si="26"/>
        <v>4013/4014</v>
      </c>
      <c r="L89" s="43" t="str">
        <f>VLOOKUP(A89,'Trips&amp;Operators'!$C$1:$E$10000,3,FALSE)</f>
        <v>DAVIS</v>
      </c>
      <c r="M89" s="11">
        <f t="shared" si="27"/>
        <v>3.0289351852843538E-2</v>
      </c>
      <c r="N89" s="12">
        <f t="shared" si="33"/>
        <v>43.616666668094695</v>
      </c>
      <c r="O89" s="12"/>
      <c r="P89" s="12"/>
      <c r="Q89" s="44"/>
      <c r="R89" s="44"/>
      <c r="S89" s="70">
        <f t="shared" si="25"/>
        <v>1</v>
      </c>
      <c r="T89" s="2" t="str">
        <f t="shared" si="28"/>
        <v>Southbound</v>
      </c>
      <c r="U89" s="2">
        <f>COUNTIFS(Variables!$M$2:$M$19, "&lt;=" &amp; Y89, Variables!$M$2:$M$19, "&gt;=" &amp; Z89)</f>
        <v>12</v>
      </c>
      <c r="V8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14:07:58-0600',mode:absolute,to:'2016-06-23 14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9" s="48" t="str">
        <f t="shared" si="30"/>
        <v>N</v>
      </c>
      <c r="X89" s="48">
        <f t="shared" si="31"/>
        <v>1</v>
      </c>
      <c r="Y89" s="48">
        <f t="shared" si="34"/>
        <v>23.304400000000001</v>
      </c>
      <c r="Z89" s="48">
        <f t="shared" si="35"/>
        <v>1.7000000000000001E-2</v>
      </c>
      <c r="AA89" s="48">
        <f t="shared" si="32"/>
        <v>23.287400000000002</v>
      </c>
      <c r="AB89" s="49">
        <f>VLOOKUP(A89,Enforcements!$C$7:$J$73,8,0)</f>
        <v>183829</v>
      </c>
      <c r="AC89" s="49" t="str">
        <f>VLOOKUP(A89,Enforcements!$C$7:$E$73,3,0)</f>
        <v>PERMANENT SPEED RESTRICTION</v>
      </c>
    </row>
    <row r="90" spans="1:29" s="2" customFormat="1" x14ac:dyDescent="0.25">
      <c r="A90" s="43" t="s">
        <v>339</v>
      </c>
      <c r="B90" s="43">
        <v>4020</v>
      </c>
      <c r="C90" s="43" t="s">
        <v>60</v>
      </c>
      <c r="D90" s="43" t="s">
        <v>490</v>
      </c>
      <c r="E90" s="25">
        <v>42544.557997685188</v>
      </c>
      <c r="F90" s="25">
        <v>42544.558854166666</v>
      </c>
      <c r="G90" s="31">
        <v>1</v>
      </c>
      <c r="H90" s="25" t="s">
        <v>491</v>
      </c>
      <c r="I90" s="25">
        <v>42544.571886574071</v>
      </c>
      <c r="J90" s="43">
        <v>0</v>
      </c>
      <c r="K90" s="43" t="str">
        <f t="shared" si="26"/>
        <v>4019/4020</v>
      </c>
      <c r="L90" s="43" t="str">
        <f>VLOOKUP(A90,'Trips&amp;Operators'!$C$1:$E$10000,3,FALSE)</f>
        <v>COOLAHAN</v>
      </c>
      <c r="M90" s="11">
        <f t="shared" si="27"/>
        <v>1.3032407405262347E-2</v>
      </c>
      <c r="N90" s="12"/>
      <c r="O90" s="12"/>
      <c r="P90" s="12">
        <f>24*60*SUM($M90:$M90)</f>
        <v>18.76666666357778</v>
      </c>
      <c r="Q90" s="44"/>
      <c r="R90" s="44" t="s">
        <v>522</v>
      </c>
      <c r="S90" s="70">
        <f t="shared" si="25"/>
        <v>0.66666666666666663</v>
      </c>
      <c r="T90" s="2" t="str">
        <f t="shared" si="28"/>
        <v>NorthBound</v>
      </c>
      <c r="U90" s="2">
        <f>COUNTIFS(Variables!$M$2:$M$19, "&gt;=" &amp; Y90, Variables!$M$2:$M$19, "&lt;=" &amp; Z90)</f>
        <v>8</v>
      </c>
      <c r="V9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13:22:31-0600',mode:absolute,to:'2016-06-23 13:44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48" t="str">
        <f t="shared" si="30"/>
        <v>Y</v>
      </c>
      <c r="X90" s="48">
        <f t="shared" si="31"/>
        <v>1</v>
      </c>
      <c r="Y90" s="48">
        <f t="shared" si="34"/>
        <v>0.14960000000000001</v>
      </c>
      <c r="Z90" s="48">
        <f t="shared" si="35"/>
        <v>5.9207000000000001</v>
      </c>
      <c r="AA90" s="48">
        <f t="shared" si="32"/>
        <v>5.7710999999999997</v>
      </c>
      <c r="AB90" s="49" t="e">
        <f>VLOOKUP(A90,Enforcements!$C$7:$J$73,8,0)</f>
        <v>#N/A</v>
      </c>
      <c r="AC90" s="49" t="e">
        <f>VLOOKUP(A90,Enforcements!$C$7:$E$73,3,0)</f>
        <v>#N/A</v>
      </c>
    </row>
    <row r="91" spans="1:29" s="2" customFormat="1" x14ac:dyDescent="0.25">
      <c r="A91" s="43" t="s">
        <v>266</v>
      </c>
      <c r="B91" s="43">
        <v>4019</v>
      </c>
      <c r="C91" s="43" t="s">
        <v>60</v>
      </c>
      <c r="D91" s="43" t="s">
        <v>476</v>
      </c>
      <c r="E91" s="25">
        <v>42544.597939814812</v>
      </c>
      <c r="F91" s="25">
        <v>42544.59920138889</v>
      </c>
      <c r="G91" s="31">
        <v>1</v>
      </c>
      <c r="H91" s="25" t="s">
        <v>492</v>
      </c>
      <c r="I91" s="25">
        <v>42544.628495370373</v>
      </c>
      <c r="J91" s="43">
        <v>1</v>
      </c>
      <c r="K91" s="43" t="str">
        <f t="shared" si="26"/>
        <v>4019/4020</v>
      </c>
      <c r="L91" s="43" t="str">
        <f>VLOOKUP(A91,'Trips&amp;Operators'!$C$1:$E$10000,3,FALSE)</f>
        <v>COOLAHAN</v>
      </c>
      <c r="M91" s="11">
        <f t="shared" si="27"/>
        <v>2.9293981482624076E-2</v>
      </c>
      <c r="N91" s="12">
        <f t="shared" ref="N91:N121" si="36">24*60*SUM($M91:$M91)</f>
        <v>42.18333333497867</v>
      </c>
      <c r="O91" s="12"/>
      <c r="P91" s="12"/>
      <c r="Q91" s="44"/>
      <c r="R91" s="44"/>
      <c r="S91" s="70">
        <f t="shared" si="25"/>
        <v>1</v>
      </c>
      <c r="T91" s="2" t="str">
        <f t="shared" si="28"/>
        <v>Southbound</v>
      </c>
      <c r="U91" s="2">
        <f>COUNTIFS(Variables!$M$2:$M$19, "&lt;=" &amp; Y91, Variables!$M$2:$M$19, "&gt;=" &amp; Z91)</f>
        <v>12</v>
      </c>
      <c r="V9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14:20:02-0600',mode:absolute,to:'2016-06-23 15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48" t="str">
        <f t="shared" si="30"/>
        <v>N</v>
      </c>
      <c r="X91" s="48">
        <f t="shared" si="31"/>
        <v>1</v>
      </c>
      <c r="Y91" s="48">
        <f t="shared" si="34"/>
        <v>23.3081</v>
      </c>
      <c r="Z91" s="48">
        <f t="shared" si="35"/>
        <v>2.2100000000000002E-2</v>
      </c>
      <c r="AA91" s="48">
        <f t="shared" si="32"/>
        <v>23.286000000000001</v>
      </c>
      <c r="AB91" s="49">
        <f>VLOOKUP(A91,Enforcements!$C$7:$J$73,8,0)</f>
        <v>1</v>
      </c>
      <c r="AC91" s="49" t="str">
        <f>VLOOKUP(A91,Enforcements!$C$7:$E$73,3,0)</f>
        <v>TRACK WARRANT AUTHORITY</v>
      </c>
    </row>
    <row r="92" spans="1:29" s="2" customFormat="1" x14ac:dyDescent="0.25">
      <c r="A92" s="43" t="s">
        <v>417</v>
      </c>
      <c r="B92" s="43">
        <v>4007</v>
      </c>
      <c r="C92" s="43" t="s">
        <v>60</v>
      </c>
      <c r="D92" s="43" t="s">
        <v>69</v>
      </c>
      <c r="E92" s="25">
        <v>42544.570520833331</v>
      </c>
      <c r="F92" s="25">
        <v>42544.571504629632</v>
      </c>
      <c r="G92" s="31">
        <v>1</v>
      </c>
      <c r="H92" s="25" t="s">
        <v>472</v>
      </c>
      <c r="I92" s="25">
        <v>42544.598553240743</v>
      </c>
      <c r="J92" s="43">
        <v>0</v>
      </c>
      <c r="K92" s="43" t="str">
        <f t="shared" si="26"/>
        <v>4007/4008</v>
      </c>
      <c r="L92" s="43" t="str">
        <f>VLOOKUP(A92,'Trips&amp;Operators'!$C$1:$E$10000,3,FALSE)</f>
        <v>ROCHA</v>
      </c>
      <c r="M92" s="11">
        <f t="shared" si="27"/>
        <v>2.7048611111240461E-2</v>
      </c>
      <c r="N92" s="12">
        <f t="shared" si="36"/>
        <v>38.950000000186265</v>
      </c>
      <c r="O92" s="12"/>
      <c r="P92" s="12"/>
      <c r="Q92" s="44"/>
      <c r="R92" s="44"/>
      <c r="S92" s="70">
        <f t="shared" si="25"/>
        <v>1</v>
      </c>
      <c r="T92" s="2" t="str">
        <f t="shared" si="28"/>
        <v>NorthBound</v>
      </c>
      <c r="U92" s="2">
        <f>COUNTIFS(Variables!$M$2:$M$19, "&gt;=" &amp; Y92, Variables!$M$2:$M$19, "&lt;=" &amp; Z92)</f>
        <v>12</v>
      </c>
      <c r="V9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13:40:33-0600',mode:absolute,to:'2016-06-23 14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2" s="48" t="str">
        <f t="shared" si="30"/>
        <v>N</v>
      </c>
      <c r="X92" s="48">
        <f t="shared" si="31"/>
        <v>1</v>
      </c>
      <c r="Y92" s="48">
        <f t="shared" si="34"/>
        <v>4.5999999999999999E-2</v>
      </c>
      <c r="Z92" s="48">
        <f t="shared" si="35"/>
        <v>23.328600000000002</v>
      </c>
      <c r="AA92" s="48">
        <f t="shared" si="32"/>
        <v>23.282600000000002</v>
      </c>
      <c r="AB92" s="49" t="e">
        <f>VLOOKUP(A92,Enforcements!$C$7:$J$73,8,0)</f>
        <v>#N/A</v>
      </c>
      <c r="AC92" s="49" t="e">
        <f>VLOOKUP(A92,Enforcements!$C$7:$E$73,3,0)</f>
        <v>#N/A</v>
      </c>
    </row>
    <row r="93" spans="1:29" s="2" customFormat="1" x14ac:dyDescent="0.25">
      <c r="A93" s="43" t="s">
        <v>268</v>
      </c>
      <c r="B93" s="43">
        <v>4008</v>
      </c>
      <c r="C93" s="43" t="s">
        <v>60</v>
      </c>
      <c r="D93" s="43" t="s">
        <v>493</v>
      </c>
      <c r="E93" s="25">
        <v>42544.611180555556</v>
      </c>
      <c r="F93" s="25">
        <v>42544.612650462965</v>
      </c>
      <c r="G93" s="31">
        <v>2</v>
      </c>
      <c r="H93" s="25" t="s">
        <v>198</v>
      </c>
      <c r="I93" s="25">
        <v>42544.638784722221</v>
      </c>
      <c r="J93" s="43">
        <v>1</v>
      </c>
      <c r="K93" s="43" t="str">
        <f t="shared" si="26"/>
        <v>4007/4008</v>
      </c>
      <c r="L93" s="43" t="str">
        <f>VLOOKUP(A93,'Trips&amp;Operators'!$C$1:$E$10000,3,FALSE)</f>
        <v>ROCHA</v>
      </c>
      <c r="M93" s="11">
        <f t="shared" si="27"/>
        <v>2.6134259256650694E-2</v>
      </c>
      <c r="N93" s="12">
        <f t="shared" si="36"/>
        <v>37.633333329576999</v>
      </c>
      <c r="O93" s="12"/>
      <c r="P93" s="12"/>
      <c r="Q93" s="44"/>
      <c r="R93" s="44"/>
      <c r="S93" s="70">
        <f t="shared" si="25"/>
        <v>1</v>
      </c>
      <c r="T93" s="2" t="str">
        <f t="shared" si="28"/>
        <v>Southbound</v>
      </c>
      <c r="U93" s="2">
        <f>COUNTIFS(Variables!$M$2:$M$19, "&lt;=" &amp; Y93, Variables!$M$2:$M$19, "&gt;=" &amp; Z93)</f>
        <v>12</v>
      </c>
      <c r="V9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14:39:06-0600',mode:absolute,to:'2016-06-23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3" s="48" t="str">
        <f t="shared" si="30"/>
        <v>N</v>
      </c>
      <c r="X93" s="48">
        <f t="shared" si="31"/>
        <v>1</v>
      </c>
      <c r="Y93" s="48">
        <f t="shared" si="34"/>
        <v>23.2971</v>
      </c>
      <c r="Z93" s="48">
        <f t="shared" si="35"/>
        <v>1.43E-2</v>
      </c>
      <c r="AA93" s="48">
        <f t="shared" si="32"/>
        <v>23.282800000000002</v>
      </c>
      <c r="AB93" s="49">
        <f>VLOOKUP(A93,Enforcements!$C$7:$J$73,8,0)</f>
        <v>1</v>
      </c>
      <c r="AC93" s="49" t="str">
        <f>VLOOKUP(A93,Enforcements!$C$7:$E$73,3,0)</f>
        <v>TRACK WARRANT AUTHORITY</v>
      </c>
    </row>
    <row r="94" spans="1:29" s="2" customFormat="1" x14ac:dyDescent="0.25">
      <c r="A94" s="43" t="s">
        <v>265</v>
      </c>
      <c r="B94" s="43">
        <v>4038</v>
      </c>
      <c r="C94" s="43" t="s">
        <v>60</v>
      </c>
      <c r="D94" s="43" t="s">
        <v>193</v>
      </c>
      <c r="E94" s="25">
        <v>42544.584270833337</v>
      </c>
      <c r="F94" s="25">
        <v>42544.58520833333</v>
      </c>
      <c r="G94" s="31">
        <v>1</v>
      </c>
      <c r="H94" s="25" t="s">
        <v>449</v>
      </c>
      <c r="I94" s="25">
        <v>42544.617037037038</v>
      </c>
      <c r="J94" s="43">
        <v>1</v>
      </c>
      <c r="K94" s="43" t="str">
        <f t="shared" si="26"/>
        <v>4037/4038</v>
      </c>
      <c r="L94" s="43" t="str">
        <f>VLOOKUP(A94,'Trips&amp;Operators'!$C$1:$E$10000,3,FALSE)</f>
        <v>YOUNG</v>
      </c>
      <c r="M94" s="11">
        <f t="shared" si="27"/>
        <v>3.1828703708015382E-2</v>
      </c>
      <c r="N94" s="12">
        <f t="shared" si="36"/>
        <v>45.83333333954215</v>
      </c>
      <c r="O94" s="12"/>
      <c r="P94" s="12"/>
      <c r="Q94" s="44"/>
      <c r="R94" s="44"/>
      <c r="S94" s="70">
        <f t="shared" si="25"/>
        <v>1</v>
      </c>
      <c r="T94" s="2" t="str">
        <f t="shared" si="28"/>
        <v>NorthBound</v>
      </c>
      <c r="U94" s="2">
        <f>COUNTIFS(Variables!$M$2:$M$19, "&gt;=" &amp; Y94, Variables!$M$2:$M$19, "&lt;=" &amp; Z94)</f>
        <v>12</v>
      </c>
      <c r="V9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14:00:21-0600',mode:absolute,to:'2016-06-23 14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4" s="48" t="str">
        <f t="shared" si="30"/>
        <v>N</v>
      </c>
      <c r="X94" s="48">
        <f t="shared" si="31"/>
        <v>1</v>
      </c>
      <c r="Y94" s="48">
        <f t="shared" si="34"/>
        <v>4.6600000000000003E-2</v>
      </c>
      <c r="Z94" s="48">
        <f t="shared" si="35"/>
        <v>23.33</v>
      </c>
      <c r="AA94" s="48">
        <f t="shared" si="32"/>
        <v>23.283399999999997</v>
      </c>
      <c r="AB94" s="49">
        <f>VLOOKUP(A94,Enforcements!$C$7:$J$73,8,0)</f>
        <v>233491</v>
      </c>
      <c r="AC94" s="49" t="str">
        <f>VLOOKUP(A94,Enforcements!$C$7:$E$73,3,0)</f>
        <v>TRACK WARRANT AUTHORITY</v>
      </c>
    </row>
    <row r="95" spans="1:29" s="2" customFormat="1" x14ac:dyDescent="0.25">
      <c r="A95" s="43" t="s">
        <v>360</v>
      </c>
      <c r="B95" s="43">
        <v>4037</v>
      </c>
      <c r="C95" s="43" t="s">
        <v>60</v>
      </c>
      <c r="D95" s="43" t="s">
        <v>494</v>
      </c>
      <c r="E95" s="25">
        <v>42544.61917824074</v>
      </c>
      <c r="F95" s="25">
        <v>42544.620011574072</v>
      </c>
      <c r="G95" s="31">
        <v>1</v>
      </c>
      <c r="H95" s="25" t="s">
        <v>67</v>
      </c>
      <c r="I95" s="25">
        <v>42544.650972222225</v>
      </c>
      <c r="J95" s="43">
        <v>0</v>
      </c>
      <c r="K95" s="43" t="str">
        <f t="shared" si="26"/>
        <v>4037/4038</v>
      </c>
      <c r="L95" s="43" t="str">
        <f>VLOOKUP(A95,'Trips&amp;Operators'!$C$1:$E$10000,3,FALSE)</f>
        <v>YOUNG</v>
      </c>
      <c r="M95" s="11">
        <f t="shared" si="27"/>
        <v>3.0960648153268266E-2</v>
      </c>
      <c r="N95" s="12">
        <f t="shared" si="36"/>
        <v>44.583333340706304</v>
      </c>
      <c r="O95" s="12"/>
      <c r="P95" s="12"/>
      <c r="Q95" s="44"/>
      <c r="R95" s="44"/>
      <c r="S95" s="70">
        <f t="shared" si="25"/>
        <v>1</v>
      </c>
      <c r="T95" s="2" t="str">
        <f t="shared" si="28"/>
        <v>Southbound</v>
      </c>
      <c r="U95" s="2">
        <f>COUNTIFS(Variables!$M$2:$M$19, "&lt;=" &amp; Y95, Variables!$M$2:$M$19, "&gt;=" &amp; Z95)</f>
        <v>12</v>
      </c>
      <c r="V9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14:50:37-0600',mode:absolute,to:'2016-06-23 15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5" s="48" t="str">
        <f t="shared" si="30"/>
        <v>N</v>
      </c>
      <c r="X95" s="48">
        <f t="shared" si="31"/>
        <v>1</v>
      </c>
      <c r="Y95" s="48">
        <f t="shared" si="34"/>
        <v>23.297599999999999</v>
      </c>
      <c r="Z95" s="48">
        <f t="shared" si="35"/>
        <v>1.47E-2</v>
      </c>
      <c r="AA95" s="48">
        <f t="shared" si="32"/>
        <v>23.282899999999998</v>
      </c>
      <c r="AB95" s="49" t="e">
        <f>VLOOKUP(A95,Enforcements!$C$7:$J$73,8,0)</f>
        <v>#N/A</v>
      </c>
      <c r="AC95" s="49" t="e">
        <f>VLOOKUP(A95,Enforcements!$C$7:$E$73,3,0)</f>
        <v>#N/A</v>
      </c>
    </row>
    <row r="96" spans="1:29" s="2" customFormat="1" x14ac:dyDescent="0.25">
      <c r="A96" s="43" t="s">
        <v>358</v>
      </c>
      <c r="B96" s="43">
        <v>4042</v>
      </c>
      <c r="C96" s="43" t="s">
        <v>60</v>
      </c>
      <c r="D96" s="43" t="s">
        <v>170</v>
      </c>
      <c r="E96" s="25">
        <v>42544.592083333337</v>
      </c>
      <c r="F96" s="25">
        <v>42544.593391203707</v>
      </c>
      <c r="G96" s="31">
        <v>1</v>
      </c>
      <c r="H96" s="25" t="s">
        <v>460</v>
      </c>
      <c r="I96" s="25">
        <v>42544.621192129627</v>
      </c>
      <c r="J96" s="43">
        <v>0</v>
      </c>
      <c r="K96" s="43" t="str">
        <f t="shared" si="26"/>
        <v>4041/4042</v>
      </c>
      <c r="L96" s="43" t="str">
        <f>VLOOKUP(A96,'Trips&amp;Operators'!$C$1:$E$10000,3,FALSE)</f>
        <v>STEWART</v>
      </c>
      <c r="M96" s="11">
        <f t="shared" si="27"/>
        <v>2.7800925920018926E-2</v>
      </c>
      <c r="N96" s="12">
        <f t="shared" si="36"/>
        <v>40.033333324827254</v>
      </c>
      <c r="O96" s="12"/>
      <c r="P96" s="12"/>
      <c r="Q96" s="44"/>
      <c r="R96" s="44"/>
      <c r="S96" s="70">
        <f t="shared" si="25"/>
        <v>1</v>
      </c>
      <c r="T96" s="2" t="str">
        <f t="shared" si="28"/>
        <v>NorthBound</v>
      </c>
      <c r="U96" s="2">
        <f>COUNTIFS(Variables!$M$2:$M$19, "&gt;=" &amp; Y96, Variables!$M$2:$M$19, "&lt;=" &amp; Z96)</f>
        <v>12</v>
      </c>
      <c r="V9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14:11:36-0600',mode:absolute,to:'2016-06-23 14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6" s="48" t="str">
        <f t="shared" si="30"/>
        <v>N</v>
      </c>
      <c r="X96" s="48">
        <f t="shared" si="31"/>
        <v>1</v>
      </c>
      <c r="Y96" s="48">
        <f t="shared" si="34"/>
        <v>4.82E-2</v>
      </c>
      <c r="Z96" s="48">
        <f t="shared" si="35"/>
        <v>23.3293</v>
      </c>
      <c r="AA96" s="48">
        <f t="shared" si="32"/>
        <v>23.281099999999999</v>
      </c>
      <c r="AB96" s="49" t="e">
        <f>VLOOKUP(A96,Enforcements!$C$7:$J$73,8,0)</f>
        <v>#N/A</v>
      </c>
      <c r="AC96" s="49" t="e">
        <f>VLOOKUP(A96,Enforcements!$C$7:$E$73,3,0)</f>
        <v>#N/A</v>
      </c>
    </row>
    <row r="97" spans="1:29" s="2" customFormat="1" x14ac:dyDescent="0.25">
      <c r="A97" s="43" t="s">
        <v>271</v>
      </c>
      <c r="B97" s="43">
        <v>4041</v>
      </c>
      <c r="C97" s="43" t="s">
        <v>60</v>
      </c>
      <c r="D97" s="43" t="s">
        <v>92</v>
      </c>
      <c r="E97" s="25">
        <v>42544.630729166667</v>
      </c>
      <c r="F97" s="25">
        <v>42544.631608796299</v>
      </c>
      <c r="G97" s="31">
        <v>1</v>
      </c>
      <c r="H97" s="25" t="s">
        <v>198</v>
      </c>
      <c r="I97" s="25">
        <v>42544.662442129629</v>
      </c>
      <c r="J97" s="43">
        <v>1</v>
      </c>
      <c r="K97" s="43" t="str">
        <f t="shared" si="26"/>
        <v>4041/4042</v>
      </c>
      <c r="L97" s="43" t="str">
        <f>VLOOKUP(A97,'Trips&amp;Operators'!$C$1:$E$10000,3,FALSE)</f>
        <v>STEWART</v>
      </c>
      <c r="M97" s="11">
        <f t="shared" si="27"/>
        <v>3.0833333330519963E-2</v>
      </c>
      <c r="N97" s="12">
        <f t="shared" si="36"/>
        <v>44.399999995948747</v>
      </c>
      <c r="O97" s="12"/>
      <c r="P97" s="12"/>
      <c r="Q97" s="44"/>
      <c r="R97" s="44"/>
      <c r="S97" s="70">
        <f t="shared" si="25"/>
        <v>1</v>
      </c>
      <c r="T97" s="2" t="str">
        <f t="shared" si="28"/>
        <v>Southbound</v>
      </c>
      <c r="U97" s="2">
        <f>COUNTIFS(Variables!$M$2:$M$19, "&lt;=" &amp; Y97, Variables!$M$2:$M$19, "&gt;=" &amp; Z97)</f>
        <v>12</v>
      </c>
      <c r="V9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15:07:15-0600',mode:absolute,to:'2016-06-23 15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7" s="48" t="str">
        <f t="shared" si="30"/>
        <v>N</v>
      </c>
      <c r="X97" s="48">
        <f t="shared" si="31"/>
        <v>1</v>
      </c>
      <c r="Y97" s="48">
        <f t="shared" si="34"/>
        <v>23.297499999999999</v>
      </c>
      <c r="Z97" s="48">
        <f t="shared" si="35"/>
        <v>1.43E-2</v>
      </c>
      <c r="AA97" s="48">
        <f t="shared" si="32"/>
        <v>23.283200000000001</v>
      </c>
      <c r="AB97" s="49">
        <f>VLOOKUP(A97,Enforcements!$C$7:$J$73,8,0)</f>
        <v>1</v>
      </c>
      <c r="AC97" s="49" t="str">
        <f>VLOOKUP(A97,Enforcements!$C$7:$E$73,3,0)</f>
        <v>TRACK WARRANT AUTHORITY</v>
      </c>
    </row>
    <row r="98" spans="1:29" s="2" customFormat="1" x14ac:dyDescent="0.25">
      <c r="A98" s="66" t="s">
        <v>267</v>
      </c>
      <c r="B98" s="43">
        <v>4009</v>
      </c>
      <c r="C98" s="43" t="s">
        <v>60</v>
      </c>
      <c r="D98" s="43" t="s">
        <v>495</v>
      </c>
      <c r="E98" s="25">
        <v>42544.608738425923</v>
      </c>
      <c r="F98" s="25">
        <v>42544.609814814816</v>
      </c>
      <c r="G98" s="31">
        <v>1</v>
      </c>
      <c r="H98" s="25" t="s">
        <v>108</v>
      </c>
      <c r="I98" s="25">
        <v>42544.63858796296</v>
      </c>
      <c r="J98" s="43">
        <v>1</v>
      </c>
      <c r="K98" s="43" t="str">
        <f t="shared" si="26"/>
        <v>4009/4010</v>
      </c>
      <c r="L98" s="43" t="str">
        <f>VLOOKUP(A98,'Trips&amp;Operators'!$C$1:$E$10000,3,FALSE)</f>
        <v>BARTELL</v>
      </c>
      <c r="M98" s="11">
        <f t="shared" si="27"/>
        <v>2.8773148143955041E-2</v>
      </c>
      <c r="N98" s="12">
        <f t="shared" si="36"/>
        <v>41.433333327295259</v>
      </c>
      <c r="O98" s="12"/>
      <c r="P98" s="12"/>
      <c r="Q98" s="44"/>
      <c r="R98" s="44"/>
      <c r="S98" s="70">
        <f t="shared" si="25"/>
        <v>1</v>
      </c>
      <c r="T98" s="2" t="str">
        <f t="shared" si="28"/>
        <v>NorthBound</v>
      </c>
      <c r="U98" s="2">
        <f>COUNTIFS(Variables!$M$2:$M$19, "&gt;=" &amp; Y98, Variables!$M$2:$M$19, "&lt;=" &amp; Z98)</f>
        <v>12</v>
      </c>
      <c r="V9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14:35:35-0600',mode:absolute,to:'2016-06-23 15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8" s="48" t="str">
        <f t="shared" si="30"/>
        <v>N</v>
      </c>
      <c r="X98" s="48">
        <f t="shared" si="31"/>
        <v>1</v>
      </c>
      <c r="Y98" s="48">
        <v>4.4600000000000001E-2</v>
      </c>
      <c r="Z98" s="48">
        <v>23.301500000000001</v>
      </c>
      <c r="AA98" s="48">
        <f t="shared" si="32"/>
        <v>23.256900000000002</v>
      </c>
      <c r="AB98" s="49">
        <f>VLOOKUP(A98,Enforcements!$C$7:$J$73,8,0)</f>
        <v>233491</v>
      </c>
      <c r="AC98" s="49" t="str">
        <f>VLOOKUP(A98,Enforcements!$C$7:$E$73,3,0)</f>
        <v>TRACK WARRANT AUTHORITY</v>
      </c>
    </row>
    <row r="99" spans="1:29" s="2" customFormat="1" x14ac:dyDescent="0.25">
      <c r="A99" s="43" t="s">
        <v>275</v>
      </c>
      <c r="B99" s="43">
        <v>4010</v>
      </c>
      <c r="C99" s="43" t="s">
        <v>60</v>
      </c>
      <c r="D99" s="43" t="s">
        <v>82</v>
      </c>
      <c r="E99" s="25">
        <v>42544.642187500001</v>
      </c>
      <c r="F99" s="25">
        <v>42544.643553240741</v>
      </c>
      <c r="G99" s="31">
        <v>1</v>
      </c>
      <c r="H99" s="25" t="s">
        <v>110</v>
      </c>
      <c r="I99" s="25">
        <v>42544.67391203704</v>
      </c>
      <c r="J99" s="43">
        <v>1</v>
      </c>
      <c r="K99" s="43" t="str">
        <f t="shared" si="26"/>
        <v>4009/4010</v>
      </c>
      <c r="L99" s="43" t="str">
        <f>VLOOKUP(A99,'Trips&amp;Operators'!$C$1:$E$10000,3,FALSE)</f>
        <v>BARTELL</v>
      </c>
      <c r="M99" s="11">
        <f t="shared" si="27"/>
        <v>3.0358796298969537E-2</v>
      </c>
      <c r="N99" s="12">
        <f t="shared" si="36"/>
        <v>43.716666670516133</v>
      </c>
      <c r="O99" s="12"/>
      <c r="P99" s="12"/>
      <c r="Q99" s="44"/>
      <c r="R99" s="44"/>
      <c r="S99" s="70">
        <f t="shared" si="25"/>
        <v>1</v>
      </c>
      <c r="T99" s="2" t="str">
        <f t="shared" si="28"/>
        <v>Southbound</v>
      </c>
      <c r="U99" s="2">
        <f>COUNTIFS(Variables!$M$2:$M$19, "&lt;=" &amp; Y99, Variables!$M$2:$M$19, "&gt;=" &amp; Z99)</f>
        <v>12</v>
      </c>
      <c r="V9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15:23:45-0600',mode:absolute,to:'2016-06-23 16:11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9" s="48" t="str">
        <f t="shared" si="30"/>
        <v>N</v>
      </c>
      <c r="X99" s="48">
        <f t="shared" si="31"/>
        <v>1</v>
      </c>
      <c r="Y99" s="48">
        <f t="shared" ref="Y99:Y140" si="37">RIGHT(D99,LEN(D99)-4)/10000</f>
        <v>23.297799999999999</v>
      </c>
      <c r="Z99" s="48">
        <f t="shared" ref="Z99:Z140" si="38">RIGHT(H99,LEN(H99)-4)/10000</f>
        <v>1.5800000000000002E-2</v>
      </c>
      <c r="AA99" s="48">
        <f t="shared" si="32"/>
        <v>23.282</v>
      </c>
      <c r="AB99" s="49">
        <f>VLOOKUP(A99,Enforcements!$C$7:$J$73,8,0)</f>
        <v>1</v>
      </c>
      <c r="AC99" s="49" t="str">
        <f>VLOOKUP(A99,Enforcements!$C$7:$E$73,3,0)</f>
        <v>TRACK WARRANT AUTHORITY</v>
      </c>
    </row>
    <row r="100" spans="1:29" s="2" customFormat="1" x14ac:dyDescent="0.25">
      <c r="A100" s="43" t="s">
        <v>371</v>
      </c>
      <c r="B100" s="43">
        <v>4018</v>
      </c>
      <c r="C100" s="43" t="s">
        <v>60</v>
      </c>
      <c r="D100" s="43" t="s">
        <v>166</v>
      </c>
      <c r="E100" s="25">
        <v>42544.612881944442</v>
      </c>
      <c r="F100" s="25">
        <v>42544.613703703704</v>
      </c>
      <c r="G100" s="31">
        <v>1</v>
      </c>
      <c r="H100" s="25" t="s">
        <v>496</v>
      </c>
      <c r="I100" s="25">
        <v>42544.642581018517</v>
      </c>
      <c r="J100" s="43">
        <v>0</v>
      </c>
      <c r="K100" s="43" t="str">
        <f t="shared" si="26"/>
        <v>4017/4018</v>
      </c>
      <c r="L100" s="43" t="str">
        <f>VLOOKUP(A100,'Trips&amp;Operators'!$C$1:$E$10000,3,FALSE)</f>
        <v>SPECTOR</v>
      </c>
      <c r="M100" s="11">
        <f t="shared" si="27"/>
        <v>2.8877314813144039E-2</v>
      </c>
      <c r="N100" s="12">
        <f t="shared" si="36"/>
        <v>41.583333330927417</v>
      </c>
      <c r="O100" s="12"/>
      <c r="P100" s="12"/>
      <c r="Q100" s="44"/>
      <c r="R100" s="44"/>
      <c r="S100" s="70">
        <f t="shared" si="25"/>
        <v>1</v>
      </c>
      <c r="T100" s="2" t="str">
        <f t="shared" si="28"/>
        <v>NorthBound</v>
      </c>
      <c r="U100" s="2">
        <f>COUNTIFS(Variables!$M$2:$M$19, "&gt;=" &amp; Y100, Variables!$M$2:$M$19, "&lt;=" &amp; Z100)</f>
        <v>12</v>
      </c>
      <c r="V10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14:41:33-0600',mode:absolute,to:'2016-06-23 15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48" t="str">
        <f t="shared" si="30"/>
        <v>N</v>
      </c>
      <c r="X100" s="48">
        <f t="shared" si="31"/>
        <v>1</v>
      </c>
      <c r="Y100" s="48">
        <f t="shared" si="37"/>
        <v>4.4200000000000003E-2</v>
      </c>
      <c r="Z100" s="48">
        <f t="shared" si="38"/>
        <v>23.332100000000001</v>
      </c>
      <c r="AA100" s="48">
        <f t="shared" si="32"/>
        <v>23.2879</v>
      </c>
      <c r="AB100" s="49" t="e">
        <f>VLOOKUP(A100,Enforcements!$C$7:$J$73,8,0)</f>
        <v>#N/A</v>
      </c>
      <c r="AC100" s="49" t="e">
        <f>VLOOKUP(A100,Enforcements!$C$7:$E$73,3,0)</f>
        <v>#N/A</v>
      </c>
    </row>
    <row r="101" spans="1:29" s="2" customFormat="1" x14ac:dyDescent="0.25">
      <c r="A101" s="43" t="s">
        <v>273</v>
      </c>
      <c r="B101" s="43">
        <v>4017</v>
      </c>
      <c r="C101" s="43" t="s">
        <v>60</v>
      </c>
      <c r="D101" s="43" t="s">
        <v>497</v>
      </c>
      <c r="E101" s="25">
        <v>42544.649675925924</v>
      </c>
      <c r="F101" s="25">
        <v>42544.650740740741</v>
      </c>
      <c r="G101" s="31">
        <v>1</v>
      </c>
      <c r="H101" s="25" t="s">
        <v>167</v>
      </c>
      <c r="I101" s="25">
        <v>42544.681122685186</v>
      </c>
      <c r="J101" s="43">
        <v>2</v>
      </c>
      <c r="K101" s="43" t="str">
        <f t="shared" si="26"/>
        <v>4017/4018</v>
      </c>
      <c r="L101" s="43" t="str">
        <f>VLOOKUP(A101,'Trips&amp;Operators'!$C$1:$E$10000,3,FALSE)</f>
        <v>SPECTOR</v>
      </c>
      <c r="M101" s="11">
        <f t="shared" si="27"/>
        <v>3.0381944445252884E-2</v>
      </c>
      <c r="N101" s="12">
        <f t="shared" si="36"/>
        <v>43.750000001164153</v>
      </c>
      <c r="O101" s="12"/>
      <c r="P101" s="12"/>
      <c r="Q101" s="44"/>
      <c r="R101" s="44"/>
      <c r="S101" s="70">
        <f t="shared" si="25"/>
        <v>1</v>
      </c>
      <c r="T101" s="2" t="str">
        <f t="shared" si="28"/>
        <v>Southbound</v>
      </c>
      <c r="U101" s="2">
        <f>COUNTIFS(Variables!$M$2:$M$19, "&lt;=" &amp; Y101, Variables!$M$2:$M$19, "&gt;=" &amp; Z101)</f>
        <v>12</v>
      </c>
      <c r="V10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15:34:32-0600',mode:absolute,to:'2016-06-23 16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48" t="str">
        <f t="shared" si="30"/>
        <v>N</v>
      </c>
      <c r="X101" s="48">
        <f t="shared" si="31"/>
        <v>1</v>
      </c>
      <c r="Y101" s="48">
        <f t="shared" si="37"/>
        <v>23.301100000000002</v>
      </c>
      <c r="Z101" s="48">
        <f t="shared" si="38"/>
        <v>1.34E-2</v>
      </c>
      <c r="AA101" s="48">
        <f t="shared" si="32"/>
        <v>23.287700000000001</v>
      </c>
      <c r="AB101" s="49">
        <f>VLOOKUP(A101,Enforcements!$C$7:$J$73,8,0)</f>
        <v>63309</v>
      </c>
      <c r="AC101" s="49" t="str">
        <f>VLOOKUP(A101,Enforcements!$C$7:$E$73,3,0)</f>
        <v>GRADE CROSSING</v>
      </c>
    </row>
    <row r="102" spans="1:29" s="2" customFormat="1" x14ac:dyDescent="0.25">
      <c r="A102" s="43" t="s">
        <v>269</v>
      </c>
      <c r="B102" s="43">
        <v>4014</v>
      </c>
      <c r="C102" s="43" t="s">
        <v>60</v>
      </c>
      <c r="D102" s="43" t="s">
        <v>185</v>
      </c>
      <c r="E102" s="25">
        <v>42544.623136574075</v>
      </c>
      <c r="F102" s="25">
        <v>42544.624224537038</v>
      </c>
      <c r="G102" s="31">
        <v>1</v>
      </c>
      <c r="H102" s="25" t="s">
        <v>498</v>
      </c>
      <c r="I102" s="25">
        <v>42544.650682870371</v>
      </c>
      <c r="J102" s="43">
        <v>1</v>
      </c>
      <c r="K102" s="43" t="str">
        <f t="shared" si="26"/>
        <v>4013/4014</v>
      </c>
      <c r="L102" s="43" t="str">
        <f>VLOOKUP(A102,'Trips&amp;Operators'!$C$1:$E$10000,3,FALSE)</f>
        <v>DAVIS</v>
      </c>
      <c r="M102" s="11">
        <f t="shared" si="27"/>
        <v>2.6458333333721384E-2</v>
      </c>
      <c r="N102" s="12">
        <f t="shared" si="36"/>
        <v>38.100000000558794</v>
      </c>
      <c r="O102" s="12"/>
      <c r="P102" s="12"/>
      <c r="Q102" s="44"/>
      <c r="R102" s="44"/>
      <c r="S102" s="70">
        <f t="shared" si="25"/>
        <v>1</v>
      </c>
      <c r="T102" s="2" t="str">
        <f t="shared" si="28"/>
        <v>NorthBound</v>
      </c>
      <c r="U102" s="2">
        <f>COUNTIFS(Variables!$M$2:$M$19, "&gt;=" &amp; Y102, Variables!$M$2:$M$19, "&lt;=" &amp; Z102)</f>
        <v>12</v>
      </c>
      <c r="V10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14:56:19-0600',mode:absolute,to:'2016-06-23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2" s="48" t="str">
        <f t="shared" si="30"/>
        <v>N</v>
      </c>
      <c r="X102" s="48">
        <f t="shared" si="31"/>
        <v>1</v>
      </c>
      <c r="Y102" s="48">
        <f t="shared" si="37"/>
        <v>4.3499999999999997E-2</v>
      </c>
      <c r="Z102" s="48">
        <f t="shared" si="38"/>
        <v>23.341999999999999</v>
      </c>
      <c r="AA102" s="48">
        <f t="shared" si="32"/>
        <v>23.298499999999997</v>
      </c>
      <c r="AB102" s="49">
        <f>VLOOKUP(A102,Enforcements!$C$7:$J$73,8,0)</f>
        <v>233491</v>
      </c>
      <c r="AC102" s="49" t="str">
        <f>VLOOKUP(A102,Enforcements!$C$7:$E$73,3,0)</f>
        <v>TRACK WARRANT AUTHORITY</v>
      </c>
    </row>
    <row r="103" spans="1:29" s="2" customFormat="1" x14ac:dyDescent="0.25">
      <c r="A103" s="43" t="s">
        <v>278</v>
      </c>
      <c r="B103" s="43">
        <v>4013</v>
      </c>
      <c r="C103" s="43" t="s">
        <v>60</v>
      </c>
      <c r="D103" s="43" t="s">
        <v>499</v>
      </c>
      <c r="E103" s="25">
        <v>42544.663738425923</v>
      </c>
      <c r="F103" s="25">
        <v>42544.664687500001</v>
      </c>
      <c r="G103" s="31">
        <v>1</v>
      </c>
      <c r="H103" s="25" t="s">
        <v>198</v>
      </c>
      <c r="I103" s="25">
        <v>42544.690347222226</v>
      </c>
      <c r="J103" s="43">
        <v>1</v>
      </c>
      <c r="K103" s="43" t="str">
        <f t="shared" si="26"/>
        <v>4013/4014</v>
      </c>
      <c r="L103" s="43" t="str">
        <f>VLOOKUP(A103,'Trips&amp;Operators'!$C$1:$E$10000,3,FALSE)</f>
        <v>DAVIS</v>
      </c>
      <c r="M103" s="11">
        <f t="shared" si="27"/>
        <v>2.5659722225100268E-2</v>
      </c>
      <c r="N103" s="12">
        <f t="shared" si="36"/>
        <v>36.950000004144385</v>
      </c>
      <c r="O103" s="12"/>
      <c r="P103" s="12"/>
      <c r="Q103" s="44"/>
      <c r="R103" s="44"/>
      <c r="S103" s="70">
        <f t="shared" si="25"/>
        <v>1</v>
      </c>
      <c r="T103" s="2" t="str">
        <f t="shared" si="28"/>
        <v>Southbound</v>
      </c>
      <c r="U103" s="2">
        <f>COUNTIFS(Variables!$M$2:$M$19, "&lt;=" &amp; Y103, Variables!$M$2:$M$19, "&gt;=" &amp; Z103)</f>
        <v>12</v>
      </c>
      <c r="V10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15:54:47-0600',mode:absolute,to:'2016-06-23 16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3" s="48" t="str">
        <f t="shared" si="30"/>
        <v>N</v>
      </c>
      <c r="X103" s="48">
        <f t="shared" si="31"/>
        <v>1</v>
      </c>
      <c r="Y103" s="48">
        <f t="shared" si="37"/>
        <v>23.309000000000001</v>
      </c>
      <c r="Z103" s="48">
        <f t="shared" si="38"/>
        <v>1.43E-2</v>
      </c>
      <c r="AA103" s="48">
        <f t="shared" si="32"/>
        <v>23.294700000000002</v>
      </c>
      <c r="AB103" s="49">
        <f>VLOOKUP(A103,Enforcements!$C$7:$J$73,8,0)</f>
        <v>1</v>
      </c>
      <c r="AC103" s="49" t="str">
        <f>VLOOKUP(A103,Enforcements!$C$7:$E$73,3,0)</f>
        <v>TRACK WARRANT AUTHORITY</v>
      </c>
    </row>
    <row r="104" spans="1:29" s="2" customFormat="1" x14ac:dyDescent="0.25">
      <c r="A104" s="43" t="s">
        <v>369</v>
      </c>
      <c r="B104" s="43">
        <v>4020</v>
      </c>
      <c r="C104" s="43" t="s">
        <v>60</v>
      </c>
      <c r="D104" s="43" t="s">
        <v>500</v>
      </c>
      <c r="E104" s="25">
        <v>42544.632118055553</v>
      </c>
      <c r="F104" s="25">
        <v>42544.633310185185</v>
      </c>
      <c r="G104" s="31">
        <v>1</v>
      </c>
      <c r="H104" s="25" t="s">
        <v>501</v>
      </c>
      <c r="I104" s="25">
        <v>42544.660995370374</v>
      </c>
      <c r="J104" s="43">
        <v>0</v>
      </c>
      <c r="K104" s="43" t="str">
        <f t="shared" si="26"/>
        <v>4019/4020</v>
      </c>
      <c r="L104" s="43" t="str">
        <f>VLOOKUP(A104,'Trips&amp;Operators'!$C$1:$E$10000,3,FALSE)</f>
        <v>COOLAHAN</v>
      </c>
      <c r="M104" s="11">
        <f t="shared" si="27"/>
        <v>2.768518518860219E-2</v>
      </c>
      <c r="N104" s="12">
        <f t="shared" si="36"/>
        <v>39.866666671587154</v>
      </c>
      <c r="O104" s="12"/>
      <c r="P104" s="12"/>
      <c r="Q104" s="44"/>
      <c r="R104" s="44"/>
      <c r="S104" s="70">
        <f t="shared" ref="S104:S135" si="39">SUM(U104:U104)/12</f>
        <v>1</v>
      </c>
      <c r="T104" s="2" t="str">
        <f t="shared" si="28"/>
        <v>NorthBound</v>
      </c>
      <c r="U104" s="2">
        <f>COUNTIFS(Variables!$M$2:$M$19, "&gt;=" &amp; Y104, Variables!$M$2:$M$19, "&lt;=" &amp; Z104)</f>
        <v>12</v>
      </c>
      <c r="V10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15:09:15-0600',mode:absolute,to:'2016-06-23 15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4" s="48" t="str">
        <f t="shared" si="30"/>
        <v>N</v>
      </c>
      <c r="X104" s="48">
        <f t="shared" si="31"/>
        <v>1</v>
      </c>
      <c r="Y104" s="48">
        <f t="shared" si="37"/>
        <v>5.1499999999999997E-2</v>
      </c>
      <c r="Z104" s="48">
        <f t="shared" si="38"/>
        <v>23.336099999999998</v>
      </c>
      <c r="AA104" s="48">
        <f t="shared" si="32"/>
        <v>23.284599999999998</v>
      </c>
      <c r="AB104" s="49" t="e">
        <f>VLOOKUP(A104,Enforcements!$C$7:$J$73,8,0)</f>
        <v>#N/A</v>
      </c>
      <c r="AC104" s="49" t="e">
        <f>VLOOKUP(A104,Enforcements!$C$7:$E$73,3,0)</f>
        <v>#N/A</v>
      </c>
    </row>
    <row r="105" spans="1:29" s="2" customFormat="1" x14ac:dyDescent="0.25">
      <c r="A105" s="43" t="s">
        <v>279</v>
      </c>
      <c r="B105" s="43">
        <v>4019</v>
      </c>
      <c r="C105" s="43" t="s">
        <v>60</v>
      </c>
      <c r="D105" s="43" t="s">
        <v>502</v>
      </c>
      <c r="E105" s="25">
        <v>42544.670706018522</v>
      </c>
      <c r="F105" s="25">
        <v>42544.6721875</v>
      </c>
      <c r="G105" s="31">
        <v>2</v>
      </c>
      <c r="H105" s="25" t="s">
        <v>198</v>
      </c>
      <c r="I105" s="25">
        <v>42544.702106481483</v>
      </c>
      <c r="J105" s="43">
        <v>1</v>
      </c>
      <c r="K105" s="43" t="str">
        <f t="shared" si="26"/>
        <v>4019/4020</v>
      </c>
      <c r="L105" s="43" t="str">
        <f>VLOOKUP(A105,'Trips&amp;Operators'!$C$1:$E$10000,3,FALSE)</f>
        <v>COOLAHAN</v>
      </c>
      <c r="M105" s="11">
        <f t="shared" si="27"/>
        <v>2.9918981483206153E-2</v>
      </c>
      <c r="N105" s="12">
        <f t="shared" si="36"/>
        <v>43.08333333581686</v>
      </c>
      <c r="O105" s="12"/>
      <c r="P105" s="12"/>
      <c r="Q105" s="44"/>
      <c r="R105" s="44"/>
      <c r="S105" s="70">
        <f t="shared" si="39"/>
        <v>1</v>
      </c>
      <c r="T105" s="2" t="str">
        <f t="shared" si="28"/>
        <v>Southbound</v>
      </c>
      <c r="U105" s="2">
        <f>COUNTIFS(Variables!$M$2:$M$19, "&lt;=" &amp; Y105, Variables!$M$2:$M$19, "&gt;=" &amp; Z105)</f>
        <v>12</v>
      </c>
      <c r="V10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16:04:49-0600',mode:absolute,to:'2016-06-23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48" t="str">
        <f t="shared" si="30"/>
        <v>N</v>
      </c>
      <c r="X105" s="48">
        <f t="shared" si="31"/>
        <v>1</v>
      </c>
      <c r="Y105" s="48">
        <f t="shared" si="37"/>
        <v>23.302099999999999</v>
      </c>
      <c r="Z105" s="48">
        <f t="shared" si="38"/>
        <v>1.43E-2</v>
      </c>
      <c r="AA105" s="48">
        <f t="shared" si="32"/>
        <v>23.287800000000001</v>
      </c>
      <c r="AB105" s="49">
        <f>VLOOKUP(A105,Enforcements!$C$7:$J$73,8,0)</f>
        <v>15167</v>
      </c>
      <c r="AC105" s="49" t="str">
        <f>VLOOKUP(A105,Enforcements!$C$7:$E$73,3,0)</f>
        <v>PERMANENT SPEED RESTRICTION</v>
      </c>
    </row>
    <row r="106" spans="1:29" s="2" customFormat="1" x14ac:dyDescent="0.25">
      <c r="A106" s="43" t="s">
        <v>274</v>
      </c>
      <c r="B106" s="43">
        <v>4007</v>
      </c>
      <c r="C106" s="43" t="s">
        <v>60</v>
      </c>
      <c r="D106" s="43" t="s">
        <v>123</v>
      </c>
      <c r="E106" s="25">
        <v>42544.643113425926</v>
      </c>
      <c r="F106" s="25">
        <v>42544.644247685188</v>
      </c>
      <c r="G106" s="31">
        <v>1</v>
      </c>
      <c r="H106" s="25" t="s">
        <v>112</v>
      </c>
      <c r="I106" s="25">
        <v>42544.671261574076</v>
      </c>
      <c r="J106" s="43">
        <v>1</v>
      </c>
      <c r="K106" s="43" t="str">
        <f t="shared" si="26"/>
        <v>4007/4008</v>
      </c>
      <c r="L106" s="43" t="str">
        <f>VLOOKUP(A106,'Trips&amp;Operators'!$C$1:$E$10000,3,FALSE)</f>
        <v>ROCHA</v>
      </c>
      <c r="M106" s="11">
        <f t="shared" si="27"/>
        <v>2.7013888888177462E-2</v>
      </c>
      <c r="N106" s="12">
        <f t="shared" si="36"/>
        <v>38.899999998975545</v>
      </c>
      <c r="O106" s="12"/>
      <c r="P106" s="12"/>
      <c r="Q106" s="44"/>
      <c r="R106" s="44"/>
      <c r="S106" s="70">
        <f t="shared" si="39"/>
        <v>1</v>
      </c>
      <c r="T106" s="2" t="str">
        <f t="shared" si="28"/>
        <v>NorthBound</v>
      </c>
      <c r="U106" s="2">
        <f>COUNTIFS(Variables!$M$2:$M$19, "&gt;=" &amp; Y106, Variables!$M$2:$M$19, "&lt;=" &amp; Z106)</f>
        <v>12</v>
      </c>
      <c r="V10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15:25:05-0600',mode:absolute,to:'2016-06-23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6" s="48" t="str">
        <f t="shared" si="30"/>
        <v>N</v>
      </c>
      <c r="X106" s="48">
        <f t="shared" si="31"/>
        <v>1</v>
      </c>
      <c r="Y106" s="48">
        <f t="shared" si="37"/>
        <v>4.6699999999999998E-2</v>
      </c>
      <c r="Z106" s="48">
        <f t="shared" si="38"/>
        <v>23.329699999999999</v>
      </c>
      <c r="AA106" s="48">
        <f t="shared" si="32"/>
        <v>23.282999999999998</v>
      </c>
      <c r="AB106" s="49">
        <f>VLOOKUP(A106,Enforcements!$C$7:$J$73,8,0)</f>
        <v>233491</v>
      </c>
      <c r="AC106" s="49" t="str">
        <f>VLOOKUP(A106,Enforcements!$C$7:$E$73,3,0)</f>
        <v>TRACK WARRANT AUTHORITY</v>
      </c>
    </row>
    <row r="107" spans="1:29" s="2" customFormat="1" x14ac:dyDescent="0.25">
      <c r="A107" s="43" t="s">
        <v>395</v>
      </c>
      <c r="B107" s="43">
        <v>4008</v>
      </c>
      <c r="C107" s="43" t="s">
        <v>60</v>
      </c>
      <c r="D107" s="43" t="s">
        <v>131</v>
      </c>
      <c r="E107" s="25">
        <v>42544.683495370373</v>
      </c>
      <c r="F107" s="25">
        <v>42544.684560185182</v>
      </c>
      <c r="G107" s="31">
        <v>1</v>
      </c>
      <c r="H107" s="25" t="s">
        <v>198</v>
      </c>
      <c r="I107" s="25">
        <v>42544.710960648146</v>
      </c>
      <c r="J107" s="43">
        <v>0</v>
      </c>
      <c r="K107" s="43" t="str">
        <f t="shared" si="26"/>
        <v>4007/4008</v>
      </c>
      <c r="L107" s="43" t="str">
        <f>VLOOKUP(A107,'Trips&amp;Operators'!$C$1:$E$10000,3,FALSE)</f>
        <v>ROCHA</v>
      </c>
      <c r="M107" s="11">
        <f t="shared" si="27"/>
        <v>2.6400462964375038E-2</v>
      </c>
      <c r="N107" s="12">
        <f t="shared" si="36"/>
        <v>38.016666668700054</v>
      </c>
      <c r="O107" s="12"/>
      <c r="P107" s="12"/>
      <c r="Q107" s="44"/>
      <c r="R107" s="44"/>
      <c r="S107" s="70">
        <f t="shared" si="39"/>
        <v>1</v>
      </c>
      <c r="T107" s="2" t="str">
        <f t="shared" si="28"/>
        <v>Southbound</v>
      </c>
      <c r="U107" s="2">
        <f>COUNTIFS(Variables!$M$2:$M$19, "&lt;=" &amp; Y107, Variables!$M$2:$M$19, "&gt;=" &amp; Z107)</f>
        <v>12</v>
      </c>
      <c r="V10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16:23:14-0600',mode:absolute,to:'2016-06-23 17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7" s="48" t="str">
        <f t="shared" si="30"/>
        <v>N</v>
      </c>
      <c r="X107" s="48">
        <f t="shared" si="31"/>
        <v>1</v>
      </c>
      <c r="Y107" s="48">
        <f t="shared" si="37"/>
        <v>23.2986</v>
      </c>
      <c r="Z107" s="48">
        <f t="shared" si="38"/>
        <v>1.43E-2</v>
      </c>
      <c r="AA107" s="48">
        <f t="shared" si="32"/>
        <v>23.284300000000002</v>
      </c>
      <c r="AB107" s="49" t="e">
        <f>VLOOKUP(A107,Enforcements!$C$7:$J$73,8,0)</f>
        <v>#N/A</v>
      </c>
      <c r="AC107" s="49" t="e">
        <f>VLOOKUP(A107,Enforcements!$C$7:$E$73,3,0)</f>
        <v>#N/A</v>
      </c>
    </row>
    <row r="108" spans="1:29" s="2" customFormat="1" x14ac:dyDescent="0.25">
      <c r="A108" s="43" t="s">
        <v>382</v>
      </c>
      <c r="B108" s="43">
        <v>4038</v>
      </c>
      <c r="C108" s="43" t="s">
        <v>60</v>
      </c>
      <c r="D108" s="43" t="s">
        <v>69</v>
      </c>
      <c r="E108" s="25">
        <v>42544.652731481481</v>
      </c>
      <c r="F108" s="25">
        <v>42544.653796296298</v>
      </c>
      <c r="G108" s="31">
        <v>1</v>
      </c>
      <c r="H108" s="25" t="s">
        <v>461</v>
      </c>
      <c r="I108" s="25">
        <v>42544.683564814812</v>
      </c>
      <c r="J108" s="43">
        <v>0</v>
      </c>
      <c r="K108" s="43" t="str">
        <f t="shared" si="26"/>
        <v>4037/4038</v>
      </c>
      <c r="L108" s="43" t="str">
        <f>VLOOKUP(A108,'Trips&amp;Operators'!$C$1:$E$10000,3,FALSE)</f>
        <v>YOUNG</v>
      </c>
      <c r="M108" s="11">
        <f t="shared" si="27"/>
        <v>2.9768518514174502E-2</v>
      </c>
      <c r="N108" s="12">
        <f t="shared" si="36"/>
        <v>42.866666660411283</v>
      </c>
      <c r="O108" s="12"/>
      <c r="P108" s="12"/>
      <c r="Q108" s="44"/>
      <c r="R108" s="44"/>
      <c r="S108" s="70">
        <f t="shared" si="39"/>
        <v>1</v>
      </c>
      <c r="T108" s="2" t="str">
        <f t="shared" si="28"/>
        <v>NorthBound</v>
      </c>
      <c r="U108" s="2">
        <f>COUNTIFS(Variables!$M$2:$M$19, "&gt;=" &amp; Y108, Variables!$M$2:$M$19, "&lt;=" &amp; Z108)</f>
        <v>12</v>
      </c>
      <c r="V10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https://search-rtdc-monitor-bjffxe2xuh6vdkpspy63sjmuny.us-east-1.es.amazonaws.com/_plugin/kibana/#/discover/Steve-Slow-Train-Analysis-(2080s-and-2083s)?_g=(refreshInterval:(display:Off,section:0,value:0),time:(from:'2016-06-23 15:38:56-0600',mode:absolute,to:'2016-06-23 16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8" s="48" t="str">
        <f t="shared" si="30"/>
        <v>N</v>
      </c>
      <c r="X108" s="48">
        <f t="shared" si="31"/>
        <v>1</v>
      </c>
      <c r="Y108" s="48">
        <f t="shared" si="37"/>
        <v>4.5999999999999999E-2</v>
      </c>
      <c r="Z108" s="48">
        <f t="shared" si="38"/>
        <v>23.3323</v>
      </c>
      <c r="AA108" s="48">
        <f t="shared" si="32"/>
        <v>23.286300000000001</v>
      </c>
      <c r="AB108" s="49" t="e">
        <f>VLOOKUP(A108,Enforcements!$C$7:$J$73,8,0)</f>
        <v>#N/A</v>
      </c>
      <c r="AC108" s="49" t="e">
        <f>VLOOKUP(A108,Enforcements!$C$7:$E$73,3,0)</f>
        <v>#N/A</v>
      </c>
    </row>
    <row r="109" spans="1:29" s="2" customFormat="1" x14ac:dyDescent="0.25">
      <c r="A109" s="43" t="s">
        <v>315</v>
      </c>
      <c r="B109" s="43">
        <v>4037</v>
      </c>
      <c r="C109" s="43" t="s">
        <v>60</v>
      </c>
      <c r="D109" s="43" t="s">
        <v>497</v>
      </c>
      <c r="E109" s="25">
        <v>42544.688842592594</v>
      </c>
      <c r="F109" s="25">
        <v>42544.689618055556</v>
      </c>
      <c r="G109" s="31">
        <v>1</v>
      </c>
      <c r="H109" s="25" t="s">
        <v>83</v>
      </c>
      <c r="I109" s="25">
        <v>42544.725682870368</v>
      </c>
      <c r="J109" s="43">
        <v>0</v>
      </c>
      <c r="K109" s="43" t="str">
        <f t="shared" ref="K109:K140" si="40">IF(ISEVEN(B109),(B109-1)&amp;"/"&amp;B109,B109&amp;"/"&amp;(B109+1))</f>
        <v>4037/4038</v>
      </c>
      <c r="L109" s="43" t="str">
        <f>VLOOKUP(A109,'Trips&amp;Operators'!$C$1:$E$10000,3,FALSE)</f>
        <v>YOUNG</v>
      </c>
      <c r="M109" s="11">
        <f t="shared" ref="M109:M140" si="41">I109-F109</f>
        <v>3.6064814812561963E-2</v>
      </c>
      <c r="N109" s="12">
        <f t="shared" si="36"/>
        <v>51.933333330089226</v>
      </c>
      <c r="O109" s="12"/>
      <c r="P109" s="12"/>
      <c r="Q109" s="44"/>
      <c r="R109" s="44"/>
      <c r="S109" s="70">
        <f t="shared" si="39"/>
        <v>1</v>
      </c>
      <c r="T109" s="2" t="str">
        <f t="shared" ref="T109:T140" si="42">IF(ISEVEN(LEFT(A109,3)),"Southbound","NorthBound")</f>
        <v>Southbound</v>
      </c>
      <c r="U109" s="2">
        <f>COUNTIFS(Variables!$M$2:$M$19, "&lt;=" &amp; Y109, Variables!$M$2:$M$19, "&gt;=" &amp; Z109)</f>
        <v>12</v>
      </c>
      <c r="V109" s="48" t="str">
        <f t="shared" ref="V109:V140" si="43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https://search-rtdc-monitor-bjffxe2xuh6vdkpspy63sjmuny.us-east-1.es.amazonaws.com/_plugin/kibana/#/discover/Steve-Slow-Train-Analysis-(2080s-and-2083s)?_g=(refreshInterval:(display:Off,section:0,value:0),time:(from:'2016-06-23 16:30:56-0600',mode:absolute,to:'2016-06-23 17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9" s="48" t="str">
        <f t="shared" ref="W109:W140" si="44">IF(AA109&lt;23,"Y","N")</f>
        <v>N</v>
      </c>
      <c r="X109" s="48">
        <f t="shared" ref="X109:X140" si="45">VALUE(LEFT(A109,3))-VALUE(LEFT(A108,3))</f>
        <v>1</v>
      </c>
      <c r="Y109" s="48">
        <f t="shared" si="37"/>
        <v>23.301100000000002</v>
      </c>
      <c r="Z109" s="48">
        <f t="shared" si="38"/>
        <v>1.54E-2</v>
      </c>
      <c r="AA109" s="48">
        <f t="shared" ref="AA109:AA140" si="46">ABS(Z109-Y109)</f>
        <v>23.285700000000002</v>
      </c>
      <c r="AB109" s="49" t="e">
        <f>VLOOKUP(A109,Enforcements!$C$7:$J$73,8,0)</f>
        <v>#N/A</v>
      </c>
      <c r="AC109" s="49" t="e">
        <f>VLOOKUP(A109,Enforcements!$C$7:$E$73,3,0)</f>
        <v>#N/A</v>
      </c>
    </row>
    <row r="110" spans="1:29" s="2" customFormat="1" x14ac:dyDescent="0.25">
      <c r="A110" s="43" t="s">
        <v>411</v>
      </c>
      <c r="B110" s="43">
        <v>4042</v>
      </c>
      <c r="C110" s="43" t="s">
        <v>60</v>
      </c>
      <c r="D110" s="43" t="s">
        <v>122</v>
      </c>
      <c r="E110" s="25">
        <v>42544.664351851854</v>
      </c>
      <c r="F110" s="25">
        <v>42544.665543981479</v>
      </c>
      <c r="G110" s="31">
        <v>1</v>
      </c>
      <c r="H110" s="25" t="s">
        <v>472</v>
      </c>
      <c r="I110" s="25">
        <v>42544.693495370368</v>
      </c>
      <c r="J110" s="43">
        <v>0</v>
      </c>
      <c r="K110" s="43" t="str">
        <f t="shared" si="40"/>
        <v>4041/4042</v>
      </c>
      <c r="L110" s="43" t="str">
        <f>VLOOKUP(A110,'Trips&amp;Operators'!$C$1:$E$10000,3,FALSE)</f>
        <v>STEWART</v>
      </c>
      <c r="M110" s="11">
        <f t="shared" si="41"/>
        <v>2.7951388889050577E-2</v>
      </c>
      <c r="N110" s="12">
        <f t="shared" si="36"/>
        <v>40.250000000232831</v>
      </c>
      <c r="O110" s="12"/>
      <c r="P110" s="12"/>
      <c r="Q110" s="44"/>
      <c r="R110" s="44"/>
      <c r="S110" s="70">
        <f t="shared" si="39"/>
        <v>1</v>
      </c>
      <c r="T110" s="2" t="str">
        <f t="shared" si="42"/>
        <v>NorthBound</v>
      </c>
      <c r="U110" s="2">
        <f>COUNTIFS(Variables!$M$2:$M$19, "&gt;=" &amp; Y110, Variables!$M$2:$M$19, "&lt;=" &amp; Z110)</f>
        <v>12</v>
      </c>
      <c r="V11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15:55:40-0600',mode:absolute,to:'2016-06-23 16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0" s="48" t="str">
        <f t="shared" si="44"/>
        <v>N</v>
      </c>
      <c r="X110" s="48">
        <f t="shared" si="45"/>
        <v>1</v>
      </c>
      <c r="Y110" s="48">
        <f t="shared" si="37"/>
        <v>4.5499999999999999E-2</v>
      </c>
      <c r="Z110" s="48">
        <f t="shared" si="38"/>
        <v>23.328600000000002</v>
      </c>
      <c r="AA110" s="48">
        <f t="shared" si="46"/>
        <v>23.283100000000001</v>
      </c>
      <c r="AB110" s="49" t="e">
        <f>VLOOKUP(A110,Enforcements!$C$7:$J$73,8,0)</f>
        <v>#N/A</v>
      </c>
      <c r="AC110" s="49" t="e">
        <f>VLOOKUP(A110,Enforcements!$C$7:$E$73,3,0)</f>
        <v>#N/A</v>
      </c>
    </row>
    <row r="111" spans="1:29" s="2" customFormat="1" x14ac:dyDescent="0.25">
      <c r="A111" s="43" t="s">
        <v>362</v>
      </c>
      <c r="B111" s="43">
        <v>4041</v>
      </c>
      <c r="C111" s="43" t="s">
        <v>60</v>
      </c>
      <c r="D111" s="43" t="s">
        <v>503</v>
      </c>
      <c r="E111" s="25">
        <v>42544.701701388891</v>
      </c>
      <c r="F111" s="25">
        <v>42544.702928240738</v>
      </c>
      <c r="G111" s="31">
        <v>1</v>
      </c>
      <c r="H111" s="25" t="s">
        <v>77</v>
      </c>
      <c r="I111" s="25">
        <v>42544.739861111113</v>
      </c>
      <c r="J111" s="43">
        <v>0</v>
      </c>
      <c r="K111" s="43" t="str">
        <f t="shared" si="40"/>
        <v>4041/4042</v>
      </c>
      <c r="L111" s="43" t="str">
        <f>VLOOKUP(A111,'Trips&amp;Operators'!$C$1:$E$10000,3,FALSE)</f>
        <v>STEWART</v>
      </c>
      <c r="M111" s="11">
        <f t="shared" si="41"/>
        <v>3.6932870374585036E-2</v>
      </c>
      <c r="N111" s="12">
        <f t="shared" si="36"/>
        <v>53.183333339402452</v>
      </c>
      <c r="O111" s="12"/>
      <c r="P111" s="12"/>
      <c r="Q111" s="44"/>
      <c r="R111" s="44"/>
      <c r="S111" s="70">
        <f t="shared" si="39"/>
        <v>1</v>
      </c>
      <c r="T111" s="2" t="str">
        <f t="shared" si="42"/>
        <v>Southbound</v>
      </c>
      <c r="U111" s="2">
        <f>COUNTIFS(Variables!$M$2:$M$19, "&lt;=" &amp; Y111, Variables!$M$2:$M$19, "&gt;=" &amp; Z111)</f>
        <v>12</v>
      </c>
      <c r="V11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16:49:27-0600',mode:absolute,to:'2016-06-23 17:46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1" s="48" t="str">
        <f t="shared" si="44"/>
        <v>N</v>
      </c>
      <c r="X111" s="48">
        <f t="shared" si="45"/>
        <v>1</v>
      </c>
      <c r="Y111" s="48">
        <f t="shared" si="37"/>
        <v>23.296299999999999</v>
      </c>
      <c r="Z111" s="48">
        <f t="shared" si="38"/>
        <v>1.5599999999999999E-2</v>
      </c>
      <c r="AA111" s="48">
        <f t="shared" si="46"/>
        <v>23.2807</v>
      </c>
      <c r="AB111" s="49" t="e">
        <f>VLOOKUP(A111,Enforcements!$C$7:$J$73,8,0)</f>
        <v>#N/A</v>
      </c>
      <c r="AC111" s="49" t="e">
        <f>VLOOKUP(A111,Enforcements!$C$7:$E$73,3,0)</f>
        <v>#N/A</v>
      </c>
    </row>
    <row r="112" spans="1:29" s="2" customFormat="1" x14ac:dyDescent="0.25">
      <c r="A112" s="43" t="s">
        <v>280</v>
      </c>
      <c r="B112" s="43">
        <v>4009</v>
      </c>
      <c r="C112" s="43" t="s">
        <v>60</v>
      </c>
      <c r="D112" s="43" t="s">
        <v>93</v>
      </c>
      <c r="E112" s="25">
        <v>42544.676064814812</v>
      </c>
      <c r="F112" s="25">
        <v>42544.677175925928</v>
      </c>
      <c r="G112" s="31">
        <v>1</v>
      </c>
      <c r="H112" s="25" t="s">
        <v>128</v>
      </c>
      <c r="I112" s="25">
        <v>42544.704131944447</v>
      </c>
      <c r="J112" s="43">
        <v>1</v>
      </c>
      <c r="K112" s="43" t="str">
        <f t="shared" si="40"/>
        <v>4009/4010</v>
      </c>
      <c r="L112" s="43" t="str">
        <f>VLOOKUP(A112,'Trips&amp;Operators'!$C$1:$E$10000,3,FALSE)</f>
        <v>DE LA ROSA</v>
      </c>
      <c r="M112" s="11">
        <f t="shared" si="41"/>
        <v>2.6956018518831115E-2</v>
      </c>
      <c r="N112" s="12">
        <f t="shared" si="36"/>
        <v>38.816666667116806</v>
      </c>
      <c r="O112" s="12"/>
      <c r="P112" s="12"/>
      <c r="Q112" s="44"/>
      <c r="R112" s="44"/>
      <c r="S112" s="70">
        <f t="shared" si="39"/>
        <v>1</v>
      </c>
      <c r="T112" s="2" t="str">
        <f t="shared" si="42"/>
        <v>NorthBound</v>
      </c>
      <c r="U112" s="2">
        <f>COUNTIFS(Variables!$M$2:$M$19, "&gt;=" &amp; Y112, Variables!$M$2:$M$19, "&lt;=" &amp; Z112)</f>
        <v>12</v>
      </c>
      <c r="V11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16:12:32-0600',mode:absolute,to:'2016-06-23 16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2" s="48" t="str">
        <f t="shared" si="44"/>
        <v>N</v>
      </c>
      <c r="X112" s="48">
        <f t="shared" si="45"/>
        <v>1</v>
      </c>
      <c r="Y112" s="48">
        <f t="shared" si="37"/>
        <v>4.6399999999999997E-2</v>
      </c>
      <c r="Z112" s="48">
        <f t="shared" si="38"/>
        <v>23.331</v>
      </c>
      <c r="AA112" s="48">
        <f t="shared" si="46"/>
        <v>23.284600000000001</v>
      </c>
      <c r="AB112" s="49">
        <f>VLOOKUP(A112,Enforcements!$C$7:$J$73,8,0)</f>
        <v>233491</v>
      </c>
      <c r="AC112" s="49" t="str">
        <f>VLOOKUP(A112,Enforcements!$C$7:$E$73,3,0)</f>
        <v>TRACK WARRANT AUTHORITY</v>
      </c>
    </row>
    <row r="113" spans="1:29" s="2" customFormat="1" x14ac:dyDescent="0.25">
      <c r="A113" s="43" t="s">
        <v>364</v>
      </c>
      <c r="B113" s="43">
        <v>4010</v>
      </c>
      <c r="C113" s="43" t="s">
        <v>60</v>
      </c>
      <c r="D113" s="43" t="s">
        <v>160</v>
      </c>
      <c r="E113" s="25">
        <v>42544.713125000002</v>
      </c>
      <c r="F113" s="25">
        <v>42544.714733796296</v>
      </c>
      <c r="G113" s="31">
        <v>2</v>
      </c>
      <c r="H113" s="25" t="s">
        <v>102</v>
      </c>
      <c r="I113" s="25">
        <v>42544.751076388886</v>
      </c>
      <c r="J113" s="43">
        <v>0</v>
      </c>
      <c r="K113" s="43" t="str">
        <f t="shared" si="40"/>
        <v>4009/4010</v>
      </c>
      <c r="L113" s="43" t="str">
        <f>VLOOKUP(A113,'Trips&amp;Operators'!$C$1:$E$10000,3,FALSE)</f>
        <v>DE LA ROSA</v>
      </c>
      <c r="M113" s="11">
        <f t="shared" si="41"/>
        <v>3.6342592589790002E-2</v>
      </c>
      <c r="N113" s="12">
        <f t="shared" si="36"/>
        <v>52.333333329297602</v>
      </c>
      <c r="O113" s="12"/>
      <c r="P113" s="12"/>
      <c r="Q113" s="44"/>
      <c r="R113" s="44"/>
      <c r="S113" s="70">
        <f t="shared" si="39"/>
        <v>1</v>
      </c>
      <c r="T113" s="2" t="str">
        <f t="shared" si="42"/>
        <v>Southbound</v>
      </c>
      <c r="U113" s="2">
        <f>COUNTIFS(Variables!$M$2:$M$19, "&lt;=" &amp; Y113, Variables!$M$2:$M$19, "&gt;=" &amp; Z113)</f>
        <v>12</v>
      </c>
      <c r="V11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17:05:54-0600',mode:absolute,to:'2016-06-23 18:02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3" s="48" t="str">
        <f t="shared" si="44"/>
        <v>N</v>
      </c>
      <c r="X113" s="48">
        <f t="shared" si="45"/>
        <v>1</v>
      </c>
      <c r="Y113" s="48">
        <f t="shared" si="37"/>
        <v>23.2989</v>
      </c>
      <c r="Z113" s="48">
        <f t="shared" si="38"/>
        <v>1.61E-2</v>
      </c>
      <c r="AA113" s="48">
        <f t="shared" si="46"/>
        <v>23.282799999999998</v>
      </c>
      <c r="AB113" s="49" t="e">
        <f>VLOOKUP(A113,Enforcements!$C$7:$J$73,8,0)</f>
        <v>#N/A</v>
      </c>
      <c r="AC113" s="49" t="e">
        <f>VLOOKUP(A113,Enforcements!$C$7:$E$73,3,0)</f>
        <v>#N/A</v>
      </c>
    </row>
    <row r="114" spans="1:29" s="2" customFormat="1" x14ac:dyDescent="0.25">
      <c r="A114" s="43" t="s">
        <v>277</v>
      </c>
      <c r="B114" s="43">
        <v>4018</v>
      </c>
      <c r="C114" s="43" t="s">
        <v>60</v>
      </c>
      <c r="D114" s="43" t="s">
        <v>465</v>
      </c>
      <c r="E114" s="25">
        <v>42544.684976851851</v>
      </c>
      <c r="F114" s="25">
        <v>42544.685925925929</v>
      </c>
      <c r="G114" s="31">
        <v>1</v>
      </c>
      <c r="H114" s="25" t="s">
        <v>129</v>
      </c>
      <c r="I114" s="25">
        <v>42544.714606481481</v>
      </c>
      <c r="J114" s="43">
        <v>2</v>
      </c>
      <c r="K114" s="43" t="str">
        <f t="shared" si="40"/>
        <v>4017/4018</v>
      </c>
      <c r="L114" s="43" t="str">
        <f>VLOOKUP(A114,'Trips&amp;Operators'!$C$1:$E$10000,3,FALSE)</f>
        <v>SPECTOR</v>
      </c>
      <c r="M114" s="11">
        <f t="shared" si="41"/>
        <v>2.8680555551545694E-2</v>
      </c>
      <c r="N114" s="12">
        <f t="shared" si="36"/>
        <v>41.2999999942258</v>
      </c>
      <c r="O114" s="12"/>
      <c r="P114" s="12"/>
      <c r="Q114" s="44"/>
      <c r="R114" s="44"/>
      <c r="S114" s="70">
        <f t="shared" si="39"/>
        <v>1</v>
      </c>
      <c r="T114" s="2" t="str">
        <f t="shared" si="42"/>
        <v>NorthBound</v>
      </c>
      <c r="U114" s="2">
        <f>COUNTIFS(Variables!$M$2:$M$19, "&gt;=" &amp; Y114, Variables!$M$2:$M$19, "&lt;=" &amp; Z114)</f>
        <v>12</v>
      </c>
      <c r="V11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16:25:22-0600',mode:absolute,to:'2016-06-23 17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48" t="str">
        <f t="shared" si="44"/>
        <v>N</v>
      </c>
      <c r="X114" s="48">
        <f t="shared" si="45"/>
        <v>1</v>
      </c>
      <c r="Y114" s="48">
        <f t="shared" si="37"/>
        <v>4.3799999999999999E-2</v>
      </c>
      <c r="Z114" s="48">
        <f t="shared" si="38"/>
        <v>23.3307</v>
      </c>
      <c r="AA114" s="48">
        <f t="shared" si="46"/>
        <v>23.286899999999999</v>
      </c>
      <c r="AB114" s="49">
        <f>VLOOKUP(A114,Enforcements!$C$7:$J$73,8,0)</f>
        <v>4677</v>
      </c>
      <c r="AC114" s="49" t="str">
        <f>VLOOKUP(A114,Enforcements!$C$7:$E$73,3,0)</f>
        <v>PERMANENT SPEED RESTRICTION</v>
      </c>
    </row>
    <row r="115" spans="1:29" s="2" customFormat="1" x14ac:dyDescent="0.25">
      <c r="A115" s="43" t="s">
        <v>413</v>
      </c>
      <c r="B115" s="43">
        <v>4017</v>
      </c>
      <c r="C115" s="43" t="s">
        <v>60</v>
      </c>
      <c r="D115" s="43" t="s">
        <v>159</v>
      </c>
      <c r="E115" s="25">
        <v>42544.721956018519</v>
      </c>
      <c r="F115" s="25">
        <v>42544.723217592589</v>
      </c>
      <c r="G115" s="31">
        <v>1</v>
      </c>
      <c r="H115" s="25" t="s">
        <v>134</v>
      </c>
      <c r="I115" s="25">
        <v>42544.758738425924</v>
      </c>
      <c r="J115" s="43">
        <v>0</v>
      </c>
      <c r="K115" s="43" t="str">
        <f t="shared" si="40"/>
        <v>4017/4018</v>
      </c>
      <c r="L115" s="43" t="str">
        <f>VLOOKUP(A115,'Trips&amp;Operators'!$C$1:$E$10000,3,FALSE)</f>
        <v>SPECTOR</v>
      </c>
      <c r="M115" s="11">
        <f t="shared" si="41"/>
        <v>3.5520833334885538E-2</v>
      </c>
      <c r="N115" s="12">
        <f t="shared" si="36"/>
        <v>51.150000002235174</v>
      </c>
      <c r="O115" s="12"/>
      <c r="P115" s="12"/>
      <c r="Q115" s="44"/>
      <c r="R115" s="44"/>
      <c r="S115" s="70">
        <f t="shared" si="39"/>
        <v>1</v>
      </c>
      <c r="T115" s="2" t="str">
        <f t="shared" si="42"/>
        <v>Southbound</v>
      </c>
      <c r="U115" s="2">
        <f>COUNTIFS(Variables!$M$2:$M$19, "&lt;=" &amp; Y115, Variables!$M$2:$M$19, "&gt;=" &amp; Z115)</f>
        <v>12</v>
      </c>
      <c r="V11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17:18:37-0600',mode:absolute,to:'2016-06-23 18:13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48" t="str">
        <f t="shared" si="44"/>
        <v>N</v>
      </c>
      <c r="X115" s="48">
        <f t="shared" si="45"/>
        <v>1</v>
      </c>
      <c r="Y115" s="48">
        <f t="shared" si="37"/>
        <v>23.298200000000001</v>
      </c>
      <c r="Z115" s="48">
        <f t="shared" si="38"/>
        <v>1.67E-2</v>
      </c>
      <c r="AA115" s="48">
        <f t="shared" si="46"/>
        <v>23.281500000000001</v>
      </c>
      <c r="AB115" s="49" t="e">
        <f>VLOOKUP(A115,Enforcements!$C$7:$J$73,8,0)</f>
        <v>#N/A</v>
      </c>
      <c r="AC115" s="49" t="e">
        <f>VLOOKUP(A115,Enforcements!$C$7:$E$73,3,0)</f>
        <v>#N/A</v>
      </c>
    </row>
    <row r="116" spans="1:29" s="2" customFormat="1" x14ac:dyDescent="0.25">
      <c r="A116" s="43" t="s">
        <v>367</v>
      </c>
      <c r="B116" s="43">
        <v>4014</v>
      </c>
      <c r="C116" s="43" t="s">
        <v>60</v>
      </c>
      <c r="D116" s="43" t="s">
        <v>194</v>
      </c>
      <c r="E116" s="25">
        <v>42544.694386574076</v>
      </c>
      <c r="F116" s="25">
        <v>42544.695428240739</v>
      </c>
      <c r="G116" s="31">
        <v>1</v>
      </c>
      <c r="H116" s="25" t="s">
        <v>488</v>
      </c>
      <c r="I116" s="25">
        <v>42544.72824074074</v>
      </c>
      <c r="J116" s="43">
        <v>0</v>
      </c>
      <c r="K116" s="43" t="str">
        <f t="shared" si="40"/>
        <v>4013/4014</v>
      </c>
      <c r="L116" s="43" t="str">
        <f>VLOOKUP(A116,'Trips&amp;Operators'!$C$1:$E$10000,3,FALSE)</f>
        <v>DAVIS</v>
      </c>
      <c r="M116" s="11">
        <f t="shared" si="41"/>
        <v>3.2812500001455192E-2</v>
      </c>
      <c r="N116" s="12">
        <f t="shared" si="36"/>
        <v>47.250000002095476</v>
      </c>
      <c r="O116" s="12"/>
      <c r="P116" s="12"/>
      <c r="Q116" s="44"/>
      <c r="R116" s="44"/>
      <c r="S116" s="70">
        <f t="shared" si="39"/>
        <v>1</v>
      </c>
      <c r="T116" s="2" t="str">
        <f t="shared" si="42"/>
        <v>NorthBound</v>
      </c>
      <c r="U116" s="2">
        <f>COUNTIFS(Variables!$M$2:$M$19, "&gt;=" &amp; Y116, Variables!$M$2:$M$19, "&lt;=" &amp; Z116)</f>
        <v>12</v>
      </c>
      <c r="V11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16:38:55-0600',mode:absolute,to:'2016-06-23 17:29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6" s="48" t="str">
        <f t="shared" si="44"/>
        <v>N</v>
      </c>
      <c r="X116" s="48">
        <f t="shared" si="45"/>
        <v>1</v>
      </c>
      <c r="Y116" s="48">
        <f t="shared" si="37"/>
        <v>4.7100000000000003E-2</v>
      </c>
      <c r="Z116" s="48">
        <f t="shared" si="38"/>
        <v>23.332899999999999</v>
      </c>
      <c r="AA116" s="48">
        <f t="shared" si="46"/>
        <v>23.285799999999998</v>
      </c>
      <c r="AB116" s="49" t="e">
        <f>VLOOKUP(A116,Enforcements!$C$7:$J$73,8,0)</f>
        <v>#N/A</v>
      </c>
      <c r="AC116" s="49" t="e">
        <f>VLOOKUP(A116,Enforcements!$C$7:$E$73,3,0)</f>
        <v>#N/A</v>
      </c>
    </row>
    <row r="117" spans="1:29" s="2" customFormat="1" x14ac:dyDescent="0.25">
      <c r="A117" s="43" t="s">
        <v>352</v>
      </c>
      <c r="B117" s="43">
        <v>4013</v>
      </c>
      <c r="C117" s="43" t="s">
        <v>60</v>
      </c>
      <c r="D117" s="43" t="s">
        <v>504</v>
      </c>
      <c r="E117" s="25">
        <v>42544.735300925924</v>
      </c>
      <c r="F117" s="25">
        <v>42544.736331018517</v>
      </c>
      <c r="G117" s="31">
        <v>1</v>
      </c>
      <c r="H117" s="25" t="s">
        <v>62</v>
      </c>
      <c r="I117" s="25">
        <v>42544.763414351852</v>
      </c>
      <c r="J117" s="43">
        <v>0</v>
      </c>
      <c r="K117" s="43" t="str">
        <f t="shared" si="40"/>
        <v>4013/4014</v>
      </c>
      <c r="L117" s="43" t="str">
        <f>VLOOKUP(A117,'Trips&amp;Operators'!$C$1:$E$10000,3,FALSE)</f>
        <v>DAVIS</v>
      </c>
      <c r="M117" s="11">
        <f t="shared" si="41"/>
        <v>2.7083333334303461E-2</v>
      </c>
      <c r="N117" s="12">
        <f t="shared" si="36"/>
        <v>39.000000001396984</v>
      </c>
      <c r="O117" s="12"/>
      <c r="P117" s="12"/>
      <c r="Q117" s="44"/>
      <c r="R117" s="44"/>
      <c r="S117" s="70">
        <f t="shared" si="39"/>
        <v>1</v>
      </c>
      <c r="T117" s="2" t="str">
        <f t="shared" si="42"/>
        <v>Southbound</v>
      </c>
      <c r="U117" s="2">
        <f>COUNTIFS(Variables!$M$2:$M$19, "&lt;=" &amp; Y117, Variables!$M$2:$M$19, "&gt;=" &amp; Z117)</f>
        <v>12</v>
      </c>
      <c r="V11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17:37:50-0600',mode:absolute,to:'2016-06-23 18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7" s="48" t="str">
        <f t="shared" si="44"/>
        <v>N</v>
      </c>
      <c r="X117" s="48">
        <f t="shared" si="45"/>
        <v>1</v>
      </c>
      <c r="Y117" s="48">
        <f t="shared" si="37"/>
        <v>23.3049</v>
      </c>
      <c r="Z117" s="48">
        <f t="shared" si="38"/>
        <v>1.52E-2</v>
      </c>
      <c r="AA117" s="48">
        <f t="shared" si="46"/>
        <v>23.2897</v>
      </c>
      <c r="AB117" s="49" t="e">
        <f>VLOOKUP(A117,Enforcements!$C$7:$J$73,8,0)</f>
        <v>#N/A</v>
      </c>
      <c r="AC117" s="49" t="e">
        <f>VLOOKUP(A117,Enforcements!$C$7:$E$73,3,0)</f>
        <v>#N/A</v>
      </c>
    </row>
    <row r="118" spans="1:29" s="2" customFormat="1" x14ac:dyDescent="0.25">
      <c r="A118" s="43" t="s">
        <v>348</v>
      </c>
      <c r="B118" s="43">
        <v>4020</v>
      </c>
      <c r="C118" s="43" t="s">
        <v>60</v>
      </c>
      <c r="D118" s="43" t="s">
        <v>72</v>
      </c>
      <c r="E118" s="25">
        <v>42544.704918981479</v>
      </c>
      <c r="F118" s="25">
        <v>42544.706041666665</v>
      </c>
      <c r="G118" s="31">
        <v>1</v>
      </c>
      <c r="H118" s="25" t="s">
        <v>199</v>
      </c>
      <c r="I118" s="25">
        <v>42544.736967592595</v>
      </c>
      <c r="J118" s="43">
        <v>0</v>
      </c>
      <c r="K118" s="43" t="str">
        <f t="shared" si="40"/>
        <v>4019/4020</v>
      </c>
      <c r="L118" s="43" t="str">
        <f>VLOOKUP(A118,'Trips&amp;Operators'!$C$1:$E$10000,3,FALSE)</f>
        <v>COOLAHAN</v>
      </c>
      <c r="M118" s="11">
        <f t="shared" si="41"/>
        <v>3.0925925930205267E-2</v>
      </c>
      <c r="N118" s="12">
        <f t="shared" si="36"/>
        <v>44.533333339495584</v>
      </c>
      <c r="O118" s="12"/>
      <c r="P118" s="12"/>
      <c r="Q118" s="44"/>
      <c r="R118" s="44"/>
      <c r="S118" s="70">
        <f t="shared" si="39"/>
        <v>1</v>
      </c>
      <c r="T118" s="2" t="str">
        <f t="shared" si="42"/>
        <v>NorthBound</v>
      </c>
      <c r="U118" s="2">
        <f>COUNTIFS(Variables!$M$2:$M$19, "&gt;=" &amp; Y118, Variables!$M$2:$M$19, "&lt;=" &amp; Z118)</f>
        <v>12</v>
      </c>
      <c r="V11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16:54:05-0600',mode:absolute,to:'2016-06-23 17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 t="shared" si="44"/>
        <v>N</v>
      </c>
      <c r="X118" s="48">
        <f t="shared" si="45"/>
        <v>1</v>
      </c>
      <c r="Y118" s="48">
        <f t="shared" si="37"/>
        <v>4.6199999999999998E-2</v>
      </c>
      <c r="Z118" s="48">
        <f t="shared" si="38"/>
        <v>23.3324</v>
      </c>
      <c r="AA118" s="48">
        <f t="shared" si="46"/>
        <v>23.286200000000001</v>
      </c>
      <c r="AB118" s="49" t="e">
        <f>VLOOKUP(A118,Enforcements!$C$7:$J$73,8,0)</f>
        <v>#N/A</v>
      </c>
      <c r="AC118" s="49" t="e">
        <f>VLOOKUP(A118,Enforcements!$C$7:$E$73,3,0)</f>
        <v>#N/A</v>
      </c>
    </row>
    <row r="119" spans="1:29" s="2" customFormat="1" x14ac:dyDescent="0.25">
      <c r="A119" s="43" t="s">
        <v>320</v>
      </c>
      <c r="B119" s="43">
        <v>4019</v>
      </c>
      <c r="C119" s="43" t="s">
        <v>60</v>
      </c>
      <c r="D119" s="43" t="s">
        <v>191</v>
      </c>
      <c r="E119" s="25">
        <v>42544.743958333333</v>
      </c>
      <c r="F119" s="25">
        <v>42544.745312500003</v>
      </c>
      <c r="G119" s="31">
        <v>1</v>
      </c>
      <c r="H119" s="25" t="s">
        <v>465</v>
      </c>
      <c r="I119" s="25">
        <v>42544.774664351855</v>
      </c>
      <c r="J119" s="43">
        <v>0</v>
      </c>
      <c r="K119" s="43" t="str">
        <f t="shared" si="40"/>
        <v>4019/4020</v>
      </c>
      <c r="L119" s="43" t="str">
        <f>VLOOKUP(A119,'Trips&amp;Operators'!$C$1:$E$10000,3,FALSE)</f>
        <v>COOLAHAN</v>
      </c>
      <c r="M119" s="11">
        <f t="shared" si="41"/>
        <v>2.9351851851970423E-2</v>
      </c>
      <c r="N119" s="12">
        <f t="shared" si="36"/>
        <v>42.266666666837409</v>
      </c>
      <c r="O119" s="12"/>
      <c r="P119" s="12"/>
      <c r="Q119" s="44"/>
      <c r="R119" s="44"/>
      <c r="S119" s="70">
        <f t="shared" si="39"/>
        <v>1</v>
      </c>
      <c r="T119" s="2" t="str">
        <f t="shared" si="42"/>
        <v>Southbound</v>
      </c>
      <c r="U119" s="2">
        <f>COUNTIFS(Variables!$M$2:$M$19, "&lt;=" &amp; Y119, Variables!$M$2:$M$19, "&gt;=" &amp; Z119)</f>
        <v>12</v>
      </c>
      <c r="V11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17:50:18-0600',mode:absolute,to:'2016-06-23 18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 t="shared" si="44"/>
        <v>N</v>
      </c>
      <c r="X119" s="48">
        <f t="shared" si="45"/>
        <v>1</v>
      </c>
      <c r="Y119" s="48">
        <f t="shared" si="37"/>
        <v>23.3003</v>
      </c>
      <c r="Z119" s="48">
        <f t="shared" si="38"/>
        <v>4.3799999999999999E-2</v>
      </c>
      <c r="AA119" s="48">
        <f t="shared" si="46"/>
        <v>23.256499999999999</v>
      </c>
      <c r="AB119" s="49" t="e">
        <f>VLOOKUP(A119,Enforcements!$C$7:$J$73,8,0)</f>
        <v>#N/A</v>
      </c>
      <c r="AC119" s="49" t="e">
        <f>VLOOKUP(A119,Enforcements!$C$7:$E$73,3,0)</f>
        <v>#N/A</v>
      </c>
    </row>
    <row r="120" spans="1:29" s="2" customFormat="1" x14ac:dyDescent="0.25">
      <c r="A120" s="43" t="s">
        <v>317</v>
      </c>
      <c r="B120" s="43">
        <v>4007</v>
      </c>
      <c r="C120" s="43" t="s">
        <v>60</v>
      </c>
      <c r="D120" s="43" t="s">
        <v>164</v>
      </c>
      <c r="E120" s="25">
        <v>42544.719155092593</v>
      </c>
      <c r="F120" s="25">
        <v>42544.720648148148</v>
      </c>
      <c r="G120" s="31">
        <v>2</v>
      </c>
      <c r="H120" s="25" t="s">
        <v>127</v>
      </c>
      <c r="I120" s="25">
        <v>42544.751319444447</v>
      </c>
      <c r="J120" s="43">
        <v>0</v>
      </c>
      <c r="K120" s="43" t="str">
        <f t="shared" si="40"/>
        <v>4007/4008</v>
      </c>
      <c r="L120" s="43" t="str">
        <f>VLOOKUP(A120,'Trips&amp;Operators'!$C$1:$E$10000,3,FALSE)</f>
        <v>BRUDER</v>
      </c>
      <c r="M120" s="11">
        <f t="shared" si="41"/>
        <v>3.0671296299260575E-2</v>
      </c>
      <c r="N120" s="12">
        <f t="shared" si="36"/>
        <v>44.166666670935228</v>
      </c>
      <c r="O120" s="12"/>
      <c r="P120" s="12"/>
      <c r="Q120" s="44"/>
      <c r="R120" s="44"/>
      <c r="S120" s="70">
        <f t="shared" si="39"/>
        <v>1</v>
      </c>
      <c r="T120" s="2" t="str">
        <f t="shared" si="42"/>
        <v>NorthBound</v>
      </c>
      <c r="U120" s="2">
        <f>COUNTIFS(Variables!$M$2:$M$19, "&gt;=" &amp; Y120, Variables!$M$2:$M$19, "&lt;=" &amp; Z120)</f>
        <v>12</v>
      </c>
      <c r="V12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17:14:35-0600',mode:absolute,to:'2016-06-23 18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0" s="48" t="str">
        <f t="shared" si="44"/>
        <v>N</v>
      </c>
      <c r="X120" s="48">
        <f t="shared" si="45"/>
        <v>1</v>
      </c>
      <c r="Y120" s="48">
        <f t="shared" si="37"/>
        <v>4.4600000000000001E-2</v>
      </c>
      <c r="Z120" s="48">
        <f t="shared" si="38"/>
        <v>23.331399999999999</v>
      </c>
      <c r="AA120" s="48">
        <f t="shared" si="46"/>
        <v>23.286799999999999</v>
      </c>
      <c r="AB120" s="49" t="e">
        <f>VLOOKUP(A120,Enforcements!$C$7:$J$73,8,0)</f>
        <v>#N/A</v>
      </c>
      <c r="AC120" s="49" t="e">
        <f>VLOOKUP(A120,Enforcements!$C$7:$E$73,3,0)</f>
        <v>#N/A</v>
      </c>
    </row>
    <row r="121" spans="1:29" s="2" customFormat="1" x14ac:dyDescent="0.25">
      <c r="A121" s="43" t="s">
        <v>333</v>
      </c>
      <c r="B121" s="43">
        <v>4008</v>
      </c>
      <c r="C121" s="43" t="s">
        <v>60</v>
      </c>
      <c r="D121" s="43" t="s">
        <v>75</v>
      </c>
      <c r="E121" s="25">
        <v>42544.753888888888</v>
      </c>
      <c r="F121" s="25">
        <v>42544.755520833336</v>
      </c>
      <c r="G121" s="31">
        <v>2</v>
      </c>
      <c r="H121" s="25" t="s">
        <v>186</v>
      </c>
      <c r="I121" s="25">
        <v>42544.785555555558</v>
      </c>
      <c r="J121" s="43">
        <v>0</v>
      </c>
      <c r="K121" s="43" t="str">
        <f t="shared" si="40"/>
        <v>4007/4008</v>
      </c>
      <c r="L121" s="43" t="str">
        <f>VLOOKUP(A121,'Trips&amp;Operators'!$C$1:$E$10000,3,FALSE)</f>
        <v>BRUDER</v>
      </c>
      <c r="M121" s="11">
        <f t="shared" si="41"/>
        <v>3.0034722221898846E-2</v>
      </c>
      <c r="N121" s="12">
        <f t="shared" si="36"/>
        <v>43.249999999534339</v>
      </c>
      <c r="O121" s="12"/>
      <c r="P121" s="12"/>
      <c r="Q121" s="44"/>
      <c r="R121" s="44"/>
      <c r="S121" s="70">
        <f t="shared" si="39"/>
        <v>1</v>
      </c>
      <c r="T121" s="2" t="str">
        <f t="shared" si="42"/>
        <v>Southbound</v>
      </c>
      <c r="U121" s="2">
        <f>COUNTIFS(Variables!$M$2:$M$19, "&lt;=" &amp; Y121, Variables!$M$2:$M$19, "&gt;=" &amp; Z121)</f>
        <v>12</v>
      </c>
      <c r="V12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18:04:36-0600',mode:absolute,to:'2016-06-23 18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1" s="48" t="str">
        <f t="shared" si="44"/>
        <v>N</v>
      </c>
      <c r="X121" s="48">
        <f t="shared" si="45"/>
        <v>1</v>
      </c>
      <c r="Y121" s="48">
        <f t="shared" si="37"/>
        <v>23.299099999999999</v>
      </c>
      <c r="Z121" s="48">
        <f t="shared" si="38"/>
        <v>1.2999999999999999E-2</v>
      </c>
      <c r="AA121" s="48">
        <f t="shared" si="46"/>
        <v>23.286099999999998</v>
      </c>
      <c r="AB121" s="49" t="e">
        <f>VLOOKUP(A121,Enforcements!$C$7:$J$73,8,0)</f>
        <v>#N/A</v>
      </c>
      <c r="AC121" s="49" t="e">
        <f>VLOOKUP(A121,Enforcements!$C$7:$E$73,3,0)</f>
        <v>#N/A</v>
      </c>
    </row>
    <row r="122" spans="1:29" s="2" customFormat="1" x14ac:dyDescent="0.25">
      <c r="A122" s="43" t="s">
        <v>285</v>
      </c>
      <c r="B122" s="43">
        <v>4038</v>
      </c>
      <c r="C122" s="43" t="s">
        <v>60</v>
      </c>
      <c r="D122" s="43" t="s">
        <v>109</v>
      </c>
      <c r="E122" s="25">
        <v>42544.727800925924</v>
      </c>
      <c r="F122" s="25">
        <v>42544.729155092595</v>
      </c>
      <c r="G122" s="31">
        <v>1</v>
      </c>
      <c r="H122" s="25" t="s">
        <v>505</v>
      </c>
      <c r="I122" s="25">
        <v>42544.762303240743</v>
      </c>
      <c r="J122" s="43">
        <v>1</v>
      </c>
      <c r="K122" s="43" t="str">
        <f t="shared" si="40"/>
        <v>4037/4038</v>
      </c>
      <c r="L122" s="43" t="str">
        <f>VLOOKUP(A122,'Trips&amp;Operators'!$C$1:$E$10000,3,FALSE)</f>
        <v>YOUNG</v>
      </c>
      <c r="M122" s="11">
        <f t="shared" si="41"/>
        <v>3.3148148148029577E-2</v>
      </c>
      <c r="N122" s="12"/>
      <c r="O122" s="12"/>
      <c r="P122" s="12">
        <f>24*60*SUM($M122:$M122)</f>
        <v>47.733333333162591</v>
      </c>
      <c r="Q122" s="44"/>
      <c r="R122" s="44" t="s">
        <v>181</v>
      </c>
      <c r="S122" s="70">
        <f t="shared" si="39"/>
        <v>0.66666666666666663</v>
      </c>
      <c r="T122" s="2" t="str">
        <f t="shared" si="42"/>
        <v>NorthBound</v>
      </c>
      <c r="U122" s="2">
        <f>COUNTIFS(Variables!$M$2:$M$19, "&gt;=" &amp; Y122, Variables!$M$2:$M$19, "&lt;=" &amp; Z122)</f>
        <v>8</v>
      </c>
      <c r="V12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17:27:02-0600',mode:absolute,to:'2016-06-23 18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2" s="48" t="str">
        <f t="shared" si="44"/>
        <v>Y</v>
      </c>
      <c r="X122" s="48">
        <f t="shared" si="45"/>
        <v>1</v>
      </c>
      <c r="Y122" s="48">
        <f t="shared" si="37"/>
        <v>4.4699999999999997E-2</v>
      </c>
      <c r="Z122" s="48">
        <f t="shared" si="38"/>
        <v>6.3143000000000002</v>
      </c>
      <c r="AA122" s="48">
        <f t="shared" si="46"/>
        <v>6.2696000000000005</v>
      </c>
      <c r="AB122" s="49">
        <f>VLOOKUP(A122,Enforcements!$C$7:$J$73,8,0)</f>
        <v>14363</v>
      </c>
      <c r="AC122" s="49" t="str">
        <f>VLOOKUP(A122,Enforcements!$C$7:$E$73,3,0)</f>
        <v>SWITCH UNKNOWN</v>
      </c>
    </row>
    <row r="123" spans="1:29" s="2" customFormat="1" x14ac:dyDescent="0.25">
      <c r="A123" s="43" t="s">
        <v>288</v>
      </c>
      <c r="B123" s="43">
        <v>4042</v>
      </c>
      <c r="C123" s="43" t="s">
        <v>60</v>
      </c>
      <c r="D123" s="43" t="s">
        <v>166</v>
      </c>
      <c r="E123" s="25">
        <v>42544.74324074074</v>
      </c>
      <c r="F123" s="25">
        <v>42544.744641203702</v>
      </c>
      <c r="G123" s="31">
        <v>2</v>
      </c>
      <c r="H123" s="25" t="s">
        <v>506</v>
      </c>
      <c r="I123" s="25">
        <v>42544.776967592596</v>
      </c>
      <c r="J123" s="43">
        <v>1</v>
      </c>
      <c r="K123" s="43" t="str">
        <f t="shared" si="40"/>
        <v>4041/4042</v>
      </c>
      <c r="L123" s="43" t="str">
        <f>VLOOKUP(A123,'Trips&amp;Operators'!$C$1:$E$10000,3,FALSE)</f>
        <v>MAELZER</v>
      </c>
      <c r="M123" s="11">
        <f t="shared" si="41"/>
        <v>3.2326388893125113E-2</v>
      </c>
      <c r="N123" s="12">
        <f t="shared" ref="N123:N139" si="47">24*60*SUM($M123:$M123)</f>
        <v>46.550000006100163</v>
      </c>
      <c r="O123" s="12"/>
      <c r="P123" s="12"/>
      <c r="Q123" s="44"/>
      <c r="R123" s="44"/>
      <c r="S123" s="70">
        <f t="shared" si="39"/>
        <v>1</v>
      </c>
      <c r="T123" s="2" t="str">
        <f t="shared" si="42"/>
        <v>NorthBound</v>
      </c>
      <c r="U123" s="2">
        <f>COUNTIFS(Variables!$M$2:$M$19, "&gt;=" &amp; Y123, Variables!$M$2:$M$19, "&lt;=" &amp; Z123)</f>
        <v>12</v>
      </c>
      <c r="V12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17:49:16-0600',mode:absolute,to:'2016-06-23 18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3" s="48" t="str">
        <f t="shared" si="44"/>
        <v>N</v>
      </c>
      <c r="X123" s="48">
        <f t="shared" si="45"/>
        <v>2</v>
      </c>
      <c r="Y123" s="48">
        <f t="shared" si="37"/>
        <v>4.4200000000000003E-2</v>
      </c>
      <c r="Z123" s="48">
        <f t="shared" si="38"/>
        <v>23.328099999999999</v>
      </c>
      <c r="AA123" s="48">
        <f t="shared" si="46"/>
        <v>23.283899999999999</v>
      </c>
      <c r="AB123" s="49">
        <f>VLOOKUP(A123,Enforcements!$C$7:$J$73,8,0)</f>
        <v>68497</v>
      </c>
      <c r="AC123" s="49" t="str">
        <f>VLOOKUP(A123,Enforcements!$C$7:$E$73,3,0)</f>
        <v>PERMANENT SPEED RESTRICTION</v>
      </c>
    </row>
    <row r="124" spans="1:29" s="2" customFormat="1" x14ac:dyDescent="0.25">
      <c r="A124" s="43" t="s">
        <v>403</v>
      </c>
      <c r="B124" s="43">
        <v>4041</v>
      </c>
      <c r="C124" s="43" t="s">
        <v>60</v>
      </c>
      <c r="D124" s="43" t="s">
        <v>507</v>
      </c>
      <c r="E124" s="25">
        <v>42544.778124999997</v>
      </c>
      <c r="F124" s="25">
        <v>42544.779351851852</v>
      </c>
      <c r="G124" s="31">
        <v>1</v>
      </c>
      <c r="H124" s="25" t="s">
        <v>83</v>
      </c>
      <c r="I124" s="25">
        <v>42544.806909722225</v>
      </c>
      <c r="J124" s="43">
        <v>0</v>
      </c>
      <c r="K124" s="43" t="str">
        <f t="shared" si="40"/>
        <v>4041/4042</v>
      </c>
      <c r="L124" s="43" t="str">
        <f>VLOOKUP(A124,'Trips&amp;Operators'!$C$1:$E$10000,3,FALSE)</f>
        <v>MAELZER</v>
      </c>
      <c r="M124" s="11">
        <f t="shared" si="41"/>
        <v>2.7557870373129845E-2</v>
      </c>
      <c r="N124" s="12">
        <f t="shared" si="47"/>
        <v>39.683333337306976</v>
      </c>
      <c r="O124" s="12"/>
      <c r="P124" s="12"/>
      <c r="Q124" s="44"/>
      <c r="R124" s="44"/>
      <c r="S124" s="70">
        <f t="shared" si="39"/>
        <v>1</v>
      </c>
      <c r="T124" s="2" t="str">
        <f t="shared" si="42"/>
        <v>Southbound</v>
      </c>
      <c r="U124" s="2">
        <f>COUNTIFS(Variables!$M$2:$M$19, "&lt;=" &amp; Y124, Variables!$M$2:$M$19, "&gt;=" &amp; Z124)</f>
        <v>12</v>
      </c>
      <c r="V12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18:39:30-0600',mode:absolute,to:'2016-06-23 19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4" s="48" t="str">
        <f t="shared" si="44"/>
        <v>N</v>
      </c>
      <c r="X124" s="48">
        <f t="shared" si="45"/>
        <v>1</v>
      </c>
      <c r="Y124" s="48">
        <f t="shared" si="37"/>
        <v>23.296600000000002</v>
      </c>
      <c r="Z124" s="48">
        <f t="shared" si="38"/>
        <v>1.54E-2</v>
      </c>
      <c r="AA124" s="48">
        <f t="shared" si="46"/>
        <v>23.281200000000002</v>
      </c>
      <c r="AB124" s="49" t="e">
        <f>VLOOKUP(A124,Enforcements!$C$7:$J$73,8,0)</f>
        <v>#N/A</v>
      </c>
      <c r="AC124" s="49" t="e">
        <f>VLOOKUP(A124,Enforcements!$C$7:$E$73,3,0)</f>
        <v>#N/A</v>
      </c>
    </row>
    <row r="125" spans="1:29" s="2" customFormat="1" x14ac:dyDescent="0.25">
      <c r="A125" s="43" t="s">
        <v>321</v>
      </c>
      <c r="B125" s="43">
        <v>4009</v>
      </c>
      <c r="C125" s="43" t="s">
        <v>60</v>
      </c>
      <c r="D125" s="43" t="s">
        <v>93</v>
      </c>
      <c r="E125" s="25">
        <v>42544.753020833334</v>
      </c>
      <c r="F125" s="25">
        <v>42544.75409722222</v>
      </c>
      <c r="G125" s="31">
        <v>1</v>
      </c>
      <c r="H125" s="25" t="s">
        <v>91</v>
      </c>
      <c r="I125" s="25">
        <v>42544.787858796299</v>
      </c>
      <c r="J125" s="43">
        <v>0</v>
      </c>
      <c r="K125" s="43" t="str">
        <f t="shared" si="40"/>
        <v>4009/4010</v>
      </c>
      <c r="L125" s="43" t="str">
        <f>VLOOKUP(A125,'Trips&amp;Operators'!$C$1:$E$10000,3,FALSE)</f>
        <v>DE LA ROSA</v>
      </c>
      <c r="M125" s="11">
        <f t="shared" si="41"/>
        <v>3.3761574079107959E-2</v>
      </c>
      <c r="N125" s="12">
        <f t="shared" si="47"/>
        <v>48.616666673915461</v>
      </c>
      <c r="O125" s="12"/>
      <c r="P125" s="12"/>
      <c r="Q125" s="44"/>
      <c r="R125" s="44"/>
      <c r="S125" s="70">
        <f t="shared" si="39"/>
        <v>1</v>
      </c>
      <c r="T125" s="2" t="str">
        <f t="shared" si="42"/>
        <v>NorthBound</v>
      </c>
      <c r="U125" s="2">
        <f>COUNTIFS(Variables!$M$2:$M$19, "&gt;=" &amp; Y125, Variables!$M$2:$M$19, "&lt;=" &amp; Z125)</f>
        <v>12</v>
      </c>
      <c r="V12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18:03:21-0600',mode:absolute,to:'2016-06-23 18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5" s="48" t="str">
        <f t="shared" si="44"/>
        <v>N</v>
      </c>
      <c r="X125" s="48">
        <f t="shared" si="45"/>
        <v>1</v>
      </c>
      <c r="Y125" s="48">
        <f t="shared" si="37"/>
        <v>4.6399999999999997E-2</v>
      </c>
      <c r="Z125" s="48">
        <f t="shared" si="38"/>
        <v>23.331499999999998</v>
      </c>
      <c r="AA125" s="48">
        <f t="shared" si="46"/>
        <v>23.2851</v>
      </c>
      <c r="AB125" s="49" t="e">
        <f>VLOOKUP(A125,Enforcements!$C$7:$J$73,8,0)</f>
        <v>#N/A</v>
      </c>
      <c r="AC125" s="49" t="e">
        <f>VLOOKUP(A125,Enforcements!$C$7:$E$73,3,0)</f>
        <v>#N/A</v>
      </c>
    </row>
    <row r="126" spans="1:29" s="2" customFormat="1" x14ac:dyDescent="0.25">
      <c r="A126" s="43" t="s">
        <v>293</v>
      </c>
      <c r="B126" s="43">
        <v>4010</v>
      </c>
      <c r="C126" s="43" t="s">
        <v>60</v>
      </c>
      <c r="D126" s="43" t="s">
        <v>115</v>
      </c>
      <c r="E126" s="25">
        <v>42544.789050925923</v>
      </c>
      <c r="F126" s="25">
        <v>42544.789884259262</v>
      </c>
      <c r="G126" s="31">
        <v>1</v>
      </c>
      <c r="H126" s="25" t="s">
        <v>62</v>
      </c>
      <c r="I126" s="25">
        <v>42544.818298611113</v>
      </c>
      <c r="J126" s="43">
        <v>3</v>
      </c>
      <c r="K126" s="43" t="str">
        <f t="shared" si="40"/>
        <v>4009/4010</v>
      </c>
      <c r="L126" s="43" t="str">
        <f>VLOOKUP(A126,'Trips&amp;Operators'!$C$1:$E$10000,3,FALSE)</f>
        <v>DE LA ROSA</v>
      </c>
      <c r="M126" s="11">
        <f t="shared" si="41"/>
        <v>2.8414351851097308E-2</v>
      </c>
      <c r="N126" s="12">
        <f t="shared" si="47"/>
        <v>40.916666665580124</v>
      </c>
      <c r="O126" s="12"/>
      <c r="P126" s="12"/>
      <c r="Q126" s="44"/>
      <c r="R126" s="44"/>
      <c r="S126" s="70">
        <f t="shared" si="39"/>
        <v>1</v>
      </c>
      <c r="T126" s="2" t="str">
        <f t="shared" si="42"/>
        <v>Southbound</v>
      </c>
      <c r="U126" s="2">
        <f>COUNTIFS(Variables!$M$2:$M$19, "&lt;=" &amp; Y126, Variables!$M$2:$M$19, "&gt;=" &amp; Z126)</f>
        <v>12</v>
      </c>
      <c r="V12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6" s="48" t="str">
        <f t="shared" si="44"/>
        <v>N</v>
      </c>
      <c r="X126" s="48">
        <f t="shared" si="45"/>
        <v>1</v>
      </c>
      <c r="Y126" s="48">
        <f t="shared" si="37"/>
        <v>23.299800000000001</v>
      </c>
      <c r="Z126" s="48">
        <f t="shared" si="38"/>
        <v>1.52E-2</v>
      </c>
      <c r="AA126" s="48">
        <f t="shared" si="46"/>
        <v>23.284600000000001</v>
      </c>
      <c r="AB126" s="49">
        <f>VLOOKUP(A126,Enforcements!$C$7:$J$73,8,0)</f>
        <v>63309</v>
      </c>
      <c r="AC126" s="49" t="str">
        <f>VLOOKUP(A126,Enforcements!$C$7:$E$73,3,0)</f>
        <v>GRADE CROSSING</v>
      </c>
    </row>
    <row r="127" spans="1:29" s="2" customFormat="1" x14ac:dyDescent="0.25">
      <c r="A127" s="43" t="s">
        <v>323</v>
      </c>
      <c r="B127" s="43">
        <v>4018</v>
      </c>
      <c r="C127" s="43" t="s">
        <v>60</v>
      </c>
      <c r="D127" s="43" t="s">
        <v>118</v>
      </c>
      <c r="E127" s="25">
        <v>42544.763055555559</v>
      </c>
      <c r="F127" s="25">
        <v>42544.765115740738</v>
      </c>
      <c r="G127" s="31">
        <v>2</v>
      </c>
      <c r="H127" s="25" t="s">
        <v>84</v>
      </c>
      <c r="I127" s="25">
        <v>42544.794560185182</v>
      </c>
      <c r="J127" s="43">
        <v>0</v>
      </c>
      <c r="K127" s="43" t="str">
        <f t="shared" si="40"/>
        <v>4017/4018</v>
      </c>
      <c r="L127" s="43" t="str">
        <f>VLOOKUP(A127,'Trips&amp;Operators'!$C$1:$E$10000,3,FALSE)</f>
        <v>ADANE</v>
      </c>
      <c r="M127" s="11">
        <f t="shared" si="41"/>
        <v>2.9444444444379769E-2</v>
      </c>
      <c r="N127" s="12">
        <f t="shared" si="47"/>
        <v>42.399999999906868</v>
      </c>
      <c r="O127" s="12"/>
      <c r="P127" s="12"/>
      <c r="Q127" s="44"/>
      <c r="R127" s="44"/>
      <c r="S127" s="70">
        <f t="shared" si="39"/>
        <v>1</v>
      </c>
      <c r="T127" s="2" t="str">
        <f t="shared" si="42"/>
        <v>NorthBound</v>
      </c>
      <c r="U127" s="2">
        <f>COUNTIFS(Variables!$M$2:$M$19, "&gt;=" &amp; Y127, Variables!$M$2:$M$19, "&lt;=" &amp; Z127)</f>
        <v>12</v>
      </c>
      <c r="V12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18:17:48-0600',mode:absolute,to:'2016-06-23 19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7" s="48" t="str">
        <f t="shared" si="44"/>
        <v>N</v>
      </c>
      <c r="X127" s="48">
        <f t="shared" si="45"/>
        <v>1</v>
      </c>
      <c r="Y127" s="48">
        <f t="shared" si="37"/>
        <v>4.6899999999999997E-2</v>
      </c>
      <c r="Z127" s="48">
        <f t="shared" si="38"/>
        <v>23.330400000000001</v>
      </c>
      <c r="AA127" s="48">
        <f t="shared" si="46"/>
        <v>23.2835</v>
      </c>
      <c r="AB127" s="49" t="e">
        <f>VLOOKUP(A127,Enforcements!$C$7:$J$73,8,0)</f>
        <v>#N/A</v>
      </c>
      <c r="AC127" s="49" t="e">
        <f>VLOOKUP(A127,Enforcements!$C$7:$E$73,3,0)</f>
        <v>#N/A</v>
      </c>
    </row>
    <row r="128" spans="1:29" s="2" customFormat="1" x14ac:dyDescent="0.25">
      <c r="A128" s="43" t="s">
        <v>388</v>
      </c>
      <c r="B128" s="43">
        <v>4017</v>
      </c>
      <c r="C128" s="43" t="s">
        <v>60</v>
      </c>
      <c r="D128" s="43" t="s">
        <v>494</v>
      </c>
      <c r="E128" s="25">
        <v>42544.798472222225</v>
      </c>
      <c r="F128" s="25">
        <v>42544.799756944441</v>
      </c>
      <c r="G128" s="31">
        <v>1</v>
      </c>
      <c r="H128" s="25" t="s">
        <v>484</v>
      </c>
      <c r="I128" s="25">
        <v>42544.826631944445</v>
      </c>
      <c r="J128" s="43">
        <v>0</v>
      </c>
      <c r="K128" s="43" t="str">
        <f t="shared" si="40"/>
        <v>4017/4018</v>
      </c>
      <c r="L128" s="43" t="str">
        <f>VLOOKUP(A128,'Trips&amp;Operators'!$C$1:$E$10000,3,FALSE)</f>
        <v>ADANE</v>
      </c>
      <c r="M128" s="11">
        <f t="shared" si="41"/>
        <v>2.6875000003201421E-2</v>
      </c>
      <c r="N128" s="12">
        <f t="shared" si="47"/>
        <v>38.700000004610047</v>
      </c>
      <c r="O128" s="12"/>
      <c r="P128" s="12"/>
      <c r="Q128" s="44"/>
      <c r="R128" s="44"/>
      <c r="S128" s="70">
        <f t="shared" si="39"/>
        <v>1</v>
      </c>
      <c r="T128" s="2" t="str">
        <f t="shared" si="42"/>
        <v>Southbound</v>
      </c>
      <c r="U128" s="2">
        <f>COUNTIFS(Variables!$M$2:$M$19, "&lt;=" &amp; Y128, Variables!$M$2:$M$19, "&gt;=" &amp; Z128)</f>
        <v>12</v>
      </c>
      <c r="V12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19:08:48-0600',mode:absolute,to:'2016-06-23 19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8" s="48" t="str">
        <f t="shared" si="44"/>
        <v>N</v>
      </c>
      <c r="X128" s="48">
        <f t="shared" si="45"/>
        <v>1</v>
      </c>
      <c r="Y128" s="48">
        <f t="shared" si="37"/>
        <v>23.297599999999999</v>
      </c>
      <c r="Z128" s="48">
        <f t="shared" si="38"/>
        <v>1.32E-2</v>
      </c>
      <c r="AA128" s="48">
        <f t="shared" si="46"/>
        <v>23.284399999999998</v>
      </c>
      <c r="AB128" s="49" t="e">
        <f>VLOOKUP(A128,Enforcements!$C$7:$J$73,8,0)</f>
        <v>#N/A</v>
      </c>
      <c r="AC128" s="49" t="e">
        <f>VLOOKUP(A128,Enforcements!$C$7:$E$73,3,0)</f>
        <v>#N/A</v>
      </c>
    </row>
    <row r="129" spans="1:29" s="2" customFormat="1" x14ac:dyDescent="0.25">
      <c r="A129" s="43" t="s">
        <v>392</v>
      </c>
      <c r="B129" s="43">
        <v>4014</v>
      </c>
      <c r="C129" s="43" t="s">
        <v>60</v>
      </c>
      <c r="D129" s="43" t="s">
        <v>72</v>
      </c>
      <c r="E129" s="25">
        <v>42544.767766203702</v>
      </c>
      <c r="F129" s="25">
        <v>42544.768784722219</v>
      </c>
      <c r="G129" s="31">
        <v>1</v>
      </c>
      <c r="H129" s="25" t="s">
        <v>460</v>
      </c>
      <c r="I129" s="25">
        <v>42544.800462962965</v>
      </c>
      <c r="J129" s="43">
        <v>0</v>
      </c>
      <c r="K129" s="43" t="str">
        <f t="shared" si="40"/>
        <v>4013/4014</v>
      </c>
      <c r="L129" s="43" t="str">
        <f>VLOOKUP(A129,'Trips&amp;Operators'!$C$1:$E$10000,3,FALSE)</f>
        <v>MOSES</v>
      </c>
      <c r="M129" s="11">
        <f t="shared" si="41"/>
        <v>3.1678240746259689E-2</v>
      </c>
      <c r="N129" s="12">
        <f t="shared" si="47"/>
        <v>45.616666674613953</v>
      </c>
      <c r="O129" s="12"/>
      <c r="P129" s="12"/>
      <c r="Q129" s="44"/>
      <c r="R129" s="44"/>
      <c r="S129" s="70">
        <f t="shared" si="39"/>
        <v>1</v>
      </c>
      <c r="T129" s="2" t="str">
        <f t="shared" si="42"/>
        <v>NorthBound</v>
      </c>
      <c r="U129" s="2">
        <f>COUNTIFS(Variables!$M$2:$M$19, "&gt;=" &amp; Y129, Variables!$M$2:$M$19, "&lt;=" &amp; Z129)</f>
        <v>12</v>
      </c>
      <c r="V12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18:24:35-0600',mode:absolute,to:'2016-06-23 19:13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9" s="48" t="str">
        <f t="shared" si="44"/>
        <v>N</v>
      </c>
      <c r="X129" s="48">
        <f t="shared" si="45"/>
        <v>1</v>
      </c>
      <c r="Y129" s="48">
        <f t="shared" si="37"/>
        <v>4.6199999999999998E-2</v>
      </c>
      <c r="Z129" s="48">
        <f t="shared" si="38"/>
        <v>23.3293</v>
      </c>
      <c r="AA129" s="48">
        <f t="shared" si="46"/>
        <v>23.283100000000001</v>
      </c>
      <c r="AB129" s="49" t="e">
        <f>VLOOKUP(A129,Enforcements!$C$7:$J$73,8,0)</f>
        <v>#N/A</v>
      </c>
      <c r="AC129" s="49" t="e">
        <f>VLOOKUP(A129,Enforcements!$C$7:$E$73,3,0)</f>
        <v>#N/A</v>
      </c>
    </row>
    <row r="130" spans="1:29" s="2" customFormat="1" x14ac:dyDescent="0.25">
      <c r="A130" s="43" t="s">
        <v>294</v>
      </c>
      <c r="B130" s="43">
        <v>4013</v>
      </c>
      <c r="C130" s="43" t="s">
        <v>60</v>
      </c>
      <c r="D130" s="43" t="s">
        <v>508</v>
      </c>
      <c r="E130" s="25">
        <v>42544.807175925926</v>
      </c>
      <c r="F130" s="25">
        <v>42544.808564814812</v>
      </c>
      <c r="G130" s="31">
        <v>2</v>
      </c>
      <c r="H130" s="25" t="s">
        <v>83</v>
      </c>
      <c r="I130" s="25">
        <v>42544.837222222224</v>
      </c>
      <c r="J130" s="43">
        <v>1</v>
      </c>
      <c r="K130" s="43" t="str">
        <f t="shared" si="40"/>
        <v>4013/4014</v>
      </c>
      <c r="L130" s="43" t="str">
        <f>VLOOKUP(A130,'Trips&amp;Operators'!$C$1:$E$10000,3,FALSE)</f>
        <v>MOSES</v>
      </c>
      <c r="M130" s="11">
        <f t="shared" si="41"/>
        <v>2.8657407412538305E-2</v>
      </c>
      <c r="N130" s="12">
        <f t="shared" si="47"/>
        <v>41.266666674055159</v>
      </c>
      <c r="O130" s="12"/>
      <c r="P130" s="12"/>
      <c r="Q130" s="44"/>
      <c r="R130" s="44"/>
      <c r="S130" s="70">
        <f t="shared" si="39"/>
        <v>1</v>
      </c>
      <c r="T130" s="2" t="str">
        <f t="shared" si="42"/>
        <v>Southbound</v>
      </c>
      <c r="U130" s="2">
        <f>COUNTIFS(Variables!$M$2:$M$19, "&lt;=" &amp; Y130, Variables!$M$2:$M$19, "&gt;=" &amp; Z130)</f>
        <v>12</v>
      </c>
      <c r="V13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19:21:20-0600',mode:absolute,to:'2016-06-23 20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0" s="48" t="str">
        <f t="shared" si="44"/>
        <v>N</v>
      </c>
      <c r="X130" s="48">
        <f t="shared" si="45"/>
        <v>1</v>
      </c>
      <c r="Y130" s="48">
        <f t="shared" si="37"/>
        <v>23.2959</v>
      </c>
      <c r="Z130" s="48">
        <f t="shared" si="38"/>
        <v>1.54E-2</v>
      </c>
      <c r="AA130" s="48">
        <f t="shared" si="46"/>
        <v>23.2805</v>
      </c>
      <c r="AB130" s="49">
        <f>VLOOKUP(A130,Enforcements!$C$7:$J$73,8,0)</f>
        <v>138851</v>
      </c>
      <c r="AC130" s="49" t="str">
        <f>VLOOKUP(A130,Enforcements!$C$7:$E$73,3,0)</f>
        <v>SIGNAL</v>
      </c>
    </row>
    <row r="131" spans="1:29" s="2" customFormat="1" x14ac:dyDescent="0.25">
      <c r="A131" s="43" t="s">
        <v>402</v>
      </c>
      <c r="B131" s="43">
        <v>4007</v>
      </c>
      <c r="C131" s="43" t="s">
        <v>60</v>
      </c>
      <c r="D131" s="43" t="s">
        <v>168</v>
      </c>
      <c r="E131" s="25">
        <v>42544.787245370368</v>
      </c>
      <c r="F131" s="25">
        <v>42544.788275462961</v>
      </c>
      <c r="G131" s="31">
        <v>1</v>
      </c>
      <c r="H131" s="25" t="s">
        <v>91</v>
      </c>
      <c r="I131" s="25">
        <v>42544.81927083333</v>
      </c>
      <c r="J131" s="43">
        <v>0</v>
      </c>
      <c r="K131" s="43" t="str">
        <f t="shared" si="40"/>
        <v>4007/4008</v>
      </c>
      <c r="L131" s="43" t="str">
        <f>VLOOKUP(A131,'Trips&amp;Operators'!$C$1:$E$10000,3,FALSE)</f>
        <v>BRUDER</v>
      </c>
      <c r="M131" s="11">
        <f t="shared" si="41"/>
        <v>3.0995370369055308E-2</v>
      </c>
      <c r="N131" s="12">
        <f t="shared" si="47"/>
        <v>44.633333331439644</v>
      </c>
      <c r="O131" s="12"/>
      <c r="P131" s="12"/>
      <c r="Q131" s="44"/>
      <c r="R131" s="44"/>
      <c r="S131" s="70">
        <f t="shared" si="39"/>
        <v>1</v>
      </c>
      <c r="T131" s="2" t="str">
        <f t="shared" si="42"/>
        <v>NorthBound</v>
      </c>
      <c r="U131" s="2">
        <f>COUNTIFS(Variables!$M$2:$M$19, "&gt;=" &amp; Y131, Variables!$M$2:$M$19, "&lt;=" &amp; Z131)</f>
        <v>12</v>
      </c>
      <c r="V13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18:52:38-0600',mode:absolute,to:'2016-06-23 19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1" s="48" t="str">
        <f t="shared" si="44"/>
        <v>N</v>
      </c>
      <c r="X131" s="48">
        <f t="shared" si="45"/>
        <v>1</v>
      </c>
      <c r="Y131" s="48">
        <f t="shared" si="37"/>
        <v>4.7300000000000002E-2</v>
      </c>
      <c r="Z131" s="48">
        <f t="shared" si="38"/>
        <v>23.331499999999998</v>
      </c>
      <c r="AA131" s="48">
        <f t="shared" si="46"/>
        <v>23.284199999999998</v>
      </c>
      <c r="AB131" s="49" t="e">
        <f>VLOOKUP(A131,Enforcements!$C$7:$J$73,8,0)</f>
        <v>#N/A</v>
      </c>
      <c r="AC131" s="49" t="e">
        <f>VLOOKUP(A131,Enforcements!$C$7:$E$73,3,0)</f>
        <v>#N/A</v>
      </c>
    </row>
    <row r="132" spans="1:29" s="2" customFormat="1" x14ac:dyDescent="0.25">
      <c r="A132" s="43" t="s">
        <v>296</v>
      </c>
      <c r="B132" s="43">
        <v>4008</v>
      </c>
      <c r="C132" s="43" t="s">
        <v>60</v>
      </c>
      <c r="D132" s="43" t="s">
        <v>132</v>
      </c>
      <c r="E132" s="25">
        <v>42544.825833333336</v>
      </c>
      <c r="F132" s="25">
        <v>42544.826736111114</v>
      </c>
      <c r="G132" s="31">
        <v>1</v>
      </c>
      <c r="H132" s="25" t="s">
        <v>110</v>
      </c>
      <c r="I132" s="25">
        <v>42544.857951388891</v>
      </c>
      <c r="J132" s="43">
        <v>1</v>
      </c>
      <c r="K132" s="43" t="str">
        <f t="shared" si="40"/>
        <v>4007/4008</v>
      </c>
      <c r="L132" s="43" t="str">
        <f>VLOOKUP(A132,'Trips&amp;Operators'!$C$1:$E$10000,3,FALSE)</f>
        <v>BRUDER</v>
      </c>
      <c r="M132" s="11">
        <f t="shared" si="41"/>
        <v>3.1215277776937E-2</v>
      </c>
      <c r="N132" s="12">
        <f t="shared" si="47"/>
        <v>44.949999998789281</v>
      </c>
      <c r="O132" s="12"/>
      <c r="P132" s="12"/>
      <c r="Q132" s="44"/>
      <c r="R132" s="44"/>
      <c r="S132" s="70">
        <f t="shared" si="39"/>
        <v>1</v>
      </c>
      <c r="T132" s="2" t="str">
        <f t="shared" si="42"/>
        <v>Southbound</v>
      </c>
      <c r="U132" s="2">
        <f>COUNTIFS(Variables!$M$2:$M$19, "&lt;=" &amp; Y132, Variables!$M$2:$M$19, "&gt;=" &amp; Z132)</f>
        <v>12</v>
      </c>
      <c r="V13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19:48:12-0600',mode:absolute,to:'2016-06-23 20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2" s="48" t="str">
        <f t="shared" si="44"/>
        <v>N</v>
      </c>
      <c r="X132" s="48">
        <f t="shared" si="45"/>
        <v>1</v>
      </c>
      <c r="Y132" s="48">
        <f t="shared" si="37"/>
        <v>23.298300000000001</v>
      </c>
      <c r="Z132" s="48">
        <f t="shared" si="38"/>
        <v>1.5800000000000002E-2</v>
      </c>
      <c r="AA132" s="48">
        <f t="shared" si="46"/>
        <v>23.282500000000002</v>
      </c>
      <c r="AB132" s="49">
        <f>VLOOKUP(A132,Enforcements!$C$7:$J$73,8,0)</f>
        <v>1</v>
      </c>
      <c r="AC132" s="49" t="str">
        <f>VLOOKUP(A132,Enforcements!$C$7:$E$73,3,0)</f>
        <v>TRACK WARRANT AUTHORITY</v>
      </c>
    </row>
    <row r="133" spans="1:29" s="2" customFormat="1" x14ac:dyDescent="0.25">
      <c r="A133" s="43" t="s">
        <v>420</v>
      </c>
      <c r="B133" s="43">
        <v>4042</v>
      </c>
      <c r="C133" s="43" t="s">
        <v>60</v>
      </c>
      <c r="D133" s="43" t="s">
        <v>122</v>
      </c>
      <c r="E133" s="25">
        <v>42544.809062499997</v>
      </c>
      <c r="F133" s="25">
        <v>42544.810497685183</v>
      </c>
      <c r="G133" s="31">
        <v>2</v>
      </c>
      <c r="H133" s="25" t="s">
        <v>481</v>
      </c>
      <c r="I133" s="25">
        <v>42544.839513888888</v>
      </c>
      <c r="J133" s="43">
        <v>0</v>
      </c>
      <c r="K133" s="43" t="str">
        <f t="shared" si="40"/>
        <v>4041/4042</v>
      </c>
      <c r="L133" s="43" t="str">
        <f>VLOOKUP(A133,'Trips&amp;Operators'!$C$1:$E$10000,3,FALSE)</f>
        <v>MAELZER</v>
      </c>
      <c r="M133" s="11">
        <f t="shared" si="41"/>
        <v>2.9016203705396038E-2</v>
      </c>
      <c r="N133" s="12">
        <f t="shared" si="47"/>
        <v>41.783333335770294</v>
      </c>
      <c r="O133" s="12"/>
      <c r="P133" s="12"/>
      <c r="Q133" s="44"/>
      <c r="R133" s="44"/>
      <c r="S133" s="70">
        <f t="shared" si="39"/>
        <v>1</v>
      </c>
      <c r="T133" s="2" t="str">
        <f t="shared" si="42"/>
        <v>NorthBound</v>
      </c>
      <c r="U133" s="2">
        <f>COUNTIFS(Variables!$M$2:$M$19, "&gt;=" &amp; Y133, Variables!$M$2:$M$19, "&lt;=" &amp; Z133)</f>
        <v>12</v>
      </c>
      <c r="V13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19:24:03-0600',mode:absolute,to:'2016-06-23 20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3" s="48" t="str">
        <f t="shared" si="44"/>
        <v>N</v>
      </c>
      <c r="X133" s="48">
        <f t="shared" si="45"/>
        <v>1</v>
      </c>
      <c r="Y133" s="48">
        <f t="shared" si="37"/>
        <v>4.5499999999999999E-2</v>
      </c>
      <c r="Z133" s="48">
        <f t="shared" si="38"/>
        <v>23.328299999999999</v>
      </c>
      <c r="AA133" s="48">
        <f t="shared" si="46"/>
        <v>23.282799999999998</v>
      </c>
      <c r="AB133" s="49" t="e">
        <f>VLOOKUP(A133,Enforcements!$C$7:$J$73,8,0)</f>
        <v>#N/A</v>
      </c>
      <c r="AC133" s="49" t="e">
        <f>VLOOKUP(A133,Enforcements!$C$7:$E$73,3,0)</f>
        <v>#N/A</v>
      </c>
    </row>
    <row r="134" spans="1:29" s="2" customFormat="1" x14ac:dyDescent="0.25">
      <c r="A134" s="43" t="s">
        <v>297</v>
      </c>
      <c r="B134" s="43">
        <v>4041</v>
      </c>
      <c r="C134" s="43" t="s">
        <v>60</v>
      </c>
      <c r="D134" s="43" t="s">
        <v>467</v>
      </c>
      <c r="E134" s="25">
        <v>42544.845694444448</v>
      </c>
      <c r="F134" s="25">
        <v>42544.846828703703</v>
      </c>
      <c r="G134" s="31">
        <v>1</v>
      </c>
      <c r="H134" s="25" t="s">
        <v>509</v>
      </c>
      <c r="I134" s="25">
        <v>42544.87972222222</v>
      </c>
      <c r="J134" s="43">
        <v>1</v>
      </c>
      <c r="K134" s="43" t="str">
        <f t="shared" si="40"/>
        <v>4041/4042</v>
      </c>
      <c r="L134" s="43" t="str">
        <f>VLOOKUP(A134,'Trips&amp;Operators'!$C$1:$E$10000,3,FALSE)</f>
        <v>MAELZER</v>
      </c>
      <c r="M134" s="11">
        <f t="shared" si="41"/>
        <v>3.2893518517084885E-2</v>
      </c>
      <c r="N134" s="12">
        <f t="shared" si="47"/>
        <v>47.366666664602235</v>
      </c>
      <c r="O134" s="12"/>
      <c r="P134" s="12"/>
      <c r="Q134" s="44"/>
      <c r="R134" s="44"/>
      <c r="S134" s="70">
        <f t="shared" si="39"/>
        <v>1</v>
      </c>
      <c r="T134" s="2" t="str">
        <f t="shared" si="42"/>
        <v>Southbound</v>
      </c>
      <c r="U134" s="2">
        <f>COUNTIFS(Variables!$M$2:$M$19, "&lt;=" &amp; Y134, Variables!$M$2:$M$19, "&gt;=" &amp; Z134)</f>
        <v>12</v>
      </c>
      <c r="V13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20:16:48-0600',mode:absolute,to:'2016-06-23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4" s="48" t="str">
        <f t="shared" si="44"/>
        <v>N</v>
      </c>
      <c r="X134" s="48">
        <f t="shared" si="45"/>
        <v>1</v>
      </c>
      <c r="Y134" s="48">
        <f t="shared" si="37"/>
        <v>23.2972</v>
      </c>
      <c r="Z134" s="48">
        <f t="shared" si="38"/>
        <v>1.8100000000000002E-2</v>
      </c>
      <c r="AA134" s="48">
        <f t="shared" si="46"/>
        <v>23.2791</v>
      </c>
      <c r="AB134" s="49">
        <f>VLOOKUP(A134,Enforcements!$C$7:$J$73,8,0)</f>
        <v>1</v>
      </c>
      <c r="AC134" s="49" t="str">
        <f>VLOOKUP(A134,Enforcements!$C$7:$E$73,3,0)</f>
        <v>TRACK WARRANT AUTHORITY</v>
      </c>
    </row>
    <row r="135" spans="1:29" s="2" customFormat="1" x14ac:dyDescent="0.25">
      <c r="A135" s="43" t="s">
        <v>349</v>
      </c>
      <c r="B135" s="43">
        <v>4018</v>
      </c>
      <c r="C135" s="43" t="s">
        <v>60</v>
      </c>
      <c r="D135" s="43" t="s">
        <v>133</v>
      </c>
      <c r="E135" s="25">
        <v>42544.830405092594</v>
      </c>
      <c r="F135" s="25">
        <v>42544.831296296295</v>
      </c>
      <c r="G135" s="31">
        <v>1</v>
      </c>
      <c r="H135" s="25" t="s">
        <v>202</v>
      </c>
      <c r="I135" s="25">
        <v>42544.858356481483</v>
      </c>
      <c r="J135" s="43">
        <v>0</v>
      </c>
      <c r="K135" s="43" t="str">
        <f t="shared" si="40"/>
        <v>4017/4018</v>
      </c>
      <c r="L135" s="43" t="str">
        <f>VLOOKUP(A135,'Trips&amp;Operators'!$C$1:$E$10000,3,FALSE)</f>
        <v>ADANE</v>
      </c>
      <c r="M135" s="11">
        <f t="shared" si="41"/>
        <v>2.7060185188020114E-2</v>
      </c>
      <c r="N135" s="12">
        <f t="shared" si="47"/>
        <v>38.966666670748964</v>
      </c>
      <c r="O135" s="12"/>
      <c r="P135" s="12"/>
      <c r="Q135" s="44"/>
      <c r="R135" s="44"/>
      <c r="S135" s="70">
        <f t="shared" si="39"/>
        <v>1</v>
      </c>
      <c r="T135" s="2" t="str">
        <f t="shared" si="42"/>
        <v>NorthBound</v>
      </c>
      <c r="U135" s="2">
        <f>COUNTIFS(Variables!$M$2:$M$19, "&gt;=" &amp; Y135, Variables!$M$2:$M$19, "&lt;=" &amp; Z135)</f>
        <v>12</v>
      </c>
      <c r="V13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19:54:47-0600',mode:absolute,to:'2016-06-23 20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5" s="48" t="str">
        <f t="shared" si="44"/>
        <v>N</v>
      </c>
      <c r="X135" s="48">
        <f t="shared" si="45"/>
        <v>1</v>
      </c>
      <c r="Y135" s="48">
        <f t="shared" si="37"/>
        <v>4.3099999999999999E-2</v>
      </c>
      <c r="Z135" s="48">
        <f t="shared" si="38"/>
        <v>23.330200000000001</v>
      </c>
      <c r="AA135" s="48">
        <f t="shared" si="46"/>
        <v>23.287100000000002</v>
      </c>
      <c r="AB135" s="49" t="e">
        <f>VLOOKUP(A135,Enforcements!$C$7:$J$73,8,0)</f>
        <v>#N/A</v>
      </c>
      <c r="AC135" s="49" t="e">
        <f>VLOOKUP(A135,Enforcements!$C$7:$E$73,3,0)</f>
        <v>#N/A</v>
      </c>
    </row>
    <row r="136" spans="1:29" s="2" customFormat="1" x14ac:dyDescent="0.25">
      <c r="A136" s="43" t="s">
        <v>342</v>
      </c>
      <c r="B136" s="43">
        <v>4017</v>
      </c>
      <c r="C136" s="43" t="s">
        <v>60</v>
      </c>
      <c r="D136" s="43" t="s">
        <v>132</v>
      </c>
      <c r="E136" s="25">
        <v>42544.868530092594</v>
      </c>
      <c r="F136" s="25">
        <v>42544.869652777779</v>
      </c>
      <c r="G136" s="31">
        <v>1</v>
      </c>
      <c r="H136" s="25" t="s">
        <v>67</v>
      </c>
      <c r="I136" s="25">
        <v>42544.89806712963</v>
      </c>
      <c r="J136" s="43">
        <v>0</v>
      </c>
      <c r="K136" s="43" t="str">
        <f t="shared" si="40"/>
        <v>4017/4018</v>
      </c>
      <c r="L136" s="43" t="str">
        <f>VLOOKUP(A136,'Trips&amp;Operators'!$C$1:$E$10000,3,FALSE)</f>
        <v>ADANE</v>
      </c>
      <c r="M136" s="11">
        <f t="shared" si="41"/>
        <v>2.8414351851097308E-2</v>
      </c>
      <c r="N136" s="12">
        <f t="shared" si="47"/>
        <v>40.916666665580124</v>
      </c>
      <c r="O136" s="12"/>
      <c r="P136" s="12"/>
      <c r="Q136" s="44"/>
      <c r="R136" s="44"/>
      <c r="S136" s="70">
        <f t="shared" ref="S136:S154" si="48">SUM(U136:U136)/12</f>
        <v>1</v>
      </c>
      <c r="T136" s="2" t="str">
        <f t="shared" si="42"/>
        <v>Southbound</v>
      </c>
      <c r="U136" s="2">
        <f>COUNTIFS(Variables!$M$2:$M$19, "&lt;=" &amp; Y136, Variables!$M$2:$M$19, "&gt;=" &amp; Z136)</f>
        <v>12</v>
      </c>
      <c r="V13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20:49:41-0600',mode:absolute,to:'2016-06-23 21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48" t="str">
        <f t="shared" si="44"/>
        <v>N</v>
      </c>
      <c r="X136" s="48">
        <f t="shared" si="45"/>
        <v>1</v>
      </c>
      <c r="Y136" s="48">
        <f t="shared" si="37"/>
        <v>23.298300000000001</v>
      </c>
      <c r="Z136" s="48">
        <f t="shared" si="38"/>
        <v>1.47E-2</v>
      </c>
      <c r="AA136" s="48">
        <f t="shared" si="46"/>
        <v>23.2836</v>
      </c>
      <c r="AB136" s="49" t="e">
        <f>VLOOKUP(A136,Enforcements!$C$7:$J$73,8,0)</f>
        <v>#N/A</v>
      </c>
      <c r="AC136" s="49" t="e">
        <f>VLOOKUP(A136,Enforcements!$C$7:$E$73,3,0)</f>
        <v>#N/A</v>
      </c>
    </row>
    <row r="137" spans="1:29" s="2" customFormat="1" x14ac:dyDescent="0.25">
      <c r="A137" s="43" t="s">
        <v>361</v>
      </c>
      <c r="B137" s="43">
        <v>4014</v>
      </c>
      <c r="C137" s="43" t="s">
        <v>60</v>
      </c>
      <c r="D137" s="43" t="s">
        <v>93</v>
      </c>
      <c r="E137" s="25">
        <v>42544.849965277775</v>
      </c>
      <c r="F137" s="25">
        <v>42544.850891203707</v>
      </c>
      <c r="G137" s="31">
        <v>1</v>
      </c>
      <c r="H137" s="25" t="s">
        <v>108</v>
      </c>
      <c r="I137" s="25">
        <v>42544.879826388889</v>
      </c>
      <c r="J137" s="43">
        <v>0</v>
      </c>
      <c r="K137" s="43" t="str">
        <f t="shared" si="40"/>
        <v>4013/4014</v>
      </c>
      <c r="L137" s="43" t="str">
        <f>VLOOKUP(A137,'Trips&amp;Operators'!$C$1:$E$10000,3,FALSE)</f>
        <v>MOSES</v>
      </c>
      <c r="M137" s="11">
        <f t="shared" si="41"/>
        <v>2.8935185182490386E-2</v>
      </c>
      <c r="N137" s="12">
        <f t="shared" si="47"/>
        <v>41.666666662786156</v>
      </c>
      <c r="O137" s="12"/>
      <c r="P137" s="12"/>
      <c r="Q137" s="44"/>
      <c r="R137" s="44"/>
      <c r="S137" s="70">
        <f t="shared" si="48"/>
        <v>1</v>
      </c>
      <c r="T137" s="2" t="str">
        <f t="shared" si="42"/>
        <v>NorthBound</v>
      </c>
      <c r="U137" s="2">
        <f>COUNTIFS(Variables!$M$2:$M$19, "&gt;=" &amp; Y137, Variables!$M$2:$M$19, "&lt;=" &amp; Z137)</f>
        <v>12</v>
      </c>
      <c r="V13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20:22:57-0600',mode:absolute,to:'2016-06-23 21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7" s="48" t="str">
        <f t="shared" si="44"/>
        <v>N</v>
      </c>
      <c r="X137" s="48">
        <f t="shared" si="45"/>
        <v>1</v>
      </c>
      <c r="Y137" s="48">
        <f t="shared" si="37"/>
        <v>4.6399999999999997E-2</v>
      </c>
      <c r="Z137" s="48">
        <f t="shared" si="38"/>
        <v>23.329499999999999</v>
      </c>
      <c r="AA137" s="48">
        <f t="shared" si="46"/>
        <v>23.283100000000001</v>
      </c>
      <c r="AB137" s="49" t="e">
        <f>VLOOKUP(A137,Enforcements!$C$7:$J$73,8,0)</f>
        <v>#N/A</v>
      </c>
      <c r="AC137" s="49" t="e">
        <f>VLOOKUP(A137,Enforcements!$C$7:$E$73,3,0)</f>
        <v>#N/A</v>
      </c>
    </row>
    <row r="138" spans="1:29" s="2" customFormat="1" x14ac:dyDescent="0.25">
      <c r="A138" s="43" t="s">
        <v>298</v>
      </c>
      <c r="B138" s="43">
        <v>4013</v>
      </c>
      <c r="C138" s="43" t="s">
        <v>60</v>
      </c>
      <c r="D138" s="43" t="s">
        <v>467</v>
      </c>
      <c r="E138" s="25">
        <v>42544.890462962961</v>
      </c>
      <c r="F138" s="25">
        <v>42544.891145833331</v>
      </c>
      <c r="G138" s="31">
        <v>0</v>
      </c>
      <c r="H138" s="25" t="s">
        <v>76</v>
      </c>
      <c r="I138" s="25">
        <v>42544.919814814813</v>
      </c>
      <c r="J138" s="43">
        <v>1</v>
      </c>
      <c r="K138" s="43" t="str">
        <f t="shared" si="40"/>
        <v>4013/4014</v>
      </c>
      <c r="L138" s="43" t="str">
        <f>VLOOKUP(A138,'Trips&amp;Operators'!$C$1:$E$10000,3,FALSE)</f>
        <v>MOSES</v>
      </c>
      <c r="M138" s="11">
        <f t="shared" si="41"/>
        <v>2.8668981482042E-2</v>
      </c>
      <c r="N138" s="12">
        <f t="shared" si="47"/>
        <v>41.28333333414048</v>
      </c>
      <c r="O138" s="12"/>
      <c r="P138" s="12"/>
      <c r="Q138" s="44"/>
      <c r="R138" s="44"/>
      <c r="S138" s="70">
        <f t="shared" si="48"/>
        <v>1</v>
      </c>
      <c r="T138" s="2" t="str">
        <f t="shared" si="42"/>
        <v>Southbound</v>
      </c>
      <c r="U138" s="2">
        <f>COUNTIFS(Variables!$M$2:$M$19, "&lt;=" &amp; Y138, Variables!$M$2:$M$19, "&gt;=" &amp; Z138)</f>
        <v>12</v>
      </c>
      <c r="V13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21:21:16-0600',mode:absolute,to:'2016-06-23 22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8" s="48" t="str">
        <f t="shared" si="44"/>
        <v>N</v>
      </c>
      <c r="X138" s="48">
        <f t="shared" si="45"/>
        <v>1</v>
      </c>
      <c r="Y138" s="48">
        <f t="shared" si="37"/>
        <v>23.2972</v>
      </c>
      <c r="Z138" s="48">
        <f t="shared" si="38"/>
        <v>1.41E-2</v>
      </c>
      <c r="AA138" s="48">
        <f t="shared" si="46"/>
        <v>23.283100000000001</v>
      </c>
      <c r="AB138" s="49">
        <f>VLOOKUP(A138,Enforcements!$C$7:$J$73,8,0)</f>
        <v>231650</v>
      </c>
      <c r="AC138" s="49" t="str">
        <f>VLOOKUP(A138,Enforcements!$C$7:$E$73,3,0)</f>
        <v>SWITCH UNKNOWN</v>
      </c>
    </row>
    <row r="139" spans="1:29" s="2" customFormat="1" x14ac:dyDescent="0.25">
      <c r="A139" s="43" t="s">
        <v>363</v>
      </c>
      <c r="B139" s="43">
        <v>4007</v>
      </c>
      <c r="C139" s="43" t="s">
        <v>60</v>
      </c>
      <c r="D139" s="43" t="s">
        <v>74</v>
      </c>
      <c r="E139" s="25">
        <v>42544.867418981485</v>
      </c>
      <c r="F139" s="25">
        <v>42544.868263888886</v>
      </c>
      <c r="G139" s="31">
        <v>1</v>
      </c>
      <c r="H139" s="25" t="s">
        <v>127</v>
      </c>
      <c r="I139" s="25">
        <v>42544.901354166665</v>
      </c>
      <c r="J139" s="43">
        <v>0</v>
      </c>
      <c r="K139" s="43" t="str">
        <f t="shared" si="40"/>
        <v>4007/4008</v>
      </c>
      <c r="L139" s="43" t="str">
        <f>VLOOKUP(A139,'Trips&amp;Operators'!$C$1:$E$10000,3,FALSE)</f>
        <v>BRUDER</v>
      </c>
      <c r="M139" s="11">
        <f t="shared" si="41"/>
        <v>3.309027777868323E-2</v>
      </c>
      <c r="N139" s="12">
        <f t="shared" si="47"/>
        <v>47.650000001303852</v>
      </c>
      <c r="O139" s="12"/>
      <c r="P139" s="12"/>
      <c r="Q139" s="44"/>
      <c r="R139" s="44"/>
      <c r="S139" s="70">
        <f t="shared" si="48"/>
        <v>1</v>
      </c>
      <c r="T139" s="2" t="str">
        <f t="shared" si="42"/>
        <v>NorthBound</v>
      </c>
      <c r="U139" s="2">
        <f>COUNTIFS(Variables!$M$2:$M$19, "&gt;=" &amp; Y139, Variables!$M$2:$M$19, "&lt;=" &amp; Z139)</f>
        <v>12</v>
      </c>
      <c r="V13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https://search-rtdc-monitor-bjffxe2xuh6vdkpspy63sjmuny.us-east-1.es.amazonaws.com/_plugin/kibana/#/discover/Steve-Slow-Train-Analysis-(2080s-and-2083s)?_g=(refreshInterval:(display:Off,section:0,value:0),time:(from:'2016-06-23 20:48:05-0600',mode:absolute,to:'2016-06-23 21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9" s="48" t="str">
        <f t="shared" si="44"/>
        <v>N</v>
      </c>
      <c r="X139" s="48">
        <f t="shared" si="45"/>
        <v>1</v>
      </c>
      <c r="Y139" s="48">
        <f t="shared" si="37"/>
        <v>4.5699999999999998E-2</v>
      </c>
      <c r="Z139" s="48">
        <f t="shared" si="38"/>
        <v>23.331399999999999</v>
      </c>
      <c r="AA139" s="48">
        <f t="shared" si="46"/>
        <v>23.285699999999999</v>
      </c>
      <c r="AB139" s="49" t="e">
        <f>VLOOKUP(A139,Enforcements!$C$7:$J$73,8,0)</f>
        <v>#N/A</v>
      </c>
      <c r="AC139" s="49" t="e">
        <f>VLOOKUP(A139,Enforcements!$C$7:$E$73,3,0)</f>
        <v>#N/A</v>
      </c>
    </row>
    <row r="140" spans="1:29" s="2" customFormat="1" x14ac:dyDescent="0.25">
      <c r="A140" s="43" t="s">
        <v>351</v>
      </c>
      <c r="B140" s="43">
        <v>4008</v>
      </c>
      <c r="C140" s="43"/>
      <c r="D140" s="43"/>
      <c r="E140" s="25"/>
      <c r="F140" s="25">
        <v>42544.908993055556</v>
      </c>
      <c r="G140" s="31"/>
      <c r="H140" s="25"/>
      <c r="I140" s="25">
        <v>42544.923333333332</v>
      </c>
      <c r="J140" s="43"/>
      <c r="K140" s="43" t="str">
        <f t="shared" si="40"/>
        <v>4007/4008</v>
      </c>
      <c r="L140" s="43" t="str">
        <f>VLOOKUP(A140,'Trips&amp;Operators'!$C$1:$E$10000,3,FALSE)</f>
        <v>BRUDER</v>
      </c>
      <c r="M140" s="11">
        <f t="shared" si="41"/>
        <v>1.4340277775772847E-2</v>
      </c>
      <c r="N140" s="12"/>
      <c r="O140" s="12"/>
      <c r="P140" s="12">
        <f>24*60*SUM($M140:$M140)</f>
        <v>20.6499999971129</v>
      </c>
      <c r="Q140" s="44"/>
      <c r="R140" s="44" t="s">
        <v>182</v>
      </c>
      <c r="S140" s="70">
        <f t="shared" si="48"/>
        <v>0</v>
      </c>
      <c r="T140" s="2" t="str">
        <f t="shared" si="42"/>
        <v>Southbound</v>
      </c>
      <c r="U140" s="2">
        <f>COUNTIFS(Variables!$M$2:$M$19, "&lt;=" &amp; Y140, Variables!$M$2:$M$19, "&gt;=" &amp; Z140)</f>
        <v>0</v>
      </c>
      <c r="V140" s="48" t="e">
        <f t="shared" si="43"/>
        <v>#VALUE!</v>
      </c>
      <c r="W140" s="48" t="e">
        <f t="shared" si="44"/>
        <v>#VALUE!</v>
      </c>
      <c r="X140" s="48">
        <f t="shared" si="45"/>
        <v>1</v>
      </c>
      <c r="Y140" s="48" t="e">
        <f t="shared" si="37"/>
        <v>#VALUE!</v>
      </c>
      <c r="Z140" s="48" t="e">
        <f t="shared" si="38"/>
        <v>#VALUE!</v>
      </c>
      <c r="AA140" s="48" t="e">
        <f t="shared" si="46"/>
        <v>#VALUE!</v>
      </c>
      <c r="AB140" s="49" t="e">
        <f>VLOOKUP(A140,Enforcements!$C$7:$J$73,8,0)</f>
        <v>#N/A</v>
      </c>
      <c r="AC140" s="49" t="e">
        <f>VLOOKUP(A140,Enforcements!$C$7:$E$73,3,0)</f>
        <v>#N/A</v>
      </c>
    </row>
    <row r="141" spans="1:29" s="2" customFormat="1" x14ac:dyDescent="0.25">
      <c r="A141" s="66" t="s">
        <v>326</v>
      </c>
      <c r="B141" s="43">
        <v>4042</v>
      </c>
      <c r="C141" s="43" t="s">
        <v>60</v>
      </c>
      <c r="D141" s="43" t="s">
        <v>209</v>
      </c>
      <c r="E141" s="25">
        <v>42544.891469907408</v>
      </c>
      <c r="F141" s="25">
        <v>42544.892905092594</v>
      </c>
      <c r="G141" s="31">
        <v>2</v>
      </c>
      <c r="H141" s="25" t="s">
        <v>137</v>
      </c>
      <c r="I141" s="25">
        <v>42544.923460648148</v>
      </c>
      <c r="J141" s="43">
        <v>0</v>
      </c>
      <c r="K141" s="43" t="str">
        <f t="shared" ref="K141:K154" si="49">IF(ISEVEN(B141),(B141-1)&amp;"/"&amp;B141,B141&amp;"/"&amp;(B141+1))</f>
        <v>4041/4042</v>
      </c>
      <c r="L141" s="43" t="str">
        <f>VLOOKUP(A141,'Trips&amp;Operators'!$C$1:$E$10000,3,FALSE)</f>
        <v>MAELZER</v>
      </c>
      <c r="M141" s="11">
        <f t="shared" ref="M141:M154" si="50">I141-F141</f>
        <v>3.0555555553291924E-2</v>
      </c>
      <c r="N141" s="12">
        <f t="shared" ref="N141:N153" si="51">24*60*SUM($M141:$M141)</f>
        <v>43.999999996740371</v>
      </c>
      <c r="O141" s="12"/>
      <c r="P141" s="12"/>
      <c r="Q141" s="44"/>
      <c r="R141" s="44"/>
      <c r="S141" s="70">
        <f t="shared" si="48"/>
        <v>1</v>
      </c>
      <c r="T141" s="2" t="str">
        <f t="shared" ref="T141:T154" si="52">IF(ISEVEN(LEFT(A141,3)),"Southbound","NorthBound")</f>
        <v>NorthBound</v>
      </c>
      <c r="U141" s="2">
        <f>COUNTIFS(Variables!$M$2:$M$19, "&gt;=" &amp; Y141, Variables!$M$2:$M$19, "&lt;=" &amp; Z141)</f>
        <v>12</v>
      </c>
      <c r="V141" s="48" t="str">
        <f t="shared" ref="V141:V154" si="53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https://search-rtdc-monitor-bjffxe2xuh6vdkpspy63sjmuny.us-east-1.es.amazonaws.com/_plugin/kibana/#/discover/Steve-Slow-Train-Analysis-(2080s-and-2083s)?_g=(refreshInterval:(display:Off,section:0,value:0),time:(from:'2016-06-23 21:22:43-0600',mode:absolute,to:'2016-06-23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1" s="48" t="str">
        <f t="shared" ref="W141:W154" si="54">IF(AA141&lt;23,"Y","N")</f>
        <v>N</v>
      </c>
      <c r="X141" s="48">
        <f t="shared" ref="X141:X154" si="55">VALUE(LEFT(A141,3))-VALUE(LEFT(A140,3))</f>
        <v>1</v>
      </c>
      <c r="Y141" s="48">
        <v>4.6699999999999998E-2</v>
      </c>
      <c r="Z141" s="48">
        <v>23.2974</v>
      </c>
      <c r="AA141" s="48">
        <f t="shared" ref="AA141:AA172" si="56">ABS(Z141-Y141)</f>
        <v>23.250699999999998</v>
      </c>
      <c r="AB141" s="49" t="e">
        <f>VLOOKUP(A141,Enforcements!$C$7:$J$73,8,0)</f>
        <v>#N/A</v>
      </c>
      <c r="AC141" s="49" t="e">
        <f>VLOOKUP(A141,Enforcements!$C$7:$E$73,3,0)</f>
        <v>#N/A</v>
      </c>
    </row>
    <row r="142" spans="1:29" s="2" customFormat="1" x14ac:dyDescent="0.25">
      <c r="A142" s="43" t="s">
        <v>350</v>
      </c>
      <c r="B142" s="43">
        <v>4041</v>
      </c>
      <c r="C142" s="43" t="s">
        <v>60</v>
      </c>
      <c r="D142" s="43" t="s">
        <v>192</v>
      </c>
      <c r="E142" s="25">
        <v>42544.930347222224</v>
      </c>
      <c r="F142" s="25">
        <v>42544.931307870371</v>
      </c>
      <c r="G142" s="31">
        <v>1</v>
      </c>
      <c r="H142" s="25" t="s">
        <v>134</v>
      </c>
      <c r="I142" s="25">
        <v>42544.962858796294</v>
      </c>
      <c r="J142" s="43">
        <v>0</v>
      </c>
      <c r="K142" s="43" t="str">
        <f t="shared" si="49"/>
        <v>4041/4042</v>
      </c>
      <c r="L142" s="43" t="str">
        <f>VLOOKUP(A142,'Trips&amp;Operators'!$C$1:$E$10000,3,FALSE)</f>
        <v>MAELZER</v>
      </c>
      <c r="M142" s="11">
        <f t="shared" si="50"/>
        <v>3.1550925923511386E-2</v>
      </c>
      <c r="N142" s="12">
        <f t="shared" si="51"/>
        <v>45.433333329856396</v>
      </c>
      <c r="O142" s="12"/>
      <c r="P142" s="12"/>
      <c r="Q142" s="44"/>
      <c r="R142" s="44"/>
      <c r="S142" s="70">
        <f t="shared" si="48"/>
        <v>1</v>
      </c>
      <c r="T142" s="2" t="str">
        <f t="shared" si="52"/>
        <v>Southbound</v>
      </c>
      <c r="U142" s="2">
        <f>COUNTIFS(Variables!$M$2:$M$19, "&lt;=" &amp; Y142, Variables!$M$2:$M$19, "&gt;=" &amp; Z142)</f>
        <v>12</v>
      </c>
      <c r="V14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22:18:42-0600',mode:absolute,to:'2016-06-23 23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2" s="48" t="str">
        <f t="shared" si="54"/>
        <v>N</v>
      </c>
      <c r="X142" s="48">
        <f t="shared" si="55"/>
        <v>1</v>
      </c>
      <c r="Y142" s="48">
        <f t="shared" ref="Y142:Y154" si="57">RIGHT(D142,LEN(D142)-4)/10000</f>
        <v>23.295999999999999</v>
      </c>
      <c r="Z142" s="48">
        <f t="shared" ref="Z142:Z154" si="58">RIGHT(H142,LEN(H142)-4)/10000</f>
        <v>1.67E-2</v>
      </c>
      <c r="AA142" s="48">
        <f t="shared" si="56"/>
        <v>23.279299999999999</v>
      </c>
      <c r="AB142" s="49" t="e">
        <f>VLOOKUP(A142,Enforcements!$C$7:$J$73,8,0)</f>
        <v>#N/A</v>
      </c>
      <c r="AC142" s="49" t="e">
        <f>VLOOKUP(A142,Enforcements!$C$7:$E$73,3,0)</f>
        <v>#N/A</v>
      </c>
    </row>
    <row r="143" spans="1:29" s="2" customFormat="1" x14ac:dyDescent="0.25">
      <c r="A143" s="43" t="s">
        <v>366</v>
      </c>
      <c r="B143" s="43">
        <v>4018</v>
      </c>
      <c r="C143" s="43" t="s">
        <v>60</v>
      </c>
      <c r="D143" s="43" t="s">
        <v>495</v>
      </c>
      <c r="E143" s="25">
        <v>42544.910578703704</v>
      </c>
      <c r="F143" s="25">
        <v>42544.911921296298</v>
      </c>
      <c r="G143" s="31">
        <v>1</v>
      </c>
      <c r="H143" s="25" t="s">
        <v>111</v>
      </c>
      <c r="I143" s="25">
        <v>42544.942291666666</v>
      </c>
      <c r="J143" s="43">
        <v>0</v>
      </c>
      <c r="K143" s="43" t="str">
        <f t="shared" si="49"/>
        <v>4017/4018</v>
      </c>
      <c r="L143" s="43" t="str">
        <f>VLOOKUP(A143,'Trips&amp;Operators'!$C$1:$E$10000,3,FALSE)</f>
        <v>ADANE</v>
      </c>
      <c r="M143" s="11">
        <f t="shared" si="50"/>
        <v>3.0370370368473232E-2</v>
      </c>
      <c r="N143" s="12">
        <f t="shared" si="51"/>
        <v>43.733333330601454</v>
      </c>
      <c r="O143" s="12"/>
      <c r="P143" s="12"/>
      <c r="Q143" s="44"/>
      <c r="R143" s="44"/>
      <c r="S143" s="70">
        <f t="shared" si="48"/>
        <v>1</v>
      </c>
      <c r="T143" s="2" t="str">
        <f t="shared" si="52"/>
        <v>NorthBound</v>
      </c>
      <c r="U143" s="2">
        <f>COUNTIFS(Variables!$M$2:$M$19, "&gt;=" &amp; Y143, Variables!$M$2:$M$19, "&lt;=" &amp; Z143)</f>
        <v>12</v>
      </c>
      <c r="V14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21:50:14-0600',mode:absolute,to:'2016-06-23 22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3" s="48" t="str">
        <f t="shared" si="54"/>
        <v>N</v>
      </c>
      <c r="X143" s="48">
        <f t="shared" si="55"/>
        <v>1</v>
      </c>
      <c r="Y143" s="48">
        <f t="shared" si="57"/>
        <v>4.3999999999999997E-2</v>
      </c>
      <c r="Z143" s="48">
        <f t="shared" si="58"/>
        <v>23.3309</v>
      </c>
      <c r="AA143" s="48">
        <f t="shared" si="56"/>
        <v>23.286899999999999</v>
      </c>
      <c r="AB143" s="49" t="e">
        <f>VLOOKUP(A143,Enforcements!$C$7:$J$73,8,0)</f>
        <v>#N/A</v>
      </c>
      <c r="AC143" s="49" t="e">
        <f>VLOOKUP(A143,Enforcements!$C$7:$E$73,3,0)</f>
        <v>#N/A</v>
      </c>
    </row>
    <row r="144" spans="1:29" s="2" customFormat="1" x14ac:dyDescent="0.25">
      <c r="A144" s="43" t="s">
        <v>328</v>
      </c>
      <c r="B144" s="43">
        <v>4017</v>
      </c>
      <c r="C144" s="43" t="s">
        <v>60</v>
      </c>
      <c r="D144" s="43" t="s">
        <v>169</v>
      </c>
      <c r="E144" s="25">
        <v>42544.950636574074</v>
      </c>
      <c r="F144" s="25">
        <v>42544.951608796298</v>
      </c>
      <c r="G144" s="31">
        <v>1</v>
      </c>
      <c r="H144" s="25" t="s">
        <v>510</v>
      </c>
      <c r="I144" s="25">
        <v>42544.983634259261</v>
      </c>
      <c r="J144" s="43">
        <v>0</v>
      </c>
      <c r="K144" s="43" t="str">
        <f t="shared" si="49"/>
        <v>4017/4018</v>
      </c>
      <c r="L144" s="43" t="str">
        <f>VLOOKUP(A144,'Trips&amp;Operators'!$C$1:$E$10000,3,FALSE)</f>
        <v>ADANE</v>
      </c>
      <c r="M144" s="11">
        <f t="shared" si="50"/>
        <v>3.202546296233777E-2</v>
      </c>
      <c r="N144" s="12">
        <f t="shared" si="51"/>
        <v>46.116666665766388</v>
      </c>
      <c r="O144" s="12"/>
      <c r="P144" s="12"/>
      <c r="Q144" s="44"/>
      <c r="R144" s="44"/>
      <c r="S144" s="70">
        <f t="shared" si="48"/>
        <v>1</v>
      </c>
      <c r="T144" s="2" t="str">
        <f t="shared" si="52"/>
        <v>Southbound</v>
      </c>
      <c r="U144" s="2">
        <f>COUNTIFS(Variables!$M$2:$M$19, "&lt;=" &amp; Y144, Variables!$M$2:$M$19, "&gt;=" &amp; Z144)</f>
        <v>12</v>
      </c>
      <c r="V14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22:47:55-0600',mode:absolute,to:'2016-06-23 23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4" s="48" t="str">
        <f t="shared" si="54"/>
        <v>N</v>
      </c>
      <c r="X144" s="48">
        <f t="shared" si="55"/>
        <v>1</v>
      </c>
      <c r="Y144" s="48">
        <f t="shared" si="57"/>
        <v>23.2988</v>
      </c>
      <c r="Z144" s="48">
        <f t="shared" si="58"/>
        <v>1.3599999999999999E-2</v>
      </c>
      <c r="AA144" s="48">
        <f t="shared" si="56"/>
        <v>23.2852</v>
      </c>
      <c r="AB144" s="49" t="e">
        <f>VLOOKUP(A144,Enforcements!$C$7:$J$73,8,0)</f>
        <v>#N/A</v>
      </c>
      <c r="AC144" s="49" t="e">
        <f>VLOOKUP(A144,Enforcements!$C$7:$E$73,3,0)</f>
        <v>#N/A</v>
      </c>
    </row>
    <row r="145" spans="1:29" s="2" customFormat="1" x14ac:dyDescent="0.25">
      <c r="A145" s="43" t="s">
        <v>421</v>
      </c>
      <c r="B145" s="43">
        <v>4014</v>
      </c>
      <c r="C145" s="43" t="s">
        <v>60</v>
      </c>
      <c r="D145" s="43" t="s">
        <v>194</v>
      </c>
      <c r="E145" s="25">
        <v>42544.933020833334</v>
      </c>
      <c r="F145" s="25">
        <v>42544.933692129627</v>
      </c>
      <c r="G145" s="31">
        <v>0</v>
      </c>
      <c r="H145" s="25" t="s">
        <v>207</v>
      </c>
      <c r="I145" s="25">
        <v>42544.963136574072</v>
      </c>
      <c r="J145" s="43">
        <v>0</v>
      </c>
      <c r="K145" s="43" t="str">
        <f t="shared" si="49"/>
        <v>4013/4014</v>
      </c>
      <c r="L145" s="43" t="str">
        <f>VLOOKUP(A145,'Trips&amp;Operators'!$C$1:$E$10000,3,FALSE)</f>
        <v>MOSES</v>
      </c>
      <c r="M145" s="11">
        <f t="shared" si="50"/>
        <v>2.9444444444379769E-2</v>
      </c>
      <c r="N145" s="12">
        <f t="shared" si="51"/>
        <v>42.399999999906868</v>
      </c>
      <c r="O145" s="12"/>
      <c r="P145" s="12"/>
      <c r="Q145" s="44"/>
      <c r="R145" s="44"/>
      <c r="S145" s="70">
        <f t="shared" si="48"/>
        <v>1</v>
      </c>
      <c r="T145" s="2" t="str">
        <f t="shared" si="52"/>
        <v>NorthBound</v>
      </c>
      <c r="U145" s="2">
        <f>COUNTIFS(Variables!$M$2:$M$19, "&gt;=" &amp; Y145, Variables!$M$2:$M$19, "&lt;=" &amp; Z145)</f>
        <v>12</v>
      </c>
      <c r="V145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22:22:33-0600',mode:absolute,to:'2016-06-23 23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5" s="48" t="str">
        <f t="shared" si="54"/>
        <v>N</v>
      </c>
      <c r="X145" s="48">
        <f t="shared" si="55"/>
        <v>1</v>
      </c>
      <c r="Y145" s="48">
        <f t="shared" si="57"/>
        <v>4.7100000000000003E-2</v>
      </c>
      <c r="Z145" s="48">
        <f t="shared" si="58"/>
        <v>23.327999999999999</v>
      </c>
      <c r="AA145" s="48">
        <f t="shared" si="56"/>
        <v>23.280899999999999</v>
      </c>
      <c r="AB145" s="49" t="e">
        <f>VLOOKUP(A145,Enforcements!$C$7:$J$73,8,0)</f>
        <v>#N/A</v>
      </c>
      <c r="AC145" s="49" t="e">
        <f>VLOOKUP(A145,Enforcements!$C$7:$E$73,3,0)</f>
        <v>#N/A</v>
      </c>
    </row>
    <row r="146" spans="1:29" s="2" customFormat="1" x14ac:dyDescent="0.25">
      <c r="A146" s="43" t="s">
        <v>389</v>
      </c>
      <c r="B146" s="43">
        <v>4013</v>
      </c>
      <c r="C146" s="43" t="s">
        <v>60</v>
      </c>
      <c r="D146" s="43" t="s">
        <v>82</v>
      </c>
      <c r="E146" s="25">
        <v>42544.973379629628</v>
      </c>
      <c r="F146" s="25">
        <v>42544.97420138889</v>
      </c>
      <c r="G146" s="31">
        <v>1</v>
      </c>
      <c r="H146" s="25" t="s">
        <v>102</v>
      </c>
      <c r="I146" s="25">
        <v>42545.002395833333</v>
      </c>
      <c r="J146" s="43">
        <v>0</v>
      </c>
      <c r="K146" s="43" t="str">
        <f t="shared" si="49"/>
        <v>4013/4014</v>
      </c>
      <c r="L146" s="43" t="str">
        <f>VLOOKUP(A146,'Trips&amp;Operators'!$C$1:$E$10000,3,FALSE)</f>
        <v>MOSES</v>
      </c>
      <c r="M146" s="11">
        <f t="shared" si="50"/>
        <v>2.8194444443215616E-2</v>
      </c>
      <c r="N146" s="12">
        <f t="shared" si="51"/>
        <v>40.599999998230487</v>
      </c>
      <c r="O146" s="12"/>
      <c r="P146" s="12"/>
      <c r="Q146" s="44"/>
      <c r="R146" s="44"/>
      <c r="S146" s="70">
        <f t="shared" si="48"/>
        <v>1</v>
      </c>
      <c r="T146" s="2" t="str">
        <f t="shared" si="52"/>
        <v>Southbound</v>
      </c>
      <c r="U146" s="2">
        <f>COUNTIFS(Variables!$M$2:$M$19, "&lt;=" &amp; Y146, Variables!$M$2:$M$19, "&gt;=" &amp; Z146)</f>
        <v>12</v>
      </c>
      <c r="V146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23:20:40-0600',mode:absolute,to:'2016-06-24 00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6" s="48" t="str">
        <f t="shared" si="54"/>
        <v>N</v>
      </c>
      <c r="X146" s="48">
        <f t="shared" si="55"/>
        <v>1</v>
      </c>
      <c r="Y146" s="48">
        <f t="shared" si="57"/>
        <v>23.297799999999999</v>
      </c>
      <c r="Z146" s="48">
        <f t="shared" si="58"/>
        <v>1.61E-2</v>
      </c>
      <c r="AA146" s="48">
        <f t="shared" si="56"/>
        <v>23.281699999999997</v>
      </c>
      <c r="AB146" s="49" t="e">
        <f>VLOOKUP(A146,Enforcements!$C$7:$J$73,8,0)</f>
        <v>#N/A</v>
      </c>
      <c r="AC146" s="49" t="e">
        <f>VLOOKUP(A146,Enforcements!$C$7:$E$73,3,0)</f>
        <v>#N/A</v>
      </c>
    </row>
    <row r="147" spans="1:29" s="2" customFormat="1" x14ac:dyDescent="0.25">
      <c r="A147" s="43" t="s">
        <v>423</v>
      </c>
      <c r="B147" s="43">
        <v>4007</v>
      </c>
      <c r="C147" s="43" t="s">
        <v>60</v>
      </c>
      <c r="D147" s="43" t="s">
        <v>87</v>
      </c>
      <c r="E147" s="25">
        <v>42544.950474537036</v>
      </c>
      <c r="F147" s="25">
        <v>42544.951435185183</v>
      </c>
      <c r="G147" s="31">
        <v>1</v>
      </c>
      <c r="H147" s="25" t="s">
        <v>460</v>
      </c>
      <c r="I147" s="25">
        <v>42544.983912037038</v>
      </c>
      <c r="J147" s="43">
        <v>0</v>
      </c>
      <c r="K147" s="43" t="str">
        <f t="shared" si="49"/>
        <v>4007/4008</v>
      </c>
      <c r="L147" s="43" t="str">
        <f>VLOOKUP(A147,'Trips&amp;Operators'!$C$1:$E$10000,3,FALSE)</f>
        <v>BRUDER</v>
      </c>
      <c r="M147" s="11">
        <f t="shared" si="50"/>
        <v>3.2476851854880806E-2</v>
      </c>
      <c r="N147" s="12">
        <f t="shared" si="51"/>
        <v>46.766666671028361</v>
      </c>
      <c r="O147" s="12"/>
      <c r="P147" s="12"/>
      <c r="Q147" s="44"/>
      <c r="R147" s="44"/>
      <c r="S147" s="70">
        <f t="shared" si="48"/>
        <v>1</v>
      </c>
      <c r="T147" s="2" t="str">
        <f t="shared" si="52"/>
        <v>NorthBound</v>
      </c>
      <c r="U147" s="2">
        <f>COUNTIFS(Variables!$M$2:$M$19, "&gt;=" &amp; Y147, Variables!$M$2:$M$19, "&lt;=" &amp; Z147)</f>
        <v>12</v>
      </c>
      <c r="V147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22:47:41-0600',mode:absolute,to:'2016-06-23 23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7" s="48" t="str">
        <f t="shared" si="54"/>
        <v>N</v>
      </c>
      <c r="X147" s="48">
        <f t="shared" si="55"/>
        <v>1</v>
      </c>
      <c r="Y147" s="48">
        <f t="shared" si="57"/>
        <v>4.58E-2</v>
      </c>
      <c r="Z147" s="48">
        <f t="shared" si="58"/>
        <v>23.3293</v>
      </c>
      <c r="AA147" s="48">
        <f t="shared" si="56"/>
        <v>23.2835</v>
      </c>
      <c r="AB147" s="49" t="e">
        <f>VLOOKUP(A147,Enforcements!$C$7:$J$73,8,0)</f>
        <v>#N/A</v>
      </c>
      <c r="AC147" s="49" t="e">
        <f>VLOOKUP(A147,Enforcements!$C$7:$E$73,3,0)</f>
        <v>#N/A</v>
      </c>
    </row>
    <row r="148" spans="1:29" s="2" customFormat="1" x14ac:dyDescent="0.25">
      <c r="A148" s="43" t="s">
        <v>359</v>
      </c>
      <c r="B148" s="43">
        <v>4008</v>
      </c>
      <c r="C148" s="43" t="s">
        <v>60</v>
      </c>
      <c r="D148" s="43" t="s">
        <v>511</v>
      </c>
      <c r="E148" s="25">
        <v>42544.992997685185</v>
      </c>
      <c r="F148" s="25">
        <v>42544.99386574074</v>
      </c>
      <c r="G148" s="31">
        <v>1</v>
      </c>
      <c r="H148" s="25" t="s">
        <v>188</v>
      </c>
      <c r="I148" s="25">
        <v>42545.026307870372</v>
      </c>
      <c r="J148" s="43">
        <v>0</v>
      </c>
      <c r="K148" s="43" t="str">
        <f t="shared" si="49"/>
        <v>4007/4008</v>
      </c>
      <c r="L148" s="43" t="str">
        <f>VLOOKUP(A148,'Trips&amp;Operators'!$C$1:$E$10000,3,FALSE)</f>
        <v>BRUDER</v>
      </c>
      <c r="M148" s="11">
        <f t="shared" si="50"/>
        <v>3.2442129631817807E-2</v>
      </c>
      <c r="N148" s="12">
        <f t="shared" si="51"/>
        <v>46.716666669817641</v>
      </c>
      <c r="O148" s="12"/>
      <c r="P148" s="12"/>
      <c r="Q148" s="44"/>
      <c r="R148" s="44"/>
      <c r="S148" s="70">
        <f t="shared" si="48"/>
        <v>1</v>
      </c>
      <c r="T148" s="2" t="str">
        <f t="shared" si="52"/>
        <v>Southbound</v>
      </c>
      <c r="U148" s="2">
        <f>COUNTIFS(Variables!$M$2:$M$19, "&lt;=" &amp; Y148, Variables!$M$2:$M$19, "&gt;=" &amp; Z148)</f>
        <v>12</v>
      </c>
      <c r="V148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23:48:55-0600',mode:absolute,to:'2016-06-24 00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8" s="48" t="str">
        <f t="shared" si="54"/>
        <v>N</v>
      </c>
      <c r="X148" s="48">
        <f t="shared" si="55"/>
        <v>1</v>
      </c>
      <c r="Y148" s="48">
        <f t="shared" si="57"/>
        <v>23.296500000000002</v>
      </c>
      <c r="Z148" s="48">
        <f t="shared" si="58"/>
        <v>1.2500000000000001E-2</v>
      </c>
      <c r="AA148" s="48">
        <f t="shared" si="56"/>
        <v>23.284000000000002</v>
      </c>
      <c r="AB148" s="49" t="e">
        <f>VLOOKUP(A148,Enforcements!$C$7:$J$73,8,0)</f>
        <v>#N/A</v>
      </c>
      <c r="AC148" s="49" t="e">
        <f>VLOOKUP(A148,Enforcements!$C$7:$E$73,3,0)</f>
        <v>#N/A</v>
      </c>
    </row>
    <row r="149" spans="1:29" s="2" customFormat="1" x14ac:dyDescent="0.25">
      <c r="A149" s="43" t="s">
        <v>385</v>
      </c>
      <c r="B149" s="43">
        <v>4042</v>
      </c>
      <c r="C149" s="43" t="s">
        <v>60</v>
      </c>
      <c r="D149" s="43" t="s">
        <v>512</v>
      </c>
      <c r="E149" s="25">
        <v>42544.970891203702</v>
      </c>
      <c r="F149" s="25">
        <v>42544.971736111111</v>
      </c>
      <c r="G149" s="31">
        <v>1</v>
      </c>
      <c r="H149" s="25" t="s">
        <v>165</v>
      </c>
      <c r="I149" s="25">
        <v>42545.005486111113</v>
      </c>
      <c r="J149" s="43">
        <v>0</v>
      </c>
      <c r="K149" s="43" t="str">
        <f t="shared" si="49"/>
        <v>4041/4042</v>
      </c>
      <c r="L149" s="43" t="str">
        <f>VLOOKUP(A149,'Trips&amp;Operators'!$C$1:$E$10000,3,FALSE)</f>
        <v>MAELZER</v>
      </c>
      <c r="M149" s="11">
        <f t="shared" si="50"/>
        <v>3.3750000002328306E-2</v>
      </c>
      <c r="N149" s="12">
        <f t="shared" si="51"/>
        <v>48.600000003352761</v>
      </c>
      <c r="O149" s="12"/>
      <c r="P149" s="12"/>
      <c r="Q149" s="44"/>
      <c r="R149" s="44"/>
      <c r="S149" s="70">
        <f t="shared" si="48"/>
        <v>1</v>
      </c>
      <c r="T149" s="2" t="str">
        <f t="shared" si="52"/>
        <v>NorthBound</v>
      </c>
      <c r="U149" s="2">
        <f>COUNTIFS(Variables!$M$2:$M$19, "&gt;=" &amp; Y149, Variables!$M$2:$M$19, "&lt;=" &amp; Z149)</f>
        <v>12</v>
      </c>
      <c r="V149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23:17:05-0600',mode:absolute,to:'2016-06-24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48" t="str">
        <f t="shared" si="54"/>
        <v>N</v>
      </c>
      <c r="X149" s="48">
        <f t="shared" si="55"/>
        <v>1</v>
      </c>
      <c r="Y149" s="48">
        <f t="shared" si="57"/>
        <v>4.8599999999999997E-2</v>
      </c>
      <c r="Z149" s="48">
        <f t="shared" si="58"/>
        <v>23.328800000000001</v>
      </c>
      <c r="AA149" s="48">
        <f t="shared" si="56"/>
        <v>23.280200000000001</v>
      </c>
      <c r="AB149" s="49" t="e">
        <f>VLOOKUP(A149,Enforcements!$C$7:$J$73,8,0)</f>
        <v>#N/A</v>
      </c>
      <c r="AC149" s="49" t="e">
        <f>VLOOKUP(A149,Enforcements!$C$7:$E$73,3,0)</f>
        <v>#N/A</v>
      </c>
    </row>
    <row r="150" spans="1:29" s="2" customFormat="1" x14ac:dyDescent="0.25">
      <c r="A150" s="43" t="s">
        <v>399</v>
      </c>
      <c r="B150" s="43">
        <v>4041</v>
      </c>
      <c r="C150" s="43" t="s">
        <v>60</v>
      </c>
      <c r="D150" s="43" t="s">
        <v>511</v>
      </c>
      <c r="E150" s="25">
        <v>42545.012685185182</v>
      </c>
      <c r="F150" s="25">
        <v>42545.013749999998</v>
      </c>
      <c r="G150" s="31">
        <v>1</v>
      </c>
      <c r="H150" s="25" t="s">
        <v>117</v>
      </c>
      <c r="I150" s="25">
        <v>42545.046041666668</v>
      </c>
      <c r="J150" s="43">
        <v>0</v>
      </c>
      <c r="K150" s="43" t="str">
        <f t="shared" si="49"/>
        <v>4041/4042</v>
      </c>
      <c r="L150" s="43" t="str">
        <f>VLOOKUP(A150,'Trips&amp;Operators'!$C$1:$E$10000,3,FALSE)</f>
        <v>MAELZER</v>
      </c>
      <c r="M150" s="11">
        <f t="shared" si="50"/>
        <v>3.2291666670062114E-2</v>
      </c>
      <c r="N150" s="12">
        <f t="shared" si="51"/>
        <v>46.500000004889444</v>
      </c>
      <c r="O150" s="12"/>
      <c r="P150" s="12"/>
      <c r="Q150" s="44"/>
      <c r="R150" s="44"/>
      <c r="S150" s="70">
        <f t="shared" si="48"/>
        <v>1</v>
      </c>
      <c r="T150" s="2" t="str">
        <f t="shared" si="52"/>
        <v>Southbound</v>
      </c>
      <c r="U150" s="2">
        <f>COUNTIFS(Variables!$M$2:$M$19, "&lt;=" &amp; Y150, Variables!$M$2:$M$19, "&gt;=" &amp; Z150)</f>
        <v>12</v>
      </c>
      <c r="V150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https://search-rtdc-monitor-bjffxe2xuh6vdkpspy63sjmuny.us-east-1.es.amazonaws.com/_plugin/kibana/#/discover/Steve-Slow-Train-Analysis-(2080s-and-2083s)?_g=(refreshInterval:(display:Off,section:0,value:0),time:(from:'2016-06-24 00:17:16-0600',mode:absolute,to:'2016-06-24 01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48" t="str">
        <f t="shared" si="54"/>
        <v>N</v>
      </c>
      <c r="X150" s="48">
        <f t="shared" si="55"/>
        <v>1</v>
      </c>
      <c r="Y150" s="48">
        <f t="shared" si="57"/>
        <v>23.296500000000002</v>
      </c>
      <c r="Z150" s="48">
        <f t="shared" si="58"/>
        <v>1.6299999999999999E-2</v>
      </c>
      <c r="AA150" s="48">
        <f t="shared" si="56"/>
        <v>23.280200000000001</v>
      </c>
      <c r="AB150" s="49" t="e">
        <f>VLOOKUP(A150,Enforcements!$C$7:$J$73,8,0)</f>
        <v>#N/A</v>
      </c>
      <c r="AC150" s="49" t="e">
        <f>VLOOKUP(A150,Enforcements!$C$7:$E$73,3,0)</f>
        <v>#N/A</v>
      </c>
    </row>
    <row r="151" spans="1:29" s="2" customFormat="1" x14ac:dyDescent="0.25">
      <c r="A151" s="43" t="s">
        <v>384</v>
      </c>
      <c r="B151" s="43">
        <v>4018</v>
      </c>
      <c r="C151" s="43" t="s">
        <v>60</v>
      </c>
      <c r="D151" s="43" t="s">
        <v>468</v>
      </c>
      <c r="E151" s="25">
        <v>42544.994340277779</v>
      </c>
      <c r="F151" s="25">
        <v>42544.995358796295</v>
      </c>
      <c r="G151" s="31">
        <v>1</v>
      </c>
      <c r="H151" s="25" t="s">
        <v>197</v>
      </c>
      <c r="I151" s="25">
        <v>42545.026458333334</v>
      </c>
      <c r="J151" s="43">
        <v>0</v>
      </c>
      <c r="K151" s="43" t="str">
        <f t="shared" si="49"/>
        <v>4017/4018</v>
      </c>
      <c r="L151" s="43" t="str">
        <f>VLOOKUP(A151,'Trips&amp;Operators'!$C$1:$E$10000,3,FALSE)</f>
        <v>ADANE</v>
      </c>
      <c r="M151" s="11">
        <f t="shared" si="50"/>
        <v>3.1099537038244307E-2</v>
      </c>
      <c r="N151" s="12">
        <f t="shared" si="51"/>
        <v>44.783333335071802</v>
      </c>
      <c r="O151" s="12"/>
      <c r="P151" s="12"/>
      <c r="Q151" s="44"/>
      <c r="R151" s="44"/>
      <c r="S151" s="70">
        <f t="shared" si="48"/>
        <v>1</v>
      </c>
      <c r="T151" s="2" t="str">
        <f t="shared" si="52"/>
        <v>NorthBound</v>
      </c>
      <c r="U151" s="2">
        <f>COUNTIFS(Variables!$M$2:$M$19, "&gt;=" &amp; Y151, Variables!$M$2:$M$19, "&lt;=" &amp; Z151)</f>
        <v>12</v>
      </c>
      <c r="V151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https://search-rtdc-monitor-bjffxe2xuh6vdkpspy63sjmuny.us-east-1.es.amazonaws.com/_plugin/kibana/#/discover/Steve-Slow-Train-Analysis-(2080s-and-2083s)?_g=(refreshInterval:(display:Off,section:0,value:0),time:(from:'2016-06-23 23:50:51-0600',mode:absolute,to:'2016-06-24 00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1" s="48" t="str">
        <f t="shared" si="54"/>
        <v>N</v>
      </c>
      <c r="X151" s="48">
        <f t="shared" si="55"/>
        <v>1</v>
      </c>
      <c r="Y151" s="48">
        <f t="shared" si="57"/>
        <v>4.8000000000000001E-2</v>
      </c>
      <c r="Z151" s="48">
        <f t="shared" si="58"/>
        <v>23.332000000000001</v>
      </c>
      <c r="AA151" s="48">
        <f t="shared" si="56"/>
        <v>23.284000000000002</v>
      </c>
      <c r="AB151" s="49" t="e">
        <f>VLOOKUP(A151,Enforcements!$C$7:$J$73,8,0)</f>
        <v>#N/A</v>
      </c>
      <c r="AC151" s="49" t="e">
        <f>VLOOKUP(A151,Enforcements!$C$7:$E$73,3,0)</f>
        <v>#N/A</v>
      </c>
    </row>
    <row r="152" spans="1:29" s="2" customFormat="1" x14ac:dyDescent="0.25">
      <c r="A152" s="43" t="s">
        <v>337</v>
      </c>
      <c r="B152" s="43">
        <v>4017</v>
      </c>
      <c r="C152" s="43" t="s">
        <v>60</v>
      </c>
      <c r="D152" s="43" t="s">
        <v>92</v>
      </c>
      <c r="E152" s="25">
        <v>42545.034953703704</v>
      </c>
      <c r="F152" s="25">
        <v>42545.03570601852</v>
      </c>
      <c r="G152" s="31">
        <v>1</v>
      </c>
      <c r="H152" s="25" t="s">
        <v>510</v>
      </c>
      <c r="I152" s="25">
        <v>42545.067013888889</v>
      </c>
      <c r="J152" s="43">
        <v>0</v>
      </c>
      <c r="K152" s="43" t="str">
        <f t="shared" si="49"/>
        <v>4017/4018</v>
      </c>
      <c r="L152" s="43" t="str">
        <f>VLOOKUP(A152,'Trips&amp;Operators'!$C$1:$E$10000,3,FALSE)</f>
        <v>ADANE</v>
      </c>
      <c r="M152" s="11">
        <f t="shared" si="50"/>
        <v>3.1307870369346347E-2</v>
      </c>
      <c r="N152" s="12">
        <f t="shared" si="51"/>
        <v>45.083333331858739</v>
      </c>
      <c r="O152" s="12"/>
      <c r="P152" s="12"/>
      <c r="Q152" s="44"/>
      <c r="R152" s="44"/>
      <c r="S152" s="70">
        <f t="shared" si="48"/>
        <v>1</v>
      </c>
      <c r="T152" s="2" t="str">
        <f t="shared" si="52"/>
        <v>Southbound</v>
      </c>
      <c r="U152" s="2">
        <f>COUNTIFS(Variables!$M$2:$M$19, "&lt;=" &amp; Y152, Variables!$M$2:$M$19, "&gt;=" &amp; Z152)</f>
        <v>12</v>
      </c>
      <c r="V15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https://search-rtdc-monitor-bjffxe2xuh6vdkpspy63sjmuny.us-east-1.es.amazonaws.com/_plugin/kibana/#/discover/Steve-Slow-Train-Analysis-(2080s-and-2083s)?_g=(refreshInterval:(display:Off,section:0,value:0),time:(from:'2016-06-24 00:49:20-0600',mode:absolute,to:'2016-06-24 01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2" s="48" t="str">
        <f t="shared" si="54"/>
        <v>N</v>
      </c>
      <c r="X152" s="48">
        <f t="shared" si="55"/>
        <v>1</v>
      </c>
      <c r="Y152" s="48">
        <f t="shared" si="57"/>
        <v>23.297499999999999</v>
      </c>
      <c r="Z152" s="48">
        <f t="shared" si="58"/>
        <v>1.3599999999999999E-2</v>
      </c>
      <c r="AA152" s="48">
        <f t="shared" si="56"/>
        <v>23.283899999999999</v>
      </c>
      <c r="AB152" s="49" t="e">
        <f>VLOOKUP(A152,Enforcements!$C$7:$J$73,8,0)</f>
        <v>#N/A</v>
      </c>
      <c r="AC152" s="49" t="e">
        <f>VLOOKUP(A152,Enforcements!$C$7:$E$73,3,0)</f>
        <v>#N/A</v>
      </c>
    </row>
    <row r="153" spans="1:29" s="2" customFormat="1" x14ac:dyDescent="0.25">
      <c r="A153" s="43" t="s">
        <v>303</v>
      </c>
      <c r="B153" s="43">
        <v>4014</v>
      </c>
      <c r="C153" s="43" t="s">
        <v>60</v>
      </c>
      <c r="D153" s="43" t="s">
        <v>118</v>
      </c>
      <c r="E153" s="25">
        <v>42545.012557870374</v>
      </c>
      <c r="F153" s="25">
        <v>42545.016331018516</v>
      </c>
      <c r="G153" s="31">
        <v>5</v>
      </c>
      <c r="H153" s="25" t="s">
        <v>205</v>
      </c>
      <c r="I153" s="25">
        <v>42545.049513888887</v>
      </c>
      <c r="J153" s="43">
        <v>1</v>
      </c>
      <c r="K153" s="43" t="str">
        <f t="shared" si="49"/>
        <v>4013/4014</v>
      </c>
      <c r="L153" s="43" t="str">
        <f>VLOOKUP(A153,'Trips&amp;Operators'!$C$1:$E$10000,3,FALSE)</f>
        <v>STRICKLAND</v>
      </c>
      <c r="M153" s="11">
        <f t="shared" si="50"/>
        <v>3.3182870371092577E-2</v>
      </c>
      <c r="N153" s="12">
        <f t="shared" si="51"/>
        <v>47.78333333437331</v>
      </c>
      <c r="O153" s="12"/>
      <c r="P153" s="12"/>
      <c r="Q153" s="44"/>
      <c r="R153" s="44"/>
      <c r="S153" s="70">
        <f t="shared" si="48"/>
        <v>1</v>
      </c>
      <c r="T153" s="2" t="str">
        <f t="shared" si="52"/>
        <v>NorthBound</v>
      </c>
      <c r="U153" s="2">
        <f>COUNTIFS(Variables!$M$2:$M$19, "&gt;=" &amp; Y153, Variables!$M$2:$M$19, "&lt;=" &amp; Z153)</f>
        <v>12</v>
      </c>
      <c r="V15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https://search-rtdc-monitor-bjffxe2xuh6vdkpspy63sjmuny.us-east-1.es.amazonaws.com/_plugin/kibana/#/discover/Steve-Slow-Train-Analysis-(2080s-and-2083s)?_g=(refreshInterval:(display:Off,section:0,value:0),time:(from:'2016-06-24 00:17:05-0600',mode:absolute,to:'2016-06-24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3" s="48" t="str">
        <f t="shared" si="54"/>
        <v>N</v>
      </c>
      <c r="X153" s="48">
        <f t="shared" si="55"/>
        <v>1</v>
      </c>
      <c r="Y153" s="48">
        <f t="shared" si="57"/>
        <v>4.6899999999999997E-2</v>
      </c>
      <c r="Z153" s="48">
        <f t="shared" si="58"/>
        <v>23.328199999999999</v>
      </c>
      <c r="AA153" s="48">
        <f t="shared" si="56"/>
        <v>23.281299999999998</v>
      </c>
      <c r="AB153" s="49">
        <f>VLOOKUP(A153,Enforcements!$C$7:$J$73,8,0)</f>
        <v>233491</v>
      </c>
      <c r="AC153" s="49" t="str">
        <f>VLOOKUP(A153,Enforcements!$C$7:$E$73,3,0)</f>
        <v>TRACK WARRANT AUTHORITY</v>
      </c>
    </row>
    <row r="154" spans="1:29" s="2" customFormat="1" x14ac:dyDescent="0.25">
      <c r="A154" s="43" t="s">
        <v>354</v>
      </c>
      <c r="B154" s="43">
        <v>4013</v>
      </c>
      <c r="C154" s="43" t="s">
        <v>60</v>
      </c>
      <c r="D154" s="43" t="s">
        <v>513</v>
      </c>
      <c r="E154" s="25">
        <v>42545.069016203706</v>
      </c>
      <c r="F154" s="25">
        <v>42545.070081018515</v>
      </c>
      <c r="G154" s="25">
        <v>1</v>
      </c>
      <c r="H154" s="25" t="s">
        <v>485</v>
      </c>
      <c r="I154" s="25">
        <v>42545.091284722221</v>
      </c>
      <c r="J154" s="43">
        <v>2</v>
      </c>
      <c r="K154" s="43" t="str">
        <f t="shared" si="49"/>
        <v>4013/4014</v>
      </c>
      <c r="L154" s="43" t="str">
        <f>VLOOKUP(A154,'Trips&amp;Operators'!$C$1:$E$10000,3,FALSE)</f>
        <v>STRICKLAND</v>
      </c>
      <c r="M154" s="11">
        <f t="shared" si="50"/>
        <v>2.1203703705396038E-2</v>
      </c>
      <c r="N154" s="12"/>
      <c r="O154" s="12"/>
      <c r="P154" s="12">
        <f>24*60*SUM($M154:$M154)</f>
        <v>30.533333335770294</v>
      </c>
      <c r="Q154" s="44"/>
      <c r="R154" s="44" t="s">
        <v>182</v>
      </c>
      <c r="S154" s="70">
        <f t="shared" si="48"/>
        <v>1</v>
      </c>
      <c r="T154" s="2" t="str">
        <f t="shared" si="52"/>
        <v>Southbound</v>
      </c>
      <c r="U154" s="2">
        <f>COUNTIFS(Variables!$M$2:$M$19, "&lt;=" &amp; Y154, Variables!$M$2:$M$19, "&gt;=" &amp; Z154)</f>
        <v>12</v>
      </c>
      <c r="V15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01:38:23-0600',mode:absolute,to:'2016-06-24 02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4" s="48" t="str">
        <f t="shared" si="54"/>
        <v>Y</v>
      </c>
      <c r="X154" s="48">
        <f t="shared" si="55"/>
        <v>1</v>
      </c>
      <c r="Y154" s="48">
        <f t="shared" si="57"/>
        <v>15.3994</v>
      </c>
      <c r="Z154" s="48">
        <f t="shared" si="58"/>
        <v>1.8700000000000001E-2</v>
      </c>
      <c r="AA154" s="48">
        <f t="shared" si="56"/>
        <v>15.380699999999999</v>
      </c>
      <c r="AB154" s="49" t="e">
        <f>VLOOKUP(A154,Enforcements!$C$7:$J$73,8,0)</f>
        <v>#N/A</v>
      </c>
      <c r="AC154" s="49" t="e">
        <f>VLOOKUP(A154,Enforcements!$C$7:$E$73,3,0)</f>
        <v>#N/A</v>
      </c>
    </row>
    <row r="155" spans="1:29" s="2" customFormat="1" x14ac:dyDescent="0.25">
      <c r="E155" s="79"/>
      <c r="F155" s="79"/>
      <c r="I155" s="79"/>
    </row>
    <row r="156" spans="1:29" s="2" customFormat="1" x14ac:dyDescent="0.25">
      <c r="E156" s="79"/>
      <c r="F156" s="79"/>
      <c r="I156" s="79"/>
    </row>
    <row r="157" spans="1:29" s="2" customFormat="1" x14ac:dyDescent="0.25">
      <c r="E157" s="79"/>
      <c r="F157" s="79"/>
      <c r="I157" s="79"/>
    </row>
    <row r="158" spans="1:29" s="2" customFormat="1" x14ac:dyDescent="0.25">
      <c r="E158" s="79"/>
      <c r="F158" s="79"/>
      <c r="I158" s="79"/>
    </row>
    <row r="159" spans="1:29" x14ac:dyDescent="0.25">
      <c r="B159" s="42"/>
      <c r="C159" s="42"/>
      <c r="D159" s="42"/>
      <c r="J159" s="42"/>
    </row>
    <row r="160" spans="1:29" x14ac:dyDescent="0.25">
      <c r="B160" s="42"/>
      <c r="C160" s="42"/>
      <c r="D160" s="42"/>
      <c r="J160" s="42"/>
    </row>
    <row r="161" spans="2:10" s="2" customFormat="1" x14ac:dyDescent="0.25">
      <c r="E161" s="79"/>
      <c r="F161" s="79"/>
      <c r="I161" s="79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  <row r="167" spans="2:10" x14ac:dyDescent="0.25">
      <c r="B167" s="42"/>
      <c r="C167" s="42"/>
      <c r="D167" s="42"/>
      <c r="J167" s="42"/>
    </row>
    <row r="168" spans="2:10" x14ac:dyDescent="0.25">
      <c r="B168" s="42"/>
      <c r="C168" s="42"/>
      <c r="D168" s="42"/>
      <c r="J168" s="42"/>
    </row>
    <row r="169" spans="2:10" x14ac:dyDescent="0.25">
      <c r="B169" s="42"/>
      <c r="C169" s="42"/>
      <c r="D169" s="42"/>
      <c r="J169" s="42"/>
    </row>
    <row r="170" spans="2:10" x14ac:dyDescent="0.25">
      <c r="B170" s="42"/>
      <c r="C170" s="42"/>
      <c r="D170" s="42"/>
      <c r="J170" s="42"/>
    </row>
    <row r="171" spans="2:10" x14ac:dyDescent="0.25">
      <c r="B171" s="42"/>
      <c r="C171" s="42"/>
      <c r="D171" s="42"/>
      <c r="J171" s="42"/>
    </row>
    <row r="172" spans="2:10" x14ac:dyDescent="0.25">
      <c r="B172" s="42"/>
      <c r="C172" s="42"/>
      <c r="D172" s="42"/>
      <c r="J172" s="42"/>
    </row>
    <row r="173" spans="2:10" x14ac:dyDescent="0.25">
      <c r="B173" s="42"/>
      <c r="C173" s="42"/>
      <c r="D173" s="42"/>
      <c r="J173" s="42"/>
    </row>
    <row r="174" spans="2:10" x14ac:dyDescent="0.25">
      <c r="B174" s="42"/>
      <c r="C174" s="42"/>
      <c r="D174" s="42"/>
      <c r="J174" s="42"/>
    </row>
    <row r="175" spans="2:10" x14ac:dyDescent="0.25">
      <c r="B175" s="42"/>
      <c r="C175" s="42"/>
      <c r="D175" s="42"/>
      <c r="J175" s="42"/>
    </row>
    <row r="176" spans="2:10" x14ac:dyDescent="0.25">
      <c r="B176" s="42"/>
      <c r="C176" s="42"/>
      <c r="D176" s="42"/>
      <c r="J176" s="42"/>
    </row>
    <row r="177" spans="2:10" x14ac:dyDescent="0.25">
      <c r="B177" s="42"/>
      <c r="C177" s="42"/>
      <c r="D177" s="42"/>
      <c r="J177" s="42"/>
    </row>
    <row r="178" spans="2:10" x14ac:dyDescent="0.25">
      <c r="B178" s="42"/>
      <c r="C178" s="42"/>
      <c r="D178" s="42"/>
      <c r="J178" s="42"/>
    </row>
    <row r="179" spans="2:10" x14ac:dyDescent="0.25">
      <c r="B179" s="42"/>
      <c r="C179" s="42"/>
      <c r="D179" s="42"/>
      <c r="J179" s="42"/>
    </row>
    <row r="180" spans="2:10" x14ac:dyDescent="0.25">
      <c r="B180" s="42"/>
      <c r="C180" s="42"/>
      <c r="D180" s="42"/>
      <c r="J180" s="42"/>
    </row>
    <row r="181" spans="2:10" x14ac:dyDescent="0.25">
      <c r="B181" s="42"/>
      <c r="C181" s="42"/>
      <c r="D181" s="42"/>
      <c r="J181" s="42"/>
    </row>
    <row r="182" spans="2:10" x14ac:dyDescent="0.25">
      <c r="B182" s="42"/>
      <c r="C182" s="42"/>
      <c r="D182" s="42"/>
      <c r="J182" s="42"/>
    </row>
    <row r="183" spans="2:10" x14ac:dyDescent="0.25">
      <c r="B183" s="42"/>
      <c r="C183" s="42"/>
      <c r="D183" s="42"/>
      <c r="J183" s="42"/>
    </row>
    <row r="184" spans="2:10" x14ac:dyDescent="0.25">
      <c r="B184" s="42"/>
      <c r="C184" s="42"/>
      <c r="D184" s="42"/>
      <c r="J184" s="42"/>
    </row>
    <row r="185" spans="2:10" x14ac:dyDescent="0.25">
      <c r="B185" s="42"/>
      <c r="C185" s="42"/>
      <c r="D185" s="42"/>
      <c r="J185" s="42"/>
    </row>
    <row r="186" spans="2:10" x14ac:dyDescent="0.25">
      <c r="B186" s="42"/>
      <c r="C186" s="42"/>
      <c r="D186" s="42"/>
      <c r="J186" s="42"/>
    </row>
    <row r="187" spans="2:10" x14ac:dyDescent="0.25">
      <c r="B187" s="42"/>
      <c r="C187" s="42"/>
      <c r="D187" s="42"/>
      <c r="J187" s="42"/>
    </row>
    <row r="188" spans="2:10" x14ac:dyDescent="0.25">
      <c r="B188" s="42"/>
      <c r="C188" s="42"/>
      <c r="D188" s="42"/>
      <c r="J188" s="42"/>
    </row>
    <row r="189" spans="2:10" x14ac:dyDescent="0.25">
      <c r="B189" s="42"/>
      <c r="C189" s="42"/>
      <c r="D189" s="42"/>
      <c r="J189" s="42"/>
    </row>
    <row r="190" spans="2:10" x14ac:dyDescent="0.25">
      <c r="B190" s="42"/>
      <c r="C190" s="42"/>
      <c r="D190" s="42"/>
      <c r="J190" s="42"/>
    </row>
    <row r="191" spans="2:10" x14ac:dyDescent="0.25">
      <c r="B191" s="42"/>
      <c r="C191" s="42"/>
      <c r="D191" s="42"/>
      <c r="J191" s="42"/>
    </row>
    <row r="192" spans="2:10" x14ac:dyDescent="0.25">
      <c r="B192" s="42"/>
      <c r="C192" s="42"/>
      <c r="D192" s="42"/>
      <c r="J192" s="42"/>
    </row>
    <row r="193" spans="2:10" x14ac:dyDescent="0.25">
      <c r="B193" s="42"/>
      <c r="C193" s="42"/>
      <c r="D193" s="42"/>
      <c r="J193" s="42"/>
    </row>
    <row r="194" spans="2:10" x14ac:dyDescent="0.25">
      <c r="B194" s="42"/>
      <c r="C194" s="42"/>
      <c r="D194" s="42"/>
      <c r="J194" s="42"/>
    </row>
    <row r="195" spans="2:10" x14ac:dyDescent="0.25">
      <c r="B195" s="42"/>
      <c r="C195" s="42"/>
      <c r="D195" s="42"/>
      <c r="J195" s="42"/>
    </row>
    <row r="196" spans="2:10" x14ac:dyDescent="0.25">
      <c r="B196" s="42"/>
      <c r="C196" s="42"/>
      <c r="D196" s="42"/>
      <c r="J196" s="42"/>
    </row>
  </sheetData>
  <autoFilter ref="A12:AC144">
    <sortState ref="A13:AC157">
      <sortCondition ref="T12:T154"/>
    </sortState>
  </autoFilter>
  <sortState ref="A13:AC154">
    <sortCondition ref="A13:A154"/>
    <sortCondition ref="F13:F154"/>
  </sortState>
  <mergeCells count="4">
    <mergeCell ref="A11:P11"/>
    <mergeCell ref="I2:J2"/>
    <mergeCell ref="M2:O2"/>
    <mergeCell ref="I3:J3"/>
  </mergeCells>
  <conditionalFormatting sqref="W11:W12 W177:X1048576 W13:X154">
    <cfRule type="cellIs" dxfId="10" priority="69" operator="equal">
      <formula>"Y"</formula>
    </cfRule>
  </conditionalFormatting>
  <conditionalFormatting sqref="X177:X1048576 X13:X154">
    <cfRule type="cellIs" dxfId="9" priority="52" operator="greaterThan">
      <formula>1</formula>
    </cfRule>
  </conditionalFormatting>
  <conditionalFormatting sqref="X177:X1048576 X12:X154">
    <cfRule type="cellIs" dxfId="8" priority="49" operator="equal">
      <formula>0</formula>
    </cfRule>
  </conditionalFormatting>
  <conditionalFormatting sqref="B141:M143 A13:S13 S13:S29 A144:M152 A14:M140 N14:S152 A153:S154">
    <cfRule type="expression" dxfId="7" priority="45">
      <formula>$O13&gt;0</formula>
    </cfRule>
  </conditionalFormatting>
  <conditionalFormatting sqref="A13:S154">
    <cfRule type="expression" dxfId="6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B141:M143 A13:S13 S13:S29 A144:M152 A14:M140 N14:S152 A153:S154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GridLines="0" zoomScale="85" zoomScaleNormal="85" workbookViewId="0">
      <selection activeCell="G35" sqref="G35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183</v>
      </c>
      <c r="L2" s="73"/>
      <c r="M2" s="74">
        <f>COUNTIF($M$7:$M$918,"=Y")</f>
        <v>9</v>
      </c>
      <c r="P2" s="55"/>
    </row>
    <row r="3" spans="1:17" s="42" customFormat="1" ht="15.75" thickBot="1" x14ac:dyDescent="0.3">
      <c r="A3" s="13"/>
      <c r="K3" s="75" t="s">
        <v>184</v>
      </c>
      <c r="L3" s="76"/>
      <c r="M3" s="77">
        <f>COUNTA($M$7:$M$918)-M2</f>
        <v>58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9" t="str">
        <f>"Eagle P3 Braking Events - "&amp;TEXT(Variables!$A$2,"YYYY-mm-dd")</f>
        <v>Eagle P3 Braking Events - 2016-06-23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73</v>
      </c>
    </row>
    <row r="7" spans="1:17" s="2" customFormat="1" x14ac:dyDescent="0.25">
      <c r="A7" s="18">
        <v>42544.568124999998</v>
      </c>
      <c r="B7" s="17" t="s">
        <v>258</v>
      </c>
      <c r="C7" s="17" t="s">
        <v>259</v>
      </c>
      <c r="D7" s="17" t="s">
        <v>50</v>
      </c>
      <c r="E7" s="17" t="s">
        <v>79</v>
      </c>
      <c r="F7" s="17">
        <v>0</v>
      </c>
      <c r="G7" s="17">
        <v>35</v>
      </c>
      <c r="H7" s="17">
        <v>63414</v>
      </c>
      <c r="I7" s="17" t="s">
        <v>80</v>
      </c>
      <c r="J7" s="17">
        <v>63309</v>
      </c>
      <c r="K7" s="16" t="s">
        <v>54</v>
      </c>
      <c r="L7" s="16" t="str">
        <f>VLOOKUP(C7,'Trips&amp;Operators'!$C$2:$E$10000,3,FALSE)</f>
        <v>YOUNG</v>
      </c>
      <c r="M7" s="15" t="s">
        <v>180</v>
      </c>
      <c r="N7" s="16" t="s">
        <v>520</v>
      </c>
      <c r="P7" s="54" t="str">
        <f>VLOOKUP(C7,'Train Runs'!$A$13:$V$253,22,0)</f>
        <v>https://search-rtdc-monitor-bjffxe2xuh6vdkpspy63sjmuny.us-east-1.es.amazonaws.com/_plugin/kibana/#/discover/Steve-Slow-Train-Analysis-(2080s-and-2083s)?_g=(refreshInterval:(display:Off,section:0,value:0),time:(from:'2016-06-23 13:08:52-0600',mode:absolute,to:'2016-06-23 13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7" s="14" t="str">
        <f>MID(B7,13,4)</f>
        <v>4037</v>
      </c>
    </row>
    <row r="8" spans="1:17" s="2" customFormat="1" x14ac:dyDescent="0.25">
      <c r="A8" s="78">
        <v>42544.805833333332</v>
      </c>
      <c r="B8" s="66" t="s">
        <v>215</v>
      </c>
      <c r="C8" s="66" t="s">
        <v>293</v>
      </c>
      <c r="D8" s="66" t="s">
        <v>50</v>
      </c>
      <c r="E8" s="66" t="s">
        <v>79</v>
      </c>
      <c r="F8" s="66">
        <v>0</v>
      </c>
      <c r="G8" s="66">
        <v>460</v>
      </c>
      <c r="H8" s="66">
        <v>66426</v>
      </c>
      <c r="I8" s="66" t="s">
        <v>80</v>
      </c>
      <c r="J8" s="66">
        <v>63309</v>
      </c>
      <c r="K8" s="66" t="s">
        <v>54</v>
      </c>
      <c r="L8" s="16" t="str">
        <f>VLOOKUP(C8,'Trips&amp;Operators'!$C$2:$E$10000,3,FALSE)</f>
        <v>DE LA ROSA</v>
      </c>
      <c r="M8" s="15" t="s">
        <v>180</v>
      </c>
      <c r="N8" s="16" t="s">
        <v>520</v>
      </c>
      <c r="P8" s="54" t="str">
        <f>VLOOKUP(C8,'Train Runs'!$A$13:$V$253,22,0)</f>
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8" s="14" t="str">
        <f>MID(B8,13,4)</f>
        <v>4010</v>
      </c>
    </row>
    <row r="9" spans="1:17" s="2" customFormat="1" x14ac:dyDescent="0.25">
      <c r="A9" s="78">
        <v>42544.806527777779</v>
      </c>
      <c r="B9" s="66" t="s">
        <v>215</v>
      </c>
      <c r="C9" s="66" t="s">
        <v>293</v>
      </c>
      <c r="D9" s="66" t="s">
        <v>50</v>
      </c>
      <c r="E9" s="66" t="s">
        <v>79</v>
      </c>
      <c r="F9" s="66">
        <v>0</v>
      </c>
      <c r="G9" s="66">
        <v>459</v>
      </c>
      <c r="H9" s="66">
        <v>66407</v>
      </c>
      <c r="I9" s="66" t="s">
        <v>80</v>
      </c>
      <c r="J9" s="66">
        <v>63309</v>
      </c>
      <c r="K9" s="66" t="s">
        <v>54</v>
      </c>
      <c r="L9" s="16" t="str">
        <f>VLOOKUP(C9,'Trips&amp;Operators'!$C$2:$E$10000,3,FALSE)</f>
        <v>DE LA ROSA</v>
      </c>
      <c r="M9" s="15" t="s">
        <v>180</v>
      </c>
      <c r="N9" s="16" t="s">
        <v>520</v>
      </c>
      <c r="P9" s="54" t="str">
        <f>VLOOKUP(C9,'Train Runs'!$A$13:$V$253,22,0)</f>
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9" s="14" t="str">
        <f>MID(B9,13,4)</f>
        <v>4010</v>
      </c>
    </row>
    <row r="10" spans="1:17" s="2" customFormat="1" x14ac:dyDescent="0.25">
      <c r="A10" s="18">
        <v>42544.669976851852</v>
      </c>
      <c r="B10" s="17" t="s">
        <v>89</v>
      </c>
      <c r="C10" s="17" t="s">
        <v>273</v>
      </c>
      <c r="D10" s="17" t="s">
        <v>50</v>
      </c>
      <c r="E10" s="17" t="s">
        <v>79</v>
      </c>
      <c r="F10" s="17">
        <v>50</v>
      </c>
      <c r="G10" s="17">
        <v>133</v>
      </c>
      <c r="H10" s="17">
        <v>63872</v>
      </c>
      <c r="I10" s="17" t="s">
        <v>80</v>
      </c>
      <c r="J10" s="17">
        <v>63309</v>
      </c>
      <c r="K10" s="16" t="s">
        <v>54</v>
      </c>
      <c r="L10" s="16" t="str">
        <f>VLOOKUP(C10,'Trips&amp;Operators'!$C$2:$E$10000,3,FALSE)</f>
        <v>SPECTOR</v>
      </c>
      <c r="M10" s="15" t="s">
        <v>180</v>
      </c>
      <c r="N10" s="16" t="s">
        <v>521</v>
      </c>
      <c r="P10" s="54" t="str">
        <f>VLOOKUP(C10,'Train Runs'!$A$13:$V$253,22,0)</f>
        <v>https://search-rtdc-monitor-bjffxe2xuh6vdkpspy63sjmuny.us-east-1.es.amazonaws.com/_plugin/kibana/#/discover/Steve-Slow-Train-Analysis-(2080s-and-2083s)?_g=(refreshInterval:(display:Off,section:0,value:0),time:(from:'2016-06-23 15:34:32-0600',mode:absolute,to:'2016-06-23 16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4" t="str">
        <f>MID(B10,13,4)</f>
        <v>4017</v>
      </c>
    </row>
    <row r="11" spans="1:17" s="2" customFormat="1" x14ac:dyDescent="0.25">
      <c r="A11" s="18">
        <v>42544.440937500003</v>
      </c>
      <c r="B11" s="17" t="s">
        <v>215</v>
      </c>
      <c r="C11" s="17" t="s">
        <v>248</v>
      </c>
      <c r="D11" s="17" t="s">
        <v>50</v>
      </c>
      <c r="E11" s="17" t="s">
        <v>79</v>
      </c>
      <c r="F11" s="17">
        <v>150</v>
      </c>
      <c r="G11" s="17">
        <v>159</v>
      </c>
      <c r="H11" s="17">
        <v>63721</v>
      </c>
      <c r="I11" s="17" t="s">
        <v>80</v>
      </c>
      <c r="J11" s="17">
        <v>63309</v>
      </c>
      <c r="K11" s="16" t="s">
        <v>54</v>
      </c>
      <c r="L11" s="16" t="str">
        <f>VLOOKUP(C11,'Trips&amp;Operators'!$C$2:$E$10000,3,FALSE)</f>
        <v>STARKS</v>
      </c>
      <c r="M11" s="15" t="s">
        <v>180</v>
      </c>
      <c r="N11" s="16"/>
      <c r="P11" s="54" t="str">
        <f>VLOOKUP(C11,'Train Runs'!$A$13:$V$253,22,0)</f>
        <v>https://search-rtdc-monitor-bjffxe2xuh6vdkpspy63sjmuny.us-east-1.es.amazonaws.com/_plugin/kibana/#/discover/Steve-Slow-Train-Analysis-(2080s-and-2083s)?_g=(refreshInterval:(display:Off,section:0,value:0),time:(from:'2016-06-23 10:05:41-0600',mode:absolute,to:'2016-06-23 10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1" s="14" t="str">
        <f>MID(B11,13,4)</f>
        <v>4010</v>
      </c>
    </row>
    <row r="12" spans="1:17" s="2" customFormat="1" x14ac:dyDescent="0.25">
      <c r="A12" s="18">
        <v>42544.327557870369</v>
      </c>
      <c r="B12" s="17" t="s">
        <v>216</v>
      </c>
      <c r="C12" s="17" t="s">
        <v>237</v>
      </c>
      <c r="D12" s="17" t="s">
        <v>50</v>
      </c>
      <c r="E12" s="17" t="s">
        <v>79</v>
      </c>
      <c r="F12" s="17">
        <v>350</v>
      </c>
      <c r="G12" s="17">
        <v>491</v>
      </c>
      <c r="H12" s="17">
        <v>107902</v>
      </c>
      <c r="I12" s="17" t="s">
        <v>80</v>
      </c>
      <c r="J12" s="17">
        <v>108954</v>
      </c>
      <c r="K12" s="16" t="s">
        <v>53</v>
      </c>
      <c r="L12" s="16" t="str">
        <f>VLOOKUP(C12,'Trips&amp;Operators'!$C$2:$E$10000,3,FALSE)</f>
        <v>STARKS</v>
      </c>
      <c r="M12" s="15" t="s">
        <v>180</v>
      </c>
      <c r="N12" s="16"/>
      <c r="P12" s="54" t="str">
        <f>VLOOKUP(C12,'Train Runs'!$A$13:$V$253,22,0)</f>
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2" s="14" t="str">
        <f t="shared" ref="Q12:Q70" si="0">MID(B12,13,4)</f>
        <v>4009</v>
      </c>
    </row>
    <row r="13" spans="1:17" s="2" customFormat="1" x14ac:dyDescent="0.25">
      <c r="A13" s="18">
        <v>42544.178472222222</v>
      </c>
      <c r="B13" s="17" t="s">
        <v>225</v>
      </c>
      <c r="C13" s="17" t="s">
        <v>226</v>
      </c>
      <c r="D13" s="17" t="s">
        <v>55</v>
      </c>
      <c r="E13" s="17" t="s">
        <v>58</v>
      </c>
      <c r="F13" s="17">
        <v>600</v>
      </c>
      <c r="G13" s="17">
        <v>650</v>
      </c>
      <c r="H13" s="17">
        <v>190868</v>
      </c>
      <c r="I13" s="17" t="s">
        <v>59</v>
      </c>
      <c r="J13" s="17">
        <v>183829</v>
      </c>
      <c r="K13" s="16" t="s">
        <v>53</v>
      </c>
      <c r="L13" s="16" t="str">
        <f>VLOOKUP(C13,'Trips&amp;Operators'!$C$2:$E$10000,3,FALSE)</f>
        <v>STARKS</v>
      </c>
      <c r="M13" s="15" t="s">
        <v>180</v>
      </c>
      <c r="N13" s="16"/>
      <c r="P13" s="54" t="str">
        <f>VLOOKUP(C13,'Train Runs'!$A$13:$V$253,22,0)</f>
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3" s="14" t="str">
        <f t="shared" si="0"/>
        <v>4014</v>
      </c>
    </row>
    <row r="14" spans="1:17" s="2" customFormat="1" x14ac:dyDescent="0.25">
      <c r="A14" s="18">
        <v>42544.219699074078</v>
      </c>
      <c r="B14" s="17" t="s">
        <v>215</v>
      </c>
      <c r="C14" s="17" t="s">
        <v>229</v>
      </c>
      <c r="D14" s="17" t="s">
        <v>50</v>
      </c>
      <c r="E14" s="17" t="s">
        <v>58</v>
      </c>
      <c r="F14" s="17">
        <v>450</v>
      </c>
      <c r="G14" s="17">
        <v>429</v>
      </c>
      <c r="H14" s="17">
        <v>17763</v>
      </c>
      <c r="I14" s="17" t="s">
        <v>59</v>
      </c>
      <c r="J14" s="17">
        <v>15167</v>
      </c>
      <c r="K14" s="16" t="s">
        <v>54</v>
      </c>
      <c r="L14" s="16" t="str">
        <f>VLOOKUP(C14,'Trips&amp;Operators'!$C$2:$E$10000,3,FALSE)</f>
        <v>STARKS</v>
      </c>
      <c r="M14" s="15" t="s">
        <v>180</v>
      </c>
      <c r="N14" s="16"/>
      <c r="P14" s="54" t="str">
        <f>VLOOKUP(C14,'Train Runs'!$A$13:$V$253,22,0)</f>
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4" s="14" t="str">
        <f t="shared" si="0"/>
        <v>4010</v>
      </c>
    </row>
    <row r="15" spans="1:17" s="2" customFormat="1" x14ac:dyDescent="0.25">
      <c r="A15" s="18">
        <v>42544.22152777778</v>
      </c>
      <c r="B15" s="17" t="s">
        <v>215</v>
      </c>
      <c r="C15" s="17" t="s">
        <v>229</v>
      </c>
      <c r="D15" s="17" t="s">
        <v>50</v>
      </c>
      <c r="E15" s="17" t="s">
        <v>58</v>
      </c>
      <c r="F15" s="17">
        <v>200</v>
      </c>
      <c r="G15" s="17">
        <v>284</v>
      </c>
      <c r="H15" s="17">
        <v>6275</v>
      </c>
      <c r="I15" s="17" t="s">
        <v>59</v>
      </c>
      <c r="J15" s="17">
        <v>5439</v>
      </c>
      <c r="K15" s="16" t="s">
        <v>54</v>
      </c>
      <c r="L15" s="16" t="str">
        <f>VLOOKUP(C15,'Trips&amp;Operators'!$C$2:$E$10000,3,FALSE)</f>
        <v>STARKS</v>
      </c>
      <c r="M15" s="15" t="s">
        <v>180</v>
      </c>
      <c r="N15" s="16"/>
      <c r="P15" s="54" t="str">
        <f>VLOOKUP(C15,'Train Runs'!$A$13:$V$253,22,0)</f>
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5" s="14" t="str">
        <f t="shared" si="0"/>
        <v>4010</v>
      </c>
    </row>
    <row r="16" spans="1:17" s="2" customFormat="1" x14ac:dyDescent="0.25">
      <c r="A16" s="18">
        <v>42544.316932870373</v>
      </c>
      <c r="B16" s="17" t="s">
        <v>216</v>
      </c>
      <c r="C16" s="17" t="s">
        <v>237</v>
      </c>
      <c r="D16" s="17" t="s">
        <v>50</v>
      </c>
      <c r="E16" s="17" t="s">
        <v>58</v>
      </c>
      <c r="F16" s="17">
        <v>300</v>
      </c>
      <c r="G16" s="17">
        <v>272</v>
      </c>
      <c r="H16" s="17">
        <v>20013</v>
      </c>
      <c r="I16" s="17" t="s">
        <v>59</v>
      </c>
      <c r="J16" s="17">
        <v>20338</v>
      </c>
      <c r="K16" s="16" t="s">
        <v>53</v>
      </c>
      <c r="L16" s="16" t="str">
        <f>VLOOKUP(C16,'Trips&amp;Operators'!$C$2:$E$10000,3,FALSE)</f>
        <v>STARKS</v>
      </c>
      <c r="M16" s="15" t="s">
        <v>180</v>
      </c>
      <c r="N16" s="16"/>
      <c r="P16" s="54" t="str">
        <f>VLOOKUP(C16,'Train Runs'!$A$13:$V$253,22,0)</f>
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6" s="14" t="str">
        <f t="shared" si="0"/>
        <v>4009</v>
      </c>
    </row>
    <row r="17" spans="1:17" s="2" customFormat="1" x14ac:dyDescent="0.25">
      <c r="A17" s="18">
        <v>42544.389780092592</v>
      </c>
      <c r="B17" s="17" t="s">
        <v>212</v>
      </c>
      <c r="C17" s="17" t="s">
        <v>244</v>
      </c>
      <c r="D17" s="17" t="s">
        <v>55</v>
      </c>
      <c r="E17" s="17" t="s">
        <v>58</v>
      </c>
      <c r="F17" s="17">
        <v>700</v>
      </c>
      <c r="G17" s="17">
        <v>751</v>
      </c>
      <c r="H17" s="17">
        <v>170820</v>
      </c>
      <c r="I17" s="17" t="s">
        <v>59</v>
      </c>
      <c r="J17" s="17">
        <v>183829</v>
      </c>
      <c r="K17" s="16" t="s">
        <v>54</v>
      </c>
      <c r="L17" s="16" t="str">
        <f>VLOOKUP(C17,'Trips&amp;Operators'!$C$2:$E$10000,3,FALSE)</f>
        <v>KILLION</v>
      </c>
      <c r="M17" s="15" t="s">
        <v>180</v>
      </c>
      <c r="N17" s="16"/>
      <c r="P17" s="54" t="str">
        <f>VLOOKUP(C17,'Train Runs'!$A$13:$V$253,22,0)</f>
        <v>https://search-rtdc-monitor-bjffxe2xuh6vdkpspy63sjmuny.us-east-1.es.amazonaws.com/_plugin/kibana/#/discover/Steve-Slow-Train-Analysis-(2080s-and-2083s)?_g=(refreshInterval:(display:Off,section:0,value:0),time:(from:'2016-06-23 09:00:11-0600',mode:absolute,to:'2016-06-23 09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7" s="14" t="str">
        <f t="shared" si="0"/>
        <v>4039</v>
      </c>
    </row>
    <row r="18" spans="1:17" s="2" customFormat="1" x14ac:dyDescent="0.25">
      <c r="A18" s="18">
        <v>42544.379004629627</v>
      </c>
      <c r="B18" s="17" t="s">
        <v>86</v>
      </c>
      <c r="C18" s="17" t="s">
        <v>243</v>
      </c>
      <c r="D18" s="17" t="s">
        <v>50</v>
      </c>
      <c r="E18" s="17" t="s">
        <v>58</v>
      </c>
      <c r="F18" s="17">
        <v>550</v>
      </c>
      <c r="G18" s="17">
        <v>638</v>
      </c>
      <c r="H18" s="17">
        <v>220681</v>
      </c>
      <c r="I18" s="17" t="s">
        <v>59</v>
      </c>
      <c r="J18" s="17">
        <v>222090</v>
      </c>
      <c r="K18" s="16" t="s">
        <v>53</v>
      </c>
      <c r="L18" s="16" t="str">
        <f>VLOOKUP(C18,'Trips&amp;Operators'!$C$2:$E$10000,3,FALSE)</f>
        <v>STAMBAUGH</v>
      </c>
      <c r="M18" s="15" t="s">
        <v>180</v>
      </c>
      <c r="N18" s="16"/>
      <c r="P18" s="54" t="str">
        <f>VLOOKUP(C18,'Train Runs'!$A$13:$V$253,22,0)</f>
        <v>https://search-rtdc-monitor-bjffxe2xuh6vdkpspy63sjmuny.us-east-1.es.amazonaws.com/_plugin/kibana/#/discover/Steve-Slow-Train-Analysis-(2080s-and-2083s)?_g=(refreshInterval:(display:Off,section:0,value:0),time:(from:'2016-06-23 08:23:55-0600',mode:absolute,to:'2016-06-23 09:11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8" s="14" t="str">
        <f t="shared" si="0"/>
        <v>4020</v>
      </c>
    </row>
    <row r="19" spans="1:17" s="2" customFormat="1" x14ac:dyDescent="0.25">
      <c r="A19" s="18">
        <v>42544.498020833336</v>
      </c>
      <c r="B19" s="17" t="s">
        <v>96</v>
      </c>
      <c r="C19" s="17" t="s">
        <v>251</v>
      </c>
      <c r="D19" s="17" t="s">
        <v>50</v>
      </c>
      <c r="E19" s="17" t="s">
        <v>58</v>
      </c>
      <c r="F19" s="17">
        <v>200</v>
      </c>
      <c r="G19" s="17">
        <v>359</v>
      </c>
      <c r="H19" s="17">
        <v>32057</v>
      </c>
      <c r="I19" s="17" t="s">
        <v>59</v>
      </c>
      <c r="J19" s="17">
        <v>30562</v>
      </c>
      <c r="K19" s="16" t="s">
        <v>54</v>
      </c>
      <c r="L19" s="16" t="str">
        <f>VLOOKUP(C19,'Trips&amp;Operators'!$C$2:$E$10000,3,FALSE)</f>
        <v>STAMBAUGH</v>
      </c>
      <c r="M19" s="15" t="s">
        <v>180</v>
      </c>
      <c r="N19" s="16"/>
      <c r="P19" s="54" t="str">
        <f>VLOOKUP(C19,'Train Runs'!$A$13:$V$253,22,0)</f>
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9" s="14" t="str">
        <f t="shared" si="0"/>
        <v>4030</v>
      </c>
    </row>
    <row r="20" spans="1:17" s="2" customFormat="1" x14ac:dyDescent="0.25">
      <c r="A20" s="18">
        <v>42544.573495370372</v>
      </c>
      <c r="B20" s="17" t="s">
        <v>215</v>
      </c>
      <c r="C20" s="17" t="s">
        <v>260</v>
      </c>
      <c r="D20" s="17" t="s">
        <v>50</v>
      </c>
      <c r="E20" s="17" t="s">
        <v>58</v>
      </c>
      <c r="F20" s="17">
        <v>150</v>
      </c>
      <c r="G20" s="17">
        <v>210</v>
      </c>
      <c r="H20" s="17">
        <v>229698</v>
      </c>
      <c r="I20" s="17" t="s">
        <v>59</v>
      </c>
      <c r="J20" s="17">
        <v>229055</v>
      </c>
      <c r="K20" s="16" t="s">
        <v>54</v>
      </c>
      <c r="L20" s="16" t="str">
        <f>VLOOKUP(C20,'Trips&amp;Operators'!$C$2:$E$10000,3,FALSE)</f>
        <v>BARTELL</v>
      </c>
      <c r="M20" s="15" t="s">
        <v>180</v>
      </c>
      <c r="N20" s="16"/>
      <c r="P20" s="54" t="str">
        <f>VLOOKUP(C20,'Train Runs'!$A$13:$V$253,22,0)</f>
        <v>https://search-rtdc-monitor-bjffxe2xuh6vdkpspy63sjmuny.us-east-1.es.amazonaws.com/_plugin/kibana/#/discover/Steve-Slow-Train-Analysis-(2080s-and-2083s)?_g=(refreshInterval:(display:Off,section:0,value:0),time:(from:'2016-06-23 13:39:37-0600',mode:absolute,to:'2016-06-23 14:30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0" s="14" t="str">
        <f t="shared" si="0"/>
        <v>4010</v>
      </c>
    </row>
    <row r="21" spans="1:17" s="2" customFormat="1" x14ac:dyDescent="0.25">
      <c r="A21" s="18">
        <v>42544.556886574072</v>
      </c>
      <c r="B21" s="17" t="s">
        <v>225</v>
      </c>
      <c r="C21" s="17" t="s">
        <v>257</v>
      </c>
      <c r="D21" s="17" t="s">
        <v>50</v>
      </c>
      <c r="E21" s="17" t="s">
        <v>58</v>
      </c>
      <c r="F21" s="17">
        <v>300</v>
      </c>
      <c r="G21" s="17">
        <v>277</v>
      </c>
      <c r="H21" s="17">
        <v>19932</v>
      </c>
      <c r="I21" s="17" t="s">
        <v>59</v>
      </c>
      <c r="J21" s="17">
        <v>20338</v>
      </c>
      <c r="K21" s="16" t="s">
        <v>53</v>
      </c>
      <c r="L21" s="16" t="str">
        <f>VLOOKUP(C21,'Trips&amp;Operators'!$C$2:$E$10000,3,FALSE)</f>
        <v>DAVIS</v>
      </c>
      <c r="M21" s="15" t="s">
        <v>180</v>
      </c>
      <c r="N21" s="16"/>
      <c r="P21" s="54" t="str">
        <f>VLOOKUP(C21,'Train Runs'!$A$13:$V$253,22,0)</f>
        <v>https://search-rtdc-monitor-bjffxe2xuh6vdkpspy63sjmuny.us-east-1.es.amazonaws.com/_plugin/kibana/#/discover/Steve-Slow-Train-Analysis-(2080s-and-2083s)?_g=(refreshInterval:(display:Off,section:0,value:0),time:(from:'2016-06-23 13:12:26-0600',mode:absolute,to:'2016-06-23 13:57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1" s="14" t="str">
        <f t="shared" si="0"/>
        <v>4014</v>
      </c>
    </row>
    <row r="22" spans="1:17" s="2" customFormat="1" x14ac:dyDescent="0.25">
      <c r="A22" s="18">
        <v>42544.598703703705</v>
      </c>
      <c r="B22" s="17" t="s">
        <v>262</v>
      </c>
      <c r="C22" s="17" t="s">
        <v>263</v>
      </c>
      <c r="D22" s="17" t="s">
        <v>55</v>
      </c>
      <c r="E22" s="17" t="s">
        <v>58</v>
      </c>
      <c r="F22" s="17">
        <v>700</v>
      </c>
      <c r="G22" s="17">
        <v>753</v>
      </c>
      <c r="H22" s="17">
        <v>178691</v>
      </c>
      <c r="I22" s="17" t="s">
        <v>59</v>
      </c>
      <c r="J22" s="17">
        <v>183829</v>
      </c>
      <c r="K22" s="16" t="s">
        <v>54</v>
      </c>
      <c r="L22" s="16" t="str">
        <f>VLOOKUP(C22,'Trips&amp;Operators'!$C$2:$E$10000,3,FALSE)</f>
        <v>DAVIS</v>
      </c>
      <c r="M22" s="15" t="s">
        <v>180</v>
      </c>
      <c r="N22" s="16"/>
      <c r="P22" s="54" t="str">
        <f>VLOOKUP(C22,'Train Runs'!$A$13:$V$253,22,0)</f>
        <v>https://search-rtdc-monitor-bjffxe2xuh6vdkpspy63sjmuny.us-east-1.es.amazonaws.com/_plugin/kibana/#/discover/Steve-Slow-Train-Analysis-(2080s-and-2083s)?_g=(refreshInterval:(display:Off,section:0,value:0),time:(from:'2016-06-23 14:07:58-0600',mode:absolute,to:'2016-06-23 14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2" s="14" t="str">
        <f t="shared" si="0"/>
        <v>4013</v>
      </c>
    </row>
    <row r="23" spans="1:17" s="2" customFormat="1" x14ac:dyDescent="0.25">
      <c r="A23" s="18">
        <v>42544.677627314813</v>
      </c>
      <c r="B23" s="17" t="s">
        <v>89</v>
      </c>
      <c r="C23" s="17" t="s">
        <v>273</v>
      </c>
      <c r="D23" s="17" t="s">
        <v>50</v>
      </c>
      <c r="E23" s="17" t="s">
        <v>58</v>
      </c>
      <c r="F23" s="17">
        <v>450</v>
      </c>
      <c r="G23" s="17">
        <v>444</v>
      </c>
      <c r="H23" s="17">
        <v>17403</v>
      </c>
      <c r="I23" s="17" t="s">
        <v>59</v>
      </c>
      <c r="J23" s="17">
        <v>15167</v>
      </c>
      <c r="K23" s="16" t="s">
        <v>54</v>
      </c>
      <c r="L23" s="16" t="str">
        <f>VLOOKUP(C23,'Trips&amp;Operators'!$C$2:$E$10000,3,FALSE)</f>
        <v>SPECTOR</v>
      </c>
      <c r="M23" s="15" t="s">
        <v>180</v>
      </c>
      <c r="N23" s="16"/>
      <c r="P23" s="54" t="str">
        <f>VLOOKUP(C23,'Train Runs'!$A$13:$V$253,22,0)</f>
        <v>https://search-rtdc-monitor-bjffxe2xuh6vdkpspy63sjmuny.us-east-1.es.amazonaws.com/_plugin/kibana/#/discover/Steve-Slow-Train-Analysis-(2080s-and-2083s)?_g=(refreshInterval:(display:Off,section:0,value:0),time:(from:'2016-06-23 15:34:32-0600',mode:absolute,to:'2016-06-23 16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3" s="14" t="str">
        <f t="shared" si="0"/>
        <v>4017</v>
      </c>
    </row>
    <row r="24" spans="1:17" s="2" customFormat="1" x14ac:dyDescent="0.25">
      <c r="A24" s="78">
        <v>42544.698506944442</v>
      </c>
      <c r="B24" s="66" t="s">
        <v>85</v>
      </c>
      <c r="C24" s="66" t="s">
        <v>279</v>
      </c>
      <c r="D24" s="66" t="s">
        <v>50</v>
      </c>
      <c r="E24" s="66" t="s">
        <v>58</v>
      </c>
      <c r="F24" s="66">
        <v>450</v>
      </c>
      <c r="G24" s="66">
        <v>437</v>
      </c>
      <c r="H24" s="66">
        <v>17254</v>
      </c>
      <c r="I24" s="66" t="s">
        <v>59</v>
      </c>
      <c r="J24" s="66">
        <v>15167</v>
      </c>
      <c r="K24" s="66" t="s">
        <v>54</v>
      </c>
      <c r="L24" s="16" t="str">
        <f>VLOOKUP(C24,'Trips&amp;Operators'!$C$2:$E$10000,3,FALSE)</f>
        <v>COOLAHAN</v>
      </c>
      <c r="M24" s="15" t="s">
        <v>180</v>
      </c>
      <c r="N24" s="16"/>
      <c r="P24" s="54" t="str">
        <f>VLOOKUP(C24,'Train Runs'!$A$13:$V$253,22,0)</f>
        <v>https://search-rtdc-monitor-bjffxe2xuh6vdkpspy63sjmuny.us-east-1.es.amazonaws.com/_plugin/kibana/#/discover/Steve-Slow-Train-Analysis-(2080s-and-2083s)?_g=(refreshInterval:(display:Off,section:0,value:0),time:(from:'2016-06-23 16:04:49-0600',mode:absolute,to:'2016-06-23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4" s="14" t="str">
        <f t="shared" si="0"/>
        <v>4019</v>
      </c>
    </row>
    <row r="25" spans="1:17" s="2" customFormat="1" x14ac:dyDescent="0.25">
      <c r="A25" s="78">
        <v>42544.689791666664</v>
      </c>
      <c r="B25" s="66" t="s">
        <v>88</v>
      </c>
      <c r="C25" s="66" t="s">
        <v>277</v>
      </c>
      <c r="D25" s="66" t="s">
        <v>55</v>
      </c>
      <c r="E25" s="66" t="s">
        <v>58</v>
      </c>
      <c r="F25" s="66">
        <v>200</v>
      </c>
      <c r="G25" s="66">
        <v>253</v>
      </c>
      <c r="H25" s="66">
        <v>5266</v>
      </c>
      <c r="I25" s="66" t="s">
        <v>59</v>
      </c>
      <c r="J25" s="66">
        <v>4677</v>
      </c>
      <c r="K25" s="66" t="s">
        <v>53</v>
      </c>
      <c r="L25" s="16" t="str">
        <f>VLOOKUP(C25,'Trips&amp;Operators'!$C$2:$E$10000,3,FALSE)</f>
        <v>SPECTOR</v>
      </c>
      <c r="M25" s="15" t="s">
        <v>180</v>
      </c>
      <c r="N25" s="16"/>
      <c r="P25" s="54" t="str">
        <f>VLOOKUP(C25,'Train Runs'!$A$13:$V$253,22,0)</f>
        <v>https://search-rtdc-monitor-bjffxe2xuh6vdkpspy63sjmuny.us-east-1.es.amazonaws.com/_plugin/kibana/#/discover/Steve-Slow-Train-Analysis-(2080s-and-2083s)?_g=(refreshInterval:(display:Off,section:0,value:0),time:(from:'2016-06-23 16:25:22-0600',mode:absolute,to:'2016-06-23 17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5" s="14" t="str">
        <f t="shared" si="0"/>
        <v>4018</v>
      </c>
    </row>
    <row r="26" spans="1:17" s="2" customFormat="1" x14ac:dyDescent="0.25">
      <c r="A26" s="78">
        <v>42544.759953703702</v>
      </c>
      <c r="B26" s="66" t="s">
        <v>114</v>
      </c>
      <c r="C26" s="66" t="s">
        <v>288</v>
      </c>
      <c r="D26" s="66" t="s">
        <v>50</v>
      </c>
      <c r="E26" s="66" t="s">
        <v>58</v>
      </c>
      <c r="F26" s="66">
        <v>450</v>
      </c>
      <c r="G26" s="66">
        <v>472</v>
      </c>
      <c r="H26" s="66">
        <v>67182</v>
      </c>
      <c r="I26" s="66" t="s">
        <v>59</v>
      </c>
      <c r="J26" s="66">
        <v>68497</v>
      </c>
      <c r="K26" s="66" t="s">
        <v>53</v>
      </c>
      <c r="L26" s="16" t="str">
        <f>VLOOKUP(C26,'Trips&amp;Operators'!$C$2:$E$10000,3,FALSE)</f>
        <v>MAELZER</v>
      </c>
      <c r="M26" s="15" t="s">
        <v>180</v>
      </c>
      <c r="N26" s="16"/>
      <c r="P26" s="54" t="str">
        <f>VLOOKUP(C26,'Train Runs'!$A$13:$V$253,22,0)</f>
        <v>https://search-rtdc-monitor-bjffxe2xuh6vdkpspy63sjmuny.us-east-1.es.amazonaws.com/_plugin/kibana/#/discover/Steve-Slow-Train-Analysis-(2080s-and-2083s)?_g=(refreshInterval:(display:Off,section:0,value:0),time:(from:'2016-06-23 17:49:16-0600',mode:absolute,to:'2016-06-23 18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6" s="14" t="str">
        <f t="shared" si="0"/>
        <v>4042</v>
      </c>
    </row>
    <row r="27" spans="1:17" s="2" customFormat="1" x14ac:dyDescent="0.25">
      <c r="A27" s="18">
        <v>42544.281655092593</v>
      </c>
      <c r="B27" s="17" t="s">
        <v>96</v>
      </c>
      <c r="C27" s="17" t="s">
        <v>233</v>
      </c>
      <c r="D27" s="17" t="s">
        <v>50</v>
      </c>
      <c r="E27" s="17" t="s">
        <v>56</v>
      </c>
      <c r="F27" s="17">
        <v>0</v>
      </c>
      <c r="G27" s="17">
        <v>295</v>
      </c>
      <c r="H27" s="17">
        <v>20853</v>
      </c>
      <c r="I27" s="17" t="s">
        <v>57</v>
      </c>
      <c r="J27" s="17">
        <v>20632</v>
      </c>
      <c r="K27" s="16" t="s">
        <v>54</v>
      </c>
      <c r="L27" s="16" t="str">
        <f>VLOOKUP(C27,'Trips&amp;Operators'!$C$2:$E$10000,3,FALSE)</f>
        <v>CANFIELD</v>
      </c>
      <c r="M27" s="15" t="s">
        <v>179</v>
      </c>
      <c r="N27" s="16" t="s">
        <v>181</v>
      </c>
      <c r="P27" s="54" t="str">
        <f>VLOOKUP(C27,'Train Runs'!$A$13:$V$253,22,0)</f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7" s="14" t="str">
        <f t="shared" si="0"/>
        <v>4030</v>
      </c>
    </row>
    <row r="28" spans="1:17" s="2" customFormat="1" x14ac:dyDescent="0.25">
      <c r="A28" s="18">
        <v>42544.282152777778</v>
      </c>
      <c r="B28" s="17" t="s">
        <v>96</v>
      </c>
      <c r="C28" s="17" t="s">
        <v>233</v>
      </c>
      <c r="D28" s="17" t="s">
        <v>55</v>
      </c>
      <c r="E28" s="17" t="s">
        <v>56</v>
      </c>
      <c r="F28" s="17">
        <v>0</v>
      </c>
      <c r="G28" s="17">
        <v>12</v>
      </c>
      <c r="H28" s="17">
        <v>20133</v>
      </c>
      <c r="I28" s="17" t="s">
        <v>57</v>
      </c>
      <c r="J28" s="17">
        <v>20632</v>
      </c>
      <c r="K28" s="16" t="s">
        <v>54</v>
      </c>
      <c r="L28" s="16" t="str">
        <f>VLOOKUP(C28,'Trips&amp;Operators'!$C$2:$E$10000,3,FALSE)</f>
        <v>CANFIELD</v>
      </c>
      <c r="M28" s="15" t="s">
        <v>179</v>
      </c>
      <c r="N28" s="16" t="s">
        <v>181</v>
      </c>
      <c r="P28" s="54" t="str">
        <f>VLOOKUP(C28,'Train Runs'!$A$13:$V$253,22,0)</f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8" s="14" t="str">
        <f t="shared" si="0"/>
        <v>4030</v>
      </c>
    </row>
    <row r="29" spans="1:17" s="2" customFormat="1" x14ac:dyDescent="0.25">
      <c r="A29" s="18">
        <v>42544.282453703701</v>
      </c>
      <c r="B29" s="17" t="s">
        <v>96</v>
      </c>
      <c r="C29" s="17" t="s">
        <v>233</v>
      </c>
      <c r="D29" s="17" t="s">
        <v>55</v>
      </c>
      <c r="E29" s="17" t="s">
        <v>56</v>
      </c>
      <c r="F29" s="17">
        <v>0</v>
      </c>
      <c r="G29" s="17">
        <v>2</v>
      </c>
      <c r="H29" s="17">
        <v>20091</v>
      </c>
      <c r="I29" s="17" t="s">
        <v>57</v>
      </c>
      <c r="J29" s="17">
        <v>20632</v>
      </c>
      <c r="K29" s="16" t="s">
        <v>54</v>
      </c>
      <c r="L29" s="16" t="str">
        <f>VLOOKUP(C29,'Trips&amp;Operators'!$C$2:$E$10000,3,FALSE)</f>
        <v>CANFIELD</v>
      </c>
      <c r="M29" s="15" t="s">
        <v>179</v>
      </c>
      <c r="N29" s="16" t="s">
        <v>181</v>
      </c>
      <c r="P29" s="54" t="str">
        <f>VLOOKUP(C29,'Train Runs'!$A$13:$V$253,22,0)</f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9" s="14" t="str">
        <f t="shared" si="0"/>
        <v>4030</v>
      </c>
    </row>
    <row r="30" spans="1:17" s="2" customFormat="1" x14ac:dyDescent="0.25">
      <c r="A30" s="18">
        <v>42544.282500000001</v>
      </c>
      <c r="B30" s="17" t="s">
        <v>96</v>
      </c>
      <c r="C30" s="17" t="s">
        <v>233</v>
      </c>
      <c r="D30" s="17" t="s">
        <v>55</v>
      </c>
      <c r="E30" s="17" t="s">
        <v>56</v>
      </c>
      <c r="F30" s="17">
        <v>0</v>
      </c>
      <c r="G30" s="17">
        <v>5</v>
      </c>
      <c r="H30" s="17">
        <v>20089</v>
      </c>
      <c r="I30" s="17" t="s">
        <v>57</v>
      </c>
      <c r="J30" s="17">
        <v>20632</v>
      </c>
      <c r="K30" s="16" t="s">
        <v>54</v>
      </c>
      <c r="L30" s="16" t="str">
        <f>VLOOKUP(C30,'Trips&amp;Operators'!$C$2:$E$10000,3,FALSE)</f>
        <v>CANFIELD</v>
      </c>
      <c r="M30" s="15" t="s">
        <v>179</v>
      </c>
      <c r="N30" s="16" t="s">
        <v>181</v>
      </c>
      <c r="P30" s="54" t="str">
        <f>VLOOKUP(C30,'Train Runs'!$A$13:$V$253,22,0)</f>
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0" s="14" t="str">
        <f t="shared" si="0"/>
        <v>4030</v>
      </c>
    </row>
    <row r="31" spans="1:17" s="2" customFormat="1" x14ac:dyDescent="0.25">
      <c r="A31" s="18">
        <v>42544.370972222219</v>
      </c>
      <c r="B31" s="17" t="s">
        <v>89</v>
      </c>
      <c r="C31" s="17" t="s">
        <v>241</v>
      </c>
      <c r="D31" s="17" t="s">
        <v>50</v>
      </c>
      <c r="E31" s="17" t="s">
        <v>56</v>
      </c>
      <c r="F31" s="17">
        <v>0</v>
      </c>
      <c r="G31" s="17">
        <v>410</v>
      </c>
      <c r="H31" s="17">
        <v>129121</v>
      </c>
      <c r="I31" s="17" t="s">
        <v>57</v>
      </c>
      <c r="J31" s="17">
        <v>127587</v>
      </c>
      <c r="K31" s="16" t="s">
        <v>54</v>
      </c>
      <c r="L31" s="16" t="str">
        <f>VLOOKUP(C31,'Trips&amp;Operators'!$C$2:$E$10000,3,FALSE)</f>
        <v>YORK</v>
      </c>
      <c r="M31" s="15" t="s">
        <v>179</v>
      </c>
      <c r="N31" s="16"/>
      <c r="P31" s="54" t="str">
        <f>VLOOKUP(C31,'Train Runs'!$A$13:$V$253,22,0)</f>
        <v>https://search-rtdc-monitor-bjffxe2xuh6vdkpspy63sjmuny.us-east-1.es.amazonaws.com/_plugin/kibana/#/discover/Steve-Slow-Train-Analysis-(2080s-and-2083s)?_g=(refreshInterval:(display:Off,section:0,value:0),time:(from:'2016-06-23 08:22:36-0600',mode:absolute,to:'2016-06-23 09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1" s="14" t="str">
        <f t="shared" ref="Q31:Q42" si="1">MID(B31,13,4)</f>
        <v>4017</v>
      </c>
    </row>
    <row r="32" spans="1:17" s="2" customFormat="1" x14ac:dyDescent="0.25">
      <c r="A32" s="18">
        <v>42544.486527777779</v>
      </c>
      <c r="B32" s="17" t="s">
        <v>96</v>
      </c>
      <c r="C32" s="17" t="s">
        <v>251</v>
      </c>
      <c r="D32" s="17" t="s">
        <v>50</v>
      </c>
      <c r="E32" s="17" t="s">
        <v>56</v>
      </c>
      <c r="F32" s="17">
        <v>0</v>
      </c>
      <c r="G32" s="17">
        <v>64</v>
      </c>
      <c r="H32" s="17">
        <v>127762</v>
      </c>
      <c r="I32" s="17" t="s">
        <v>57</v>
      </c>
      <c r="J32" s="17">
        <v>127587</v>
      </c>
      <c r="K32" s="16" t="s">
        <v>54</v>
      </c>
      <c r="L32" s="16" t="str">
        <f>VLOOKUP(C32,'Trips&amp;Operators'!$C$2:$E$10000,3,FALSE)</f>
        <v>STAMBAUGH</v>
      </c>
      <c r="M32" s="15" t="s">
        <v>179</v>
      </c>
      <c r="N32" s="16"/>
      <c r="P32" s="54" t="str">
        <f>VLOOKUP(C32,'Train Runs'!$A$13:$V$253,22,0)</f>
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2" s="14" t="str">
        <f t="shared" si="1"/>
        <v>4030</v>
      </c>
    </row>
    <row r="33" spans="1:17" s="2" customFormat="1" x14ac:dyDescent="0.25">
      <c r="A33" s="78">
        <v>42544.819502314815</v>
      </c>
      <c r="B33" s="66" t="s">
        <v>262</v>
      </c>
      <c r="C33" s="66" t="s">
        <v>294</v>
      </c>
      <c r="D33" s="66" t="s">
        <v>50</v>
      </c>
      <c r="E33" s="66" t="s">
        <v>56</v>
      </c>
      <c r="F33" s="66">
        <v>0</v>
      </c>
      <c r="G33" s="66">
        <v>740</v>
      </c>
      <c r="H33" s="66">
        <v>142518</v>
      </c>
      <c r="I33" s="66" t="s">
        <v>57</v>
      </c>
      <c r="J33" s="66">
        <v>138851</v>
      </c>
      <c r="K33" s="66" t="s">
        <v>54</v>
      </c>
      <c r="L33" s="16" t="str">
        <f>VLOOKUP(C33,'Trips&amp;Operators'!$C$2:$E$10000,3,FALSE)</f>
        <v>MOSES</v>
      </c>
      <c r="M33" s="15" t="s">
        <v>179</v>
      </c>
      <c r="N33" s="16"/>
      <c r="P33" s="54" t="str">
        <f>VLOOKUP(C33,'Train Runs'!$A$13:$V$253,22,0)</f>
        <v>https://search-rtdc-monitor-bjffxe2xuh6vdkpspy63sjmuny.us-east-1.es.amazonaws.com/_plugin/kibana/#/discover/Steve-Slow-Train-Analysis-(2080s-and-2083s)?_g=(refreshInterval:(display:Off,section:0,value:0),time:(from:'2016-06-23 19:21:20-0600',mode:absolute,to:'2016-06-23 20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3" s="14" t="str">
        <f t="shared" si="1"/>
        <v>4013</v>
      </c>
    </row>
    <row r="34" spans="1:17" s="2" customFormat="1" x14ac:dyDescent="0.25">
      <c r="A34" s="78">
        <v>42544.732511574075</v>
      </c>
      <c r="B34" s="66" t="s">
        <v>264</v>
      </c>
      <c r="C34" s="66" t="s">
        <v>285</v>
      </c>
      <c r="D34" s="66" t="s">
        <v>50</v>
      </c>
      <c r="E34" s="66" t="s">
        <v>177</v>
      </c>
      <c r="F34" s="66">
        <v>0</v>
      </c>
      <c r="G34" s="66">
        <v>420</v>
      </c>
      <c r="H34" s="66">
        <v>13122</v>
      </c>
      <c r="I34" s="66" t="s">
        <v>178</v>
      </c>
      <c r="J34" s="66">
        <v>14363</v>
      </c>
      <c r="K34" s="66" t="s">
        <v>53</v>
      </c>
      <c r="L34" s="16" t="str">
        <f>VLOOKUP(C34,'Trips&amp;Operators'!$C$2:$E$10000,3,FALSE)</f>
        <v>YOUNG</v>
      </c>
      <c r="M34" s="15" t="s">
        <v>179</v>
      </c>
      <c r="N34" s="16" t="s">
        <v>181</v>
      </c>
      <c r="P34" s="54" t="str">
        <f>VLOOKUP(C34,'Train Runs'!$A$13:$V$253,22,0)</f>
        <v>https://search-rtdc-monitor-bjffxe2xuh6vdkpspy63sjmuny.us-east-1.es.amazonaws.com/_plugin/kibana/#/discover/Steve-Slow-Train-Analysis-(2080s-and-2083s)?_g=(refreshInterval:(display:Off,section:0,value:0),time:(from:'2016-06-23 17:27:02-0600',mode:absolute,to:'2016-06-23 18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4" s="14" t="str">
        <f t="shared" si="1"/>
        <v>4038</v>
      </c>
    </row>
    <row r="35" spans="1:17" s="2" customFormat="1" x14ac:dyDescent="0.25">
      <c r="A35" s="78">
        <v>42544.894375000003</v>
      </c>
      <c r="B35" s="66" t="s">
        <v>262</v>
      </c>
      <c r="C35" s="66" t="s">
        <v>298</v>
      </c>
      <c r="D35" s="66" t="s">
        <v>55</v>
      </c>
      <c r="E35" s="66" t="s">
        <v>177</v>
      </c>
      <c r="F35" s="66">
        <v>0</v>
      </c>
      <c r="G35" s="66">
        <v>321</v>
      </c>
      <c r="H35" s="66">
        <v>229523</v>
      </c>
      <c r="I35" s="66" t="s">
        <v>178</v>
      </c>
      <c r="J35" s="66">
        <v>231650</v>
      </c>
      <c r="K35" s="66" t="s">
        <v>54</v>
      </c>
      <c r="L35" s="16" t="str">
        <f>VLOOKUP(C35,'Trips&amp;Operators'!$C$2:$E$10000,3,FALSE)</f>
        <v>MOSES</v>
      </c>
      <c r="M35" s="15" t="s">
        <v>179</v>
      </c>
      <c r="N35" s="16" t="s">
        <v>181</v>
      </c>
      <c r="P35" s="54" t="str">
        <f>VLOOKUP(C35,'Train Runs'!$A$13:$V$253,22,0)</f>
        <v>https://search-rtdc-monitor-bjffxe2xuh6vdkpspy63sjmuny.us-east-1.es.amazonaws.com/_plugin/kibana/#/discover/Steve-Slow-Train-Analysis-(2080s-and-2083s)?_g=(refreshInterval:(display:Off,section:0,value:0),time:(from:'2016-06-23 21:21:16-0600',mode:absolute,to:'2016-06-23 22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5" s="14" t="str">
        <f t="shared" si="1"/>
        <v>4013</v>
      </c>
    </row>
    <row r="36" spans="1:17" s="2" customFormat="1" x14ac:dyDescent="0.25">
      <c r="A36" s="18">
        <v>42544.162800925929</v>
      </c>
      <c r="B36" s="17" t="s">
        <v>86</v>
      </c>
      <c r="C36" s="17" t="s">
        <v>224</v>
      </c>
      <c r="D36" s="17" t="s">
        <v>50</v>
      </c>
      <c r="E36" s="17" t="s">
        <v>51</v>
      </c>
      <c r="F36" s="17">
        <v>0</v>
      </c>
      <c r="G36" s="17">
        <v>7</v>
      </c>
      <c r="H36" s="17">
        <v>233280</v>
      </c>
      <c r="I36" s="17" t="s">
        <v>52</v>
      </c>
      <c r="J36" s="17">
        <v>233491</v>
      </c>
      <c r="K36" s="16" t="s">
        <v>53</v>
      </c>
      <c r="L36" s="16" t="str">
        <f>VLOOKUP(C36,'Trips&amp;Operators'!$C$2:$E$10000,3,FALSE)</f>
        <v>CANFIELD</v>
      </c>
      <c r="M36" s="15" t="s">
        <v>180</v>
      </c>
      <c r="N36" s="16"/>
      <c r="P36" s="54" t="str">
        <f>VLOOKUP(C36,'Train Runs'!$A$13:$V$253,22,0)</f>
        <v>https://search-rtdc-monitor-bjffxe2xuh6vdkpspy63sjmuny.us-east-1.es.amazonaws.com/_plugin/kibana/#/discover/Steve-Slow-Train-Analysis-(2080s-and-2083s)?_g=(refreshInterval:(display:Off,section:0,value:0),time:(from:'2016-06-23 03:02:58-0600',mode:absolute,to:'2016-06-23 03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6" s="14" t="str">
        <f t="shared" si="1"/>
        <v>4020</v>
      </c>
    </row>
    <row r="37" spans="1:17" s="2" customFormat="1" x14ac:dyDescent="0.25">
      <c r="A37" s="18">
        <v>42544.201724537037</v>
      </c>
      <c r="B37" s="17" t="s">
        <v>96</v>
      </c>
      <c r="C37" s="17" t="s">
        <v>227</v>
      </c>
      <c r="D37" s="17" t="s">
        <v>50</v>
      </c>
      <c r="E37" s="17" t="s">
        <v>51</v>
      </c>
      <c r="F37" s="17">
        <v>0</v>
      </c>
      <c r="G37" s="17">
        <v>20</v>
      </c>
      <c r="H37" s="17">
        <v>47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CANFIELD</v>
      </c>
      <c r="M37" s="15" t="s">
        <v>180</v>
      </c>
      <c r="N37" s="16"/>
      <c r="P37" s="54" t="str">
        <f>VLOOKUP(C37,'Train Runs'!$A$13:$V$253,22,0)</f>
        <v>https://search-rtdc-monitor-bjffxe2xuh6vdkpspy63sjmuny.us-east-1.es.amazonaws.com/_plugin/kibana/#/discover/Steve-Slow-Train-Analysis-(2080s-and-2083s)?_g=(refreshInterval:(display:Off,section:0,value:0),time:(from:'2016-06-23 04:04:17-0600',mode:absolute,to:'2016-06-23 04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7" s="14" t="str">
        <f t="shared" si="1"/>
        <v>4030</v>
      </c>
    </row>
    <row r="38" spans="1:17" s="2" customFormat="1" x14ac:dyDescent="0.25">
      <c r="A38" s="18">
        <v>42544.182800925926</v>
      </c>
      <c r="B38" s="17" t="s">
        <v>225</v>
      </c>
      <c r="C38" s="17" t="s">
        <v>226</v>
      </c>
      <c r="D38" s="17" t="s">
        <v>50</v>
      </c>
      <c r="E38" s="17" t="s">
        <v>51</v>
      </c>
      <c r="F38" s="17">
        <v>0</v>
      </c>
      <c r="G38" s="17">
        <v>6</v>
      </c>
      <c r="H38" s="17">
        <v>231575</v>
      </c>
      <c r="I38" s="17" t="s">
        <v>52</v>
      </c>
      <c r="J38" s="17">
        <v>233491</v>
      </c>
      <c r="K38" s="16" t="s">
        <v>53</v>
      </c>
      <c r="L38" s="16" t="str">
        <f>VLOOKUP(C38,'Trips&amp;Operators'!$C$2:$E$10000,3,FALSE)</f>
        <v>STARKS</v>
      </c>
      <c r="M38" s="15" t="s">
        <v>180</v>
      </c>
      <c r="N38" s="16"/>
      <c r="P38" s="54" t="str">
        <f>VLOOKUP(C38,'Train Runs'!$A$13:$V$253,22,0)</f>
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8" s="14" t="str">
        <f t="shared" si="1"/>
        <v>4014</v>
      </c>
    </row>
    <row r="39" spans="1:17" s="2" customFormat="1" x14ac:dyDescent="0.25">
      <c r="A39" s="18">
        <v>42544.183159722219</v>
      </c>
      <c r="B39" s="17" t="s">
        <v>225</v>
      </c>
      <c r="C39" s="17" t="s">
        <v>226</v>
      </c>
      <c r="D39" s="17" t="s">
        <v>50</v>
      </c>
      <c r="E39" s="17" t="s">
        <v>51</v>
      </c>
      <c r="F39" s="17">
        <v>0</v>
      </c>
      <c r="G39" s="17">
        <v>7</v>
      </c>
      <c r="H39" s="17">
        <v>231642</v>
      </c>
      <c r="I39" s="17" t="s">
        <v>52</v>
      </c>
      <c r="J39" s="17">
        <v>233491</v>
      </c>
      <c r="K39" s="16" t="s">
        <v>53</v>
      </c>
      <c r="L39" s="16" t="str">
        <f>VLOOKUP(C39,'Trips&amp;Operators'!$C$2:$E$10000,3,FALSE)</f>
        <v>STARKS</v>
      </c>
      <c r="M39" s="15" t="s">
        <v>180</v>
      </c>
      <c r="N39" s="16"/>
      <c r="P39" s="54" t="str">
        <f>VLOOKUP(C39,'Train Runs'!$A$13:$V$253,22,0)</f>
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9" s="14" t="str">
        <f t="shared" si="1"/>
        <v>4014</v>
      </c>
    </row>
    <row r="40" spans="1:17" s="2" customFormat="1" x14ac:dyDescent="0.25">
      <c r="A40" s="18">
        <v>42544.223703703705</v>
      </c>
      <c r="B40" s="17" t="s">
        <v>215</v>
      </c>
      <c r="C40" s="17" t="s">
        <v>229</v>
      </c>
      <c r="D40" s="17" t="s">
        <v>50</v>
      </c>
      <c r="E40" s="17" t="s">
        <v>51</v>
      </c>
      <c r="F40" s="17">
        <v>0</v>
      </c>
      <c r="G40" s="17">
        <v>52</v>
      </c>
      <c r="H40" s="17">
        <v>172</v>
      </c>
      <c r="I40" s="17" t="s">
        <v>52</v>
      </c>
      <c r="J40" s="17">
        <v>1</v>
      </c>
      <c r="K40" s="16" t="s">
        <v>54</v>
      </c>
      <c r="L40" s="16" t="str">
        <f>VLOOKUP(C40,'Trips&amp;Operators'!$C$2:$E$10000,3,FALSE)</f>
        <v>STARKS</v>
      </c>
      <c r="M40" s="15" t="s">
        <v>180</v>
      </c>
      <c r="N40" s="16"/>
      <c r="P40" s="54" t="str">
        <f>VLOOKUP(C40,'Train Runs'!$A$13:$V$253,22,0)</f>
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0" s="14" t="str">
        <f t="shared" si="1"/>
        <v>4010</v>
      </c>
    </row>
    <row r="41" spans="1:17" s="2" customFormat="1" x14ac:dyDescent="0.25">
      <c r="A41" s="18">
        <v>42544.233738425923</v>
      </c>
      <c r="B41" s="17" t="s">
        <v>86</v>
      </c>
      <c r="C41" s="17" t="s">
        <v>230</v>
      </c>
      <c r="D41" s="17" t="s">
        <v>50</v>
      </c>
      <c r="E41" s="17" t="s">
        <v>51</v>
      </c>
      <c r="F41" s="17">
        <v>0</v>
      </c>
      <c r="G41" s="17">
        <v>9</v>
      </c>
      <c r="H41" s="17">
        <v>231295</v>
      </c>
      <c r="I41" s="17" t="s">
        <v>52</v>
      </c>
      <c r="J41" s="17">
        <v>233491</v>
      </c>
      <c r="K41" s="16" t="s">
        <v>53</v>
      </c>
      <c r="L41" s="16" t="str">
        <f>VLOOKUP(C41,'Trips&amp;Operators'!$C$2:$E$10000,3,FALSE)</f>
        <v>STAMBAUGH</v>
      </c>
      <c r="M41" s="15" t="s">
        <v>180</v>
      </c>
      <c r="N41" s="16"/>
      <c r="P41" s="54" t="str">
        <f>VLOOKUP(C41,'Train Runs'!$A$13:$V$253,22,0)</f>
        <v>https://search-rtdc-monitor-bjffxe2xuh6vdkpspy63sjmuny.us-east-1.es.amazonaws.com/_plugin/kibana/#/discover/Steve-Slow-Train-Analysis-(2080s-and-2083s)?_g=(refreshInterval:(display:Off,section:0,value:0),time:(from:'2016-06-23 04:55:27-0600',mode:absolute,to:'2016-06-23 05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1" s="14" t="str">
        <f t="shared" si="1"/>
        <v>4020</v>
      </c>
    </row>
    <row r="42" spans="1:17" s="2" customFormat="1" x14ac:dyDescent="0.25">
      <c r="A42" s="18">
        <v>42544.266319444447</v>
      </c>
      <c r="B42" s="17" t="s">
        <v>216</v>
      </c>
      <c r="C42" s="17" t="s">
        <v>232</v>
      </c>
      <c r="D42" s="17" t="s">
        <v>50</v>
      </c>
      <c r="E42" s="17" t="s">
        <v>51</v>
      </c>
      <c r="F42" s="17">
        <v>0</v>
      </c>
      <c r="G42" s="17">
        <v>8</v>
      </c>
      <c r="H42" s="17">
        <v>231627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STARKS</v>
      </c>
      <c r="M42" s="15" t="s">
        <v>180</v>
      </c>
      <c r="N42" s="16"/>
      <c r="P42" s="54" t="str">
        <f>VLOOKUP(C42,'Train Runs'!$A$13:$V$253,22,0)</f>
        <v>https://search-rtdc-monitor-bjffxe2xuh6vdkpspy63sjmuny.us-east-1.es.amazonaws.com/_plugin/kibana/#/discover/Steve-Slow-Train-Analysis-(2080s-and-2083s)?_g=(refreshInterval:(display:Off,section:0,value:0),time:(from:'2016-06-23 05:32:40-0600',mode:absolute,to:'2016-06-23 06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2" s="14" t="str">
        <f t="shared" si="1"/>
        <v>4009</v>
      </c>
    </row>
    <row r="43" spans="1:17" s="2" customFormat="1" x14ac:dyDescent="0.25">
      <c r="A43" s="18">
        <v>42544.306006944447</v>
      </c>
      <c r="B43" s="17" t="s">
        <v>215</v>
      </c>
      <c r="C43" s="17" t="s">
        <v>235</v>
      </c>
      <c r="D43" s="17" t="s">
        <v>50</v>
      </c>
      <c r="E43" s="17" t="s">
        <v>51</v>
      </c>
      <c r="F43" s="17">
        <v>0</v>
      </c>
      <c r="G43" s="17">
        <v>37</v>
      </c>
      <c r="H43" s="17">
        <v>94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STARKS</v>
      </c>
      <c r="M43" s="15" t="s">
        <v>180</v>
      </c>
      <c r="N43" s="16"/>
      <c r="P43" s="54" t="str">
        <f>VLOOKUP(C43,'Train Runs'!$A$13:$V$253,22,0)</f>
        <v>https://search-rtdc-monitor-bjffxe2xuh6vdkpspy63sjmuny.us-east-1.es.amazonaws.com/_plugin/kibana/#/discover/Steve-Slow-Train-Analysis-(2080s-and-2083s)?_g=(refreshInterval:(display:Off,section:0,value:0),time:(from:'2016-06-23 06:37:36-0600',mode:absolute,to:'2016-06-23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3" s="14" t="str">
        <f t="shared" si="0"/>
        <v>4010</v>
      </c>
    </row>
    <row r="44" spans="1:17" s="2" customFormat="1" x14ac:dyDescent="0.25">
      <c r="A44" s="18">
        <v>42544.285127314812</v>
      </c>
      <c r="B44" s="17" t="s">
        <v>97</v>
      </c>
      <c r="C44" s="17" t="s">
        <v>234</v>
      </c>
      <c r="D44" s="17" t="s">
        <v>50</v>
      </c>
      <c r="E44" s="17" t="s">
        <v>51</v>
      </c>
      <c r="F44" s="17">
        <v>0</v>
      </c>
      <c r="G44" s="17">
        <v>9</v>
      </c>
      <c r="H44" s="17">
        <v>231719</v>
      </c>
      <c r="I44" s="17" t="s">
        <v>52</v>
      </c>
      <c r="J44" s="17">
        <v>233491</v>
      </c>
      <c r="K44" s="16" t="s">
        <v>53</v>
      </c>
      <c r="L44" s="16" t="str">
        <f>VLOOKUP(C44,'Trips&amp;Operators'!$C$2:$E$10000,3,FALSE)</f>
        <v>SANTIZO</v>
      </c>
      <c r="M44" s="15" t="s">
        <v>180</v>
      </c>
      <c r="N44" s="16"/>
      <c r="P44" s="54" t="str">
        <f>VLOOKUP(C44,'Train Runs'!$A$13:$V$253,22,0)</f>
        <v>https://search-rtdc-monitor-bjffxe2xuh6vdkpspy63sjmuny.us-east-1.es.amazonaws.com/_plugin/kibana/#/discover/Steve-Slow-Train-Analysis-(2080s-and-2083s)?_g=(refreshInterval:(display:Off,section:0,value:0),time:(from:'2016-06-23 06:08:04-0600',mode:absolute,to:'2016-06-23 06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4" s="14" t="str">
        <f t="shared" si="0"/>
        <v>4007</v>
      </c>
    </row>
    <row r="45" spans="1:17" s="2" customFormat="1" x14ac:dyDescent="0.25">
      <c r="A45" s="18">
        <v>42544.32613425926</v>
      </c>
      <c r="B45" s="17" t="s">
        <v>95</v>
      </c>
      <c r="C45" s="17" t="s">
        <v>238</v>
      </c>
      <c r="D45" s="17" t="s">
        <v>50</v>
      </c>
      <c r="E45" s="17" t="s">
        <v>51</v>
      </c>
      <c r="F45" s="17">
        <v>0</v>
      </c>
      <c r="G45" s="17">
        <v>67</v>
      </c>
      <c r="H45" s="17">
        <v>218</v>
      </c>
      <c r="I45" s="17" t="s">
        <v>52</v>
      </c>
      <c r="J45" s="17">
        <v>1</v>
      </c>
      <c r="K45" s="16" t="s">
        <v>54</v>
      </c>
      <c r="L45" s="16" t="str">
        <f>VLOOKUP(C45,'Trips&amp;Operators'!$C$2:$E$10000,3,FALSE)</f>
        <v>SANTIZO</v>
      </c>
      <c r="M45" s="15" t="s">
        <v>180</v>
      </c>
      <c r="N45" s="16"/>
      <c r="P45" s="54" t="str">
        <f>VLOOKUP(C45,'Train Runs'!$A$13:$V$253,22,0)</f>
        <v>https://search-rtdc-monitor-bjffxe2xuh6vdkpspy63sjmuny.us-east-1.es.amazonaws.com/_plugin/kibana/#/discover/Steve-Slow-Train-Analysis-(2080s-and-2083s)?_g=(refreshInterval:(display:Off,section:0,value:0),time:(from:'2016-06-23 07:04:14-0600',mode:absolute,to:'2016-06-23 07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5" s="14" t="str">
        <f t="shared" si="0"/>
        <v>4008</v>
      </c>
    </row>
    <row r="46" spans="1:17" s="2" customFormat="1" x14ac:dyDescent="0.25">
      <c r="A46" s="18">
        <v>42544.339583333334</v>
      </c>
      <c r="B46" s="17" t="s">
        <v>216</v>
      </c>
      <c r="C46" s="17" t="s">
        <v>237</v>
      </c>
      <c r="D46" s="17" t="s">
        <v>50</v>
      </c>
      <c r="E46" s="17" t="s">
        <v>51</v>
      </c>
      <c r="F46" s="17">
        <v>0</v>
      </c>
      <c r="G46" s="17">
        <v>6</v>
      </c>
      <c r="H46" s="17">
        <v>232062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STARKS</v>
      </c>
      <c r="M46" s="15" t="s">
        <v>180</v>
      </c>
      <c r="N46" s="16"/>
      <c r="P46" s="54" t="str">
        <f>VLOOKUP(C46,'Train Runs'!$A$13:$V$253,22,0)</f>
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6" s="14" t="str">
        <f t="shared" si="0"/>
        <v>4009</v>
      </c>
    </row>
    <row r="47" spans="1:17" s="2" customFormat="1" x14ac:dyDescent="0.25">
      <c r="A47" s="18">
        <v>42544.377766203703</v>
      </c>
      <c r="B47" s="17" t="s">
        <v>215</v>
      </c>
      <c r="C47" s="17" t="s">
        <v>242</v>
      </c>
      <c r="D47" s="17" t="s">
        <v>50</v>
      </c>
      <c r="E47" s="17" t="s">
        <v>51</v>
      </c>
      <c r="F47" s="17">
        <v>0</v>
      </c>
      <c r="G47" s="17">
        <v>24</v>
      </c>
      <c r="H47" s="17">
        <v>41</v>
      </c>
      <c r="I47" s="17" t="s">
        <v>52</v>
      </c>
      <c r="J47" s="17">
        <v>1</v>
      </c>
      <c r="K47" s="16" t="s">
        <v>54</v>
      </c>
      <c r="L47" s="16" t="str">
        <f>VLOOKUP(C47,'Trips&amp;Operators'!$C$2:$E$10000,3,FALSE)</f>
        <v>STARKS</v>
      </c>
      <c r="M47" s="15" t="s">
        <v>180</v>
      </c>
      <c r="N47" s="16"/>
      <c r="P47" s="54" t="str">
        <f>VLOOKUP(C47,'Train Runs'!$A$13:$V$253,22,0)</f>
        <v>https://search-rtdc-monitor-bjffxe2xuh6vdkpspy63sjmuny.us-east-1.es.amazonaws.com/_plugin/kibana/#/discover/Steve-Slow-Train-Analysis-(2080s-and-2083s)?_g=(refreshInterval:(display:Off,section:0,value:0),time:(from:'2016-06-23 08:21:59-0600',mode:absolute,to:'2016-06-23 09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7" s="14" t="str">
        <f t="shared" si="0"/>
        <v>4010</v>
      </c>
    </row>
    <row r="48" spans="1:17" s="2" customFormat="1" x14ac:dyDescent="0.25">
      <c r="A48" s="18">
        <v>42544.398495370369</v>
      </c>
      <c r="B48" s="17" t="s">
        <v>95</v>
      </c>
      <c r="C48" s="17" t="s">
        <v>246</v>
      </c>
      <c r="D48" s="17" t="s">
        <v>50</v>
      </c>
      <c r="E48" s="17" t="s">
        <v>51</v>
      </c>
      <c r="F48" s="17">
        <v>0</v>
      </c>
      <c r="G48" s="17">
        <v>67</v>
      </c>
      <c r="H48" s="17">
        <v>220</v>
      </c>
      <c r="I48" s="17" t="s">
        <v>52</v>
      </c>
      <c r="J48" s="17">
        <v>1</v>
      </c>
      <c r="K48" s="16" t="s">
        <v>54</v>
      </c>
      <c r="L48" s="16" t="str">
        <f>VLOOKUP(C48,'Trips&amp;Operators'!$C$2:$E$10000,3,FALSE)</f>
        <v>SANTIZO</v>
      </c>
      <c r="M48" s="15" t="s">
        <v>180</v>
      </c>
      <c r="N48" s="16"/>
      <c r="P48" s="54" t="str">
        <f>VLOOKUP(C48,'Train Runs'!$A$13:$V$253,22,0)</f>
        <v>https://search-rtdc-monitor-bjffxe2xuh6vdkpspy63sjmuny.us-east-1.es.amazonaws.com/_plugin/kibana/#/discover/Steve-Slow-Train-Analysis-(2080s-and-2083s)?_g=(refreshInterval:(display:Off,section:0,value:0),time:(from:'2016-06-23 08:47:05-0600',mode:absolute,to:'2016-06-23 09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8" s="14" t="str">
        <f t="shared" si="0"/>
        <v>4008</v>
      </c>
    </row>
    <row r="49" spans="1:17" s="2" customFormat="1" x14ac:dyDescent="0.25">
      <c r="A49" s="18">
        <v>42544.410462962966</v>
      </c>
      <c r="B49" s="17" t="s">
        <v>212</v>
      </c>
      <c r="C49" s="17" t="s">
        <v>244</v>
      </c>
      <c r="D49" s="17" t="s">
        <v>50</v>
      </c>
      <c r="E49" s="17" t="s">
        <v>51</v>
      </c>
      <c r="F49" s="17">
        <v>0</v>
      </c>
      <c r="G49" s="17">
        <v>58</v>
      </c>
      <c r="H49" s="17">
        <v>240</v>
      </c>
      <c r="I49" s="17" t="s">
        <v>52</v>
      </c>
      <c r="J49" s="17">
        <v>1</v>
      </c>
      <c r="K49" s="16" t="s">
        <v>54</v>
      </c>
      <c r="L49" s="16" t="str">
        <f>VLOOKUP(C49,'Trips&amp;Operators'!$C$2:$E$10000,3,FALSE)</f>
        <v>KILLION</v>
      </c>
      <c r="M49" s="15" t="s">
        <v>180</v>
      </c>
      <c r="N49" s="16"/>
      <c r="P49" s="54" t="str">
        <f>VLOOKUP(C49,'Train Runs'!$A$13:$V$253,22,0)</f>
        <v>https://search-rtdc-monitor-bjffxe2xuh6vdkpspy63sjmuny.us-east-1.es.amazonaws.com/_plugin/kibana/#/discover/Steve-Slow-Train-Analysis-(2080s-and-2083s)?_g=(refreshInterval:(display:Off,section:0,value:0),time:(from:'2016-06-23 09:00:11-0600',mode:absolute,to:'2016-06-23 09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9" s="14" t="str">
        <f t="shared" si="0"/>
        <v>4039</v>
      </c>
    </row>
    <row r="50" spans="1:17" s="2" customFormat="1" x14ac:dyDescent="0.25">
      <c r="A50" s="18">
        <v>42544.402708333335</v>
      </c>
      <c r="B50" s="17" t="s">
        <v>114</v>
      </c>
      <c r="C50" s="17" t="s">
        <v>247</v>
      </c>
      <c r="D50" s="17" t="s">
        <v>50</v>
      </c>
      <c r="E50" s="17" t="s">
        <v>51</v>
      </c>
      <c r="F50" s="17">
        <v>0</v>
      </c>
      <c r="G50" s="17">
        <v>6</v>
      </c>
      <c r="H50" s="17">
        <v>232143</v>
      </c>
      <c r="I50" s="17" t="s">
        <v>52</v>
      </c>
      <c r="J50" s="17">
        <v>233491</v>
      </c>
      <c r="K50" s="16" t="s">
        <v>53</v>
      </c>
      <c r="L50" s="16" t="str">
        <f>VLOOKUP(C50,'Trips&amp;Operators'!$C$2:$E$10000,3,FALSE)</f>
        <v>MALAVE</v>
      </c>
      <c r="M50" s="15" t="s">
        <v>180</v>
      </c>
      <c r="N50" s="16"/>
      <c r="P50" s="54" t="str">
        <f>VLOOKUP(C50,'Train Runs'!$A$13:$V$253,22,0)</f>
        <v>https://search-rtdc-monitor-bjffxe2xuh6vdkpspy63sjmuny.us-east-1.es.amazonaws.com/_plugin/kibana/#/discover/Steve-Slow-Train-Analysis-(2080s-and-2083s)?_g=(refreshInterval:(display:Off,section:0,value:0),time:(from:'2016-06-23 08:58:54-0600',mode:absolute,to:'2016-06-23 09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0" s="14" t="str">
        <f t="shared" si="0"/>
        <v>4042</v>
      </c>
    </row>
    <row r="51" spans="1:17" s="2" customFormat="1" x14ac:dyDescent="0.25">
      <c r="A51" s="18">
        <v>42544.506712962961</v>
      </c>
      <c r="B51" s="17" t="s">
        <v>96</v>
      </c>
      <c r="C51" s="17" t="s">
        <v>251</v>
      </c>
      <c r="D51" s="17" t="s">
        <v>50</v>
      </c>
      <c r="E51" s="17" t="s">
        <v>51</v>
      </c>
      <c r="F51" s="17">
        <v>0</v>
      </c>
      <c r="G51" s="17">
        <v>5</v>
      </c>
      <c r="H51" s="17">
        <v>170</v>
      </c>
      <c r="I51" s="17" t="s">
        <v>52</v>
      </c>
      <c r="J51" s="17">
        <v>1</v>
      </c>
      <c r="K51" s="16" t="s">
        <v>54</v>
      </c>
      <c r="L51" s="16" t="str">
        <f>VLOOKUP(C51,'Trips&amp;Operators'!$C$2:$E$10000,3,FALSE)</f>
        <v>STAMBAUGH</v>
      </c>
      <c r="M51" s="15" t="s">
        <v>180</v>
      </c>
      <c r="N51" s="16"/>
      <c r="P51" s="54" t="str">
        <f>VLOOKUP(C51,'Train Runs'!$A$13:$V$253,22,0)</f>
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1" s="14" t="str">
        <f t="shared" si="0"/>
        <v>4030</v>
      </c>
    </row>
    <row r="52" spans="1:17" s="2" customFormat="1" x14ac:dyDescent="0.25">
      <c r="A52" s="18">
        <v>42544.484224537038</v>
      </c>
      <c r="B52" s="17" t="s">
        <v>216</v>
      </c>
      <c r="C52" s="17" t="s">
        <v>250</v>
      </c>
      <c r="D52" s="17" t="s">
        <v>50</v>
      </c>
      <c r="E52" s="17" t="s">
        <v>51</v>
      </c>
      <c r="F52" s="17">
        <v>0</v>
      </c>
      <c r="G52" s="17">
        <v>8</v>
      </c>
      <c r="H52" s="17">
        <v>233315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MALAVE</v>
      </c>
      <c r="M52" s="15" t="s">
        <v>180</v>
      </c>
      <c r="N52" s="16"/>
      <c r="P52" s="54" t="str">
        <f>VLOOKUP(C52,'Train Runs'!$A$13:$V$253,22,0)</f>
        <v>https://search-rtdc-monitor-bjffxe2xuh6vdkpspy63sjmuny.us-east-1.es.amazonaws.com/_plugin/kibana/#/discover/Steve-Slow-Train-Analysis-(2080s-and-2083s)?_g=(refreshInterval:(display:Off,section:0,value:0),time:(from:'2016-06-23 10:51:49-0600',mode:absolute,to:'2016-06-23 11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2" s="14" t="str">
        <f t="shared" si="0"/>
        <v>4009</v>
      </c>
    </row>
    <row r="53" spans="1:17" s="2" customFormat="1" x14ac:dyDescent="0.25">
      <c r="A53" s="18">
        <v>42544.525995370372</v>
      </c>
      <c r="B53" s="17" t="s">
        <v>215</v>
      </c>
      <c r="C53" s="17" t="s">
        <v>254</v>
      </c>
      <c r="D53" s="17" t="s">
        <v>50</v>
      </c>
      <c r="E53" s="17" t="s">
        <v>51</v>
      </c>
      <c r="F53" s="17">
        <v>0</v>
      </c>
      <c r="G53" s="17">
        <v>3</v>
      </c>
      <c r="H53" s="17">
        <v>293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MALAVE</v>
      </c>
      <c r="M53" s="15" t="s">
        <v>180</v>
      </c>
      <c r="N53" s="16"/>
      <c r="P53" s="54" t="str">
        <f>VLOOKUP(C53,'Train Runs'!$A$13:$V$253,22,0)</f>
        <v>https://search-rtdc-monitor-bjffxe2xuh6vdkpspy63sjmuny.us-east-1.es.amazonaws.com/_plugin/kibana/#/discover/Steve-Slow-Train-Analysis-(2080s-and-2083s)?_g=(refreshInterval:(display:Off,section:0,value:0),time:(from:'2016-06-23 11:57:42-0600',mode:absolute,to:'2016-06-23 12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3" s="14" t="str">
        <f t="shared" si="0"/>
        <v>4010</v>
      </c>
    </row>
    <row r="54" spans="1:17" s="2" customFormat="1" x14ac:dyDescent="0.25">
      <c r="A54" s="18">
        <v>42544.506608796299</v>
      </c>
      <c r="B54" s="17" t="s">
        <v>225</v>
      </c>
      <c r="C54" s="17" t="s">
        <v>252</v>
      </c>
      <c r="D54" s="17" t="s">
        <v>50</v>
      </c>
      <c r="E54" s="17" t="s">
        <v>51</v>
      </c>
      <c r="F54" s="17">
        <v>0</v>
      </c>
      <c r="G54" s="17">
        <v>9</v>
      </c>
      <c r="H54" s="17">
        <v>232105</v>
      </c>
      <c r="I54" s="17" t="s">
        <v>52</v>
      </c>
      <c r="J54" s="17">
        <v>233491</v>
      </c>
      <c r="K54" s="16" t="s">
        <v>53</v>
      </c>
      <c r="L54" s="16" t="str">
        <f>VLOOKUP(C54,'Trips&amp;Operators'!$C$2:$E$10000,3,FALSE)</f>
        <v>DAVIS</v>
      </c>
      <c r="M54" s="15" t="s">
        <v>180</v>
      </c>
      <c r="N54" s="16"/>
      <c r="P54" s="54" t="str">
        <f>VLOOKUP(C54,'Train Runs'!$A$13:$V$253,22,0)</f>
        <v>https://search-rtdc-monitor-bjffxe2xuh6vdkpspy63sjmuny.us-east-1.es.amazonaws.com/_plugin/kibana/#/discover/Steve-Slow-Train-Analysis-(2080s-and-2083s)?_g=(refreshInterval:(display:Off,section:0,value:0),time:(from:'2016-06-23 11:22:58-0600',mode:absolute,to:'2016-06-23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4" s="14" t="str">
        <f t="shared" si="0"/>
        <v>4014</v>
      </c>
    </row>
    <row r="55" spans="1:17" s="2" customFormat="1" x14ac:dyDescent="0.25">
      <c r="A55" s="18">
        <v>42544.554930555554</v>
      </c>
      <c r="B55" s="17" t="s">
        <v>114</v>
      </c>
      <c r="C55" s="17" t="s">
        <v>256</v>
      </c>
      <c r="D55" s="17" t="s">
        <v>50</v>
      </c>
      <c r="E55" s="17" t="s">
        <v>51</v>
      </c>
      <c r="F55" s="17">
        <v>0</v>
      </c>
      <c r="G55" s="17">
        <v>5</v>
      </c>
      <c r="H55" s="17">
        <v>231560</v>
      </c>
      <c r="I55" s="17" t="s">
        <v>52</v>
      </c>
      <c r="J55" s="17">
        <v>233491</v>
      </c>
      <c r="K55" s="16" t="s">
        <v>53</v>
      </c>
      <c r="L55" s="16" t="str">
        <f>VLOOKUP(C55,'Trips&amp;Operators'!$C$2:$E$10000,3,FALSE)</f>
        <v>STEWART</v>
      </c>
      <c r="M55" s="15" t="s">
        <v>180</v>
      </c>
      <c r="N55" s="16"/>
      <c r="P55" s="54" t="str">
        <f>VLOOKUP(C55,'Train Runs'!$A$13:$V$253,22,0)</f>
        <v>https://search-rtdc-monitor-bjffxe2xuh6vdkpspy63sjmuny.us-east-1.es.amazonaws.com/_plugin/kibana/#/discover/Steve-Slow-Train-Analysis-(2080s-and-2083s)?_g=(refreshInterval:(display:Off,section:0,value:0),time:(from:'2016-06-23 12:30:57-0600',mode:absolute,to:'2016-06-23 13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5" s="14" t="str">
        <f t="shared" si="0"/>
        <v>4042</v>
      </c>
    </row>
    <row r="56" spans="1:17" s="2" customFormat="1" x14ac:dyDescent="0.25">
      <c r="A56" s="18">
        <v>42544.589780092596</v>
      </c>
      <c r="B56" s="17" t="s">
        <v>113</v>
      </c>
      <c r="C56" s="17" t="s">
        <v>261</v>
      </c>
      <c r="D56" s="17" t="s">
        <v>50</v>
      </c>
      <c r="E56" s="17" t="s">
        <v>51</v>
      </c>
      <c r="F56" s="17">
        <v>0</v>
      </c>
      <c r="G56" s="17">
        <v>64</v>
      </c>
      <c r="H56" s="17">
        <v>229</v>
      </c>
      <c r="I56" s="17" t="s">
        <v>52</v>
      </c>
      <c r="J56" s="17">
        <v>1</v>
      </c>
      <c r="K56" s="16" t="s">
        <v>54</v>
      </c>
      <c r="L56" s="16" t="str">
        <f>VLOOKUP(C56,'Trips&amp;Operators'!$C$2:$E$10000,3,FALSE)</f>
        <v>STEWART</v>
      </c>
      <c r="M56" s="15" t="s">
        <v>180</v>
      </c>
      <c r="N56" s="16"/>
      <c r="P56" s="54" t="str">
        <f>VLOOKUP(C56,'Train Runs'!$A$13:$V$253,22,0)</f>
        <v>https://search-rtdc-monitor-bjffxe2xuh6vdkpspy63sjmuny.us-east-1.es.amazonaws.com/_plugin/kibana/#/discover/Steve-Slow-Train-Analysis-(2080s-and-2083s)?_g=(refreshInterval:(display:Off,section:0,value:0),time:(from:'2016-06-23 13:24:09-0600',mode:absolute,to:'2016-06-23 14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6" s="14" t="str">
        <f t="shared" si="0"/>
        <v>4041</v>
      </c>
    </row>
    <row r="57" spans="1:17" s="2" customFormat="1" x14ac:dyDescent="0.25">
      <c r="A57" s="18">
        <v>42544.603310185186</v>
      </c>
      <c r="B57" s="17" t="s">
        <v>215</v>
      </c>
      <c r="C57" s="17" t="s">
        <v>260</v>
      </c>
      <c r="D57" s="17" t="s">
        <v>50</v>
      </c>
      <c r="E57" s="17" t="s">
        <v>51</v>
      </c>
      <c r="F57" s="17">
        <v>0</v>
      </c>
      <c r="G57" s="17">
        <v>43</v>
      </c>
      <c r="H57" s="17">
        <v>161</v>
      </c>
      <c r="I57" s="17" t="s">
        <v>52</v>
      </c>
      <c r="J57" s="17">
        <v>1</v>
      </c>
      <c r="K57" s="16" t="s">
        <v>54</v>
      </c>
      <c r="L57" s="16" t="str">
        <f>VLOOKUP(C57,'Trips&amp;Operators'!$C$2:$E$10000,3,FALSE)</f>
        <v>BARTELL</v>
      </c>
      <c r="M57" s="15" t="s">
        <v>180</v>
      </c>
      <c r="N57" s="16"/>
      <c r="P57" s="54" t="str">
        <f>VLOOKUP(C57,'Train Runs'!$A$13:$V$253,22,0)</f>
        <v>https://search-rtdc-monitor-bjffxe2xuh6vdkpspy63sjmuny.us-east-1.es.amazonaws.com/_plugin/kibana/#/discover/Steve-Slow-Train-Analysis-(2080s-and-2083s)?_g=(refreshInterval:(display:Off,section:0,value:0),time:(from:'2016-06-23 13:39:37-0600',mode:absolute,to:'2016-06-23 14:30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7" s="14" t="str">
        <f t="shared" si="0"/>
        <v>4010</v>
      </c>
    </row>
    <row r="58" spans="1:17" s="2" customFormat="1" x14ac:dyDescent="0.25">
      <c r="A58" s="18">
        <v>42544.621261574073</v>
      </c>
      <c r="B58" s="17" t="s">
        <v>262</v>
      </c>
      <c r="C58" s="17" t="s">
        <v>263</v>
      </c>
      <c r="D58" s="17" t="s">
        <v>50</v>
      </c>
      <c r="E58" s="17" t="s">
        <v>51</v>
      </c>
      <c r="F58" s="17">
        <v>0</v>
      </c>
      <c r="G58" s="17">
        <v>8</v>
      </c>
      <c r="H58" s="17">
        <v>136</v>
      </c>
      <c r="I58" s="17" t="s">
        <v>52</v>
      </c>
      <c r="J58" s="17">
        <v>1</v>
      </c>
      <c r="K58" s="16" t="s">
        <v>54</v>
      </c>
      <c r="L58" s="16" t="str">
        <f>VLOOKUP(C58,'Trips&amp;Operators'!$C$2:$E$10000,3,FALSE)</f>
        <v>DAVIS</v>
      </c>
      <c r="M58" s="15" t="s">
        <v>180</v>
      </c>
      <c r="N58" s="16"/>
      <c r="P58" s="54" t="str">
        <f>VLOOKUP(C58,'Train Runs'!$A$13:$V$253,22,0)</f>
        <v>https://search-rtdc-monitor-bjffxe2xuh6vdkpspy63sjmuny.us-east-1.es.amazonaws.com/_plugin/kibana/#/discover/Steve-Slow-Train-Analysis-(2080s-and-2083s)?_g=(refreshInterval:(display:Off,section:0,value:0),time:(from:'2016-06-23 14:07:58-0600',mode:absolute,to:'2016-06-23 14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8" s="14" t="str">
        <f t="shared" si="0"/>
        <v>4013</v>
      </c>
    </row>
    <row r="59" spans="1:17" s="2" customFormat="1" x14ac:dyDescent="0.25">
      <c r="A59" s="18">
        <v>42544.628379629627</v>
      </c>
      <c r="B59" s="17" t="s">
        <v>85</v>
      </c>
      <c r="C59" s="17" t="s">
        <v>266</v>
      </c>
      <c r="D59" s="17" t="s">
        <v>50</v>
      </c>
      <c r="E59" s="17" t="s">
        <v>51</v>
      </c>
      <c r="F59" s="17">
        <v>0</v>
      </c>
      <c r="G59" s="17">
        <v>67</v>
      </c>
      <c r="H59" s="17">
        <v>242</v>
      </c>
      <c r="I59" s="17" t="s">
        <v>52</v>
      </c>
      <c r="J59" s="17">
        <v>1</v>
      </c>
      <c r="K59" s="16" t="s">
        <v>54</v>
      </c>
      <c r="L59" s="16" t="str">
        <f>VLOOKUP(C59,'Trips&amp;Operators'!$C$2:$E$10000,3,FALSE)</f>
        <v>COOLAHAN</v>
      </c>
      <c r="M59" s="15" t="s">
        <v>180</v>
      </c>
      <c r="N59" s="16"/>
      <c r="P59" s="54" t="str">
        <f>VLOOKUP(C59,'Train Runs'!$A$13:$V$253,22,0)</f>
        <v>https://search-rtdc-monitor-bjffxe2xuh6vdkpspy63sjmuny.us-east-1.es.amazonaws.com/_plugin/kibana/#/discover/Steve-Slow-Train-Analysis-(2080s-and-2083s)?_g=(refreshInterval:(display:Off,section:0,value:0),time:(from:'2016-06-23 14:20:02-0600',mode:absolute,to:'2016-06-23 15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9" s="14" t="str">
        <f t="shared" si="0"/>
        <v>4019</v>
      </c>
    </row>
    <row r="60" spans="1:17" s="2" customFormat="1" x14ac:dyDescent="0.25">
      <c r="A60" s="18">
        <v>42544.638657407406</v>
      </c>
      <c r="B60" s="17" t="s">
        <v>95</v>
      </c>
      <c r="C60" s="17" t="s">
        <v>268</v>
      </c>
      <c r="D60" s="17" t="s">
        <v>50</v>
      </c>
      <c r="E60" s="17" t="s">
        <v>51</v>
      </c>
      <c r="F60" s="17">
        <v>0</v>
      </c>
      <c r="G60" s="17">
        <v>6</v>
      </c>
      <c r="H60" s="17">
        <v>116</v>
      </c>
      <c r="I60" s="17" t="s">
        <v>52</v>
      </c>
      <c r="J60" s="17">
        <v>1</v>
      </c>
      <c r="K60" s="16" t="s">
        <v>54</v>
      </c>
      <c r="L60" s="16" t="str">
        <f>VLOOKUP(C60,'Trips&amp;Operators'!$C$2:$E$10000,3,FALSE)</f>
        <v>ROCHA</v>
      </c>
      <c r="M60" s="15" t="s">
        <v>180</v>
      </c>
      <c r="N60" s="16"/>
      <c r="P60" s="54" t="str">
        <f>VLOOKUP(C60,'Train Runs'!$A$13:$V$253,22,0)</f>
        <v>https://search-rtdc-monitor-bjffxe2xuh6vdkpspy63sjmuny.us-east-1.es.amazonaws.com/_plugin/kibana/#/discover/Steve-Slow-Train-Analysis-(2080s-and-2083s)?_g=(refreshInterval:(display:Off,section:0,value:0),time:(from:'2016-06-23 14:39:06-0600',mode:absolute,to:'2016-06-23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0" s="14" t="str">
        <f t="shared" si="0"/>
        <v>4008</v>
      </c>
    </row>
    <row r="61" spans="1:17" s="2" customFormat="1" x14ac:dyDescent="0.25">
      <c r="A61" s="18">
        <v>42544.616898148146</v>
      </c>
      <c r="B61" s="17" t="s">
        <v>264</v>
      </c>
      <c r="C61" s="17" t="s">
        <v>265</v>
      </c>
      <c r="D61" s="17" t="s">
        <v>50</v>
      </c>
      <c r="E61" s="17" t="s">
        <v>51</v>
      </c>
      <c r="F61" s="17">
        <v>0</v>
      </c>
      <c r="G61" s="17">
        <v>8</v>
      </c>
      <c r="H61" s="17">
        <v>233334</v>
      </c>
      <c r="I61" s="17" t="s">
        <v>52</v>
      </c>
      <c r="J61" s="17">
        <v>233491</v>
      </c>
      <c r="K61" s="16" t="s">
        <v>53</v>
      </c>
      <c r="L61" s="16" t="str">
        <f>VLOOKUP(C61,'Trips&amp;Operators'!$C$2:$E$10000,3,FALSE)</f>
        <v>YOUNG</v>
      </c>
      <c r="M61" s="15" t="s">
        <v>180</v>
      </c>
      <c r="N61" s="16"/>
      <c r="P61" s="54" t="str">
        <f>VLOOKUP(C61,'Train Runs'!$A$13:$V$253,22,0)</f>
        <v>https://search-rtdc-monitor-bjffxe2xuh6vdkpspy63sjmuny.us-east-1.es.amazonaws.com/_plugin/kibana/#/discover/Steve-Slow-Train-Analysis-(2080s-and-2083s)?_g=(refreshInterval:(display:Off,section:0,value:0),time:(from:'2016-06-23 14:00:21-0600',mode:absolute,to:'2016-06-23 14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61" s="14" t="str">
        <f t="shared" si="0"/>
        <v>4038</v>
      </c>
    </row>
    <row r="62" spans="1:17" s="2" customFormat="1" x14ac:dyDescent="0.25">
      <c r="A62" s="18">
        <v>42544.662141203706</v>
      </c>
      <c r="B62" s="17" t="s">
        <v>113</v>
      </c>
      <c r="C62" s="17" t="s">
        <v>271</v>
      </c>
      <c r="D62" s="17" t="s">
        <v>50</v>
      </c>
      <c r="E62" s="17" t="s">
        <v>51</v>
      </c>
      <c r="F62" s="17">
        <v>0</v>
      </c>
      <c r="G62" s="17">
        <v>51</v>
      </c>
      <c r="H62" s="17">
        <v>156</v>
      </c>
      <c r="I62" s="17" t="s">
        <v>52</v>
      </c>
      <c r="J62" s="17">
        <v>1</v>
      </c>
      <c r="K62" s="16" t="s">
        <v>54</v>
      </c>
      <c r="L62" s="16" t="str">
        <f>VLOOKUP(C62,'Trips&amp;Operators'!$C$2:$E$10000,3,FALSE)</f>
        <v>STEWART</v>
      </c>
      <c r="M62" s="15" t="s">
        <v>180</v>
      </c>
      <c r="N62" s="16"/>
      <c r="P62" s="54" t="str">
        <f>VLOOKUP(C62,'Train Runs'!$A$13:$V$253,22,0)</f>
        <v>https://search-rtdc-monitor-bjffxe2xuh6vdkpspy63sjmuny.us-east-1.es.amazonaws.com/_plugin/kibana/#/discover/Steve-Slow-Train-Analysis-(2080s-and-2083s)?_g=(refreshInterval:(display:Off,section:0,value:0),time:(from:'2016-06-23 15:07:15-0600',mode:absolute,to:'2016-06-23 15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2" s="14" t="str">
        <f t="shared" si="0"/>
        <v>4041</v>
      </c>
    </row>
    <row r="63" spans="1:17" s="2" customFormat="1" x14ac:dyDescent="0.25">
      <c r="A63" s="18">
        <v>42544.638124999998</v>
      </c>
      <c r="B63" s="17" t="s">
        <v>216</v>
      </c>
      <c r="C63" s="17" t="s">
        <v>267</v>
      </c>
      <c r="D63" s="17" t="s">
        <v>50</v>
      </c>
      <c r="E63" s="17" t="s">
        <v>51</v>
      </c>
      <c r="F63" s="17">
        <v>0</v>
      </c>
      <c r="G63" s="17">
        <v>8</v>
      </c>
      <c r="H63" s="17">
        <v>233336</v>
      </c>
      <c r="I63" s="17" t="s">
        <v>52</v>
      </c>
      <c r="J63" s="17">
        <v>233491</v>
      </c>
      <c r="K63" s="16" t="s">
        <v>53</v>
      </c>
      <c r="L63" s="16" t="str">
        <f>VLOOKUP(C63,'Trips&amp;Operators'!$C$2:$E$10000,3,FALSE)</f>
        <v>BARTELL</v>
      </c>
      <c r="M63" s="15" t="s">
        <v>180</v>
      </c>
      <c r="N63" s="16"/>
      <c r="P63" s="54" t="str">
        <f>VLOOKUP(C63,'Train Runs'!$A$13:$V$253,22,0)</f>
        <v>https://search-rtdc-monitor-bjffxe2xuh6vdkpspy63sjmuny.us-east-1.es.amazonaws.com/_plugin/kibana/#/discover/Steve-Slow-Train-Analysis-(2080s-and-2083s)?_g=(refreshInterval:(display:Off,section:0,value:0),time:(from:'2016-06-23 14:35:35-0600',mode:absolute,to:'2016-06-23 15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63" s="14" t="str">
        <f t="shared" si="0"/>
        <v>4009</v>
      </c>
    </row>
    <row r="64" spans="1:17" s="2" customFormat="1" x14ac:dyDescent="0.25">
      <c r="A64" s="18">
        <v>42544.673055555555</v>
      </c>
      <c r="B64" s="17" t="s">
        <v>215</v>
      </c>
      <c r="C64" s="17" t="s">
        <v>275</v>
      </c>
      <c r="D64" s="17" t="s">
        <v>50</v>
      </c>
      <c r="E64" s="17" t="s">
        <v>51</v>
      </c>
      <c r="F64" s="17">
        <v>0</v>
      </c>
      <c r="G64" s="17">
        <v>9</v>
      </c>
      <c r="H64" s="17">
        <v>134</v>
      </c>
      <c r="I64" s="17" t="s">
        <v>52</v>
      </c>
      <c r="J64" s="17">
        <v>1</v>
      </c>
      <c r="K64" s="16" t="s">
        <v>54</v>
      </c>
      <c r="L64" s="16" t="str">
        <f>VLOOKUP(C64,'Trips&amp;Operators'!$C$2:$E$10000,3,FALSE)</f>
        <v>BARTELL</v>
      </c>
      <c r="M64" s="15" t="s">
        <v>180</v>
      </c>
      <c r="N64" s="16"/>
      <c r="P64" s="54" t="str">
        <f>VLOOKUP(C64,'Train Runs'!$A$13:$V$253,22,0)</f>
        <v>https://search-rtdc-monitor-bjffxe2xuh6vdkpspy63sjmuny.us-east-1.es.amazonaws.com/_plugin/kibana/#/discover/Steve-Slow-Train-Analysis-(2080s-and-2083s)?_g=(refreshInterval:(display:Off,section:0,value:0),time:(from:'2016-06-23 15:23:45-0600',mode:absolute,to:'2016-06-23 16:11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64" s="14" t="str">
        <f t="shared" si="0"/>
        <v>4010</v>
      </c>
    </row>
    <row r="65" spans="1:17" s="2" customFormat="1" x14ac:dyDescent="0.25">
      <c r="A65" s="18">
        <v>42544.650555555556</v>
      </c>
      <c r="B65" s="17" t="s">
        <v>225</v>
      </c>
      <c r="C65" s="17" t="s">
        <v>269</v>
      </c>
      <c r="D65" s="17" t="s">
        <v>50</v>
      </c>
      <c r="E65" s="17" t="s">
        <v>51</v>
      </c>
      <c r="F65" s="17">
        <v>0</v>
      </c>
      <c r="G65" s="17">
        <v>23</v>
      </c>
      <c r="H65" s="17">
        <v>233437</v>
      </c>
      <c r="I65" s="17" t="s">
        <v>52</v>
      </c>
      <c r="J65" s="17">
        <v>233491</v>
      </c>
      <c r="K65" s="16" t="s">
        <v>53</v>
      </c>
      <c r="L65" s="16" t="str">
        <f>VLOOKUP(C65,'Trips&amp;Operators'!$C$2:$E$10000,3,FALSE)</f>
        <v>DAVIS</v>
      </c>
      <c r="M65" s="15" t="s">
        <v>180</v>
      </c>
      <c r="N65" s="16"/>
      <c r="P65" s="54" t="str">
        <f>VLOOKUP(C65,'Train Runs'!$A$13:$V$253,22,0)</f>
        <v>https://search-rtdc-monitor-bjffxe2xuh6vdkpspy63sjmuny.us-east-1.es.amazonaws.com/_plugin/kibana/#/discover/Steve-Slow-Train-Analysis-(2080s-and-2083s)?_g=(refreshInterval:(display:Off,section:0,value:0),time:(from:'2016-06-23 14:56:19-0600',mode:absolute,to:'2016-06-23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65" s="14" t="str">
        <f t="shared" si="0"/>
        <v>4014</v>
      </c>
    </row>
    <row r="66" spans="1:17" s="2" customFormat="1" x14ac:dyDescent="0.25">
      <c r="A66" s="78">
        <v>42544.690243055556</v>
      </c>
      <c r="B66" s="66" t="s">
        <v>262</v>
      </c>
      <c r="C66" s="66" t="s">
        <v>278</v>
      </c>
      <c r="D66" s="66" t="s">
        <v>50</v>
      </c>
      <c r="E66" s="66" t="s">
        <v>51</v>
      </c>
      <c r="F66" s="66">
        <v>0</v>
      </c>
      <c r="G66" s="66">
        <v>39</v>
      </c>
      <c r="H66" s="66">
        <v>139</v>
      </c>
      <c r="I66" s="66" t="s">
        <v>52</v>
      </c>
      <c r="J66" s="66">
        <v>1</v>
      </c>
      <c r="K66" s="66" t="s">
        <v>54</v>
      </c>
      <c r="L66" s="16" t="str">
        <f>VLOOKUP(C66,'Trips&amp;Operators'!$C$2:$E$10000,3,FALSE)</f>
        <v>DAVIS</v>
      </c>
      <c r="M66" s="15" t="s">
        <v>180</v>
      </c>
      <c r="N66" s="16"/>
      <c r="P66" s="54" t="str">
        <f>VLOOKUP(C66,'Train Runs'!$A$13:$V$253,22,0)</f>
        <v>https://search-rtdc-monitor-bjffxe2xuh6vdkpspy63sjmuny.us-east-1.es.amazonaws.com/_plugin/kibana/#/discover/Steve-Slow-Train-Analysis-(2080s-and-2083s)?_g=(refreshInterval:(display:Off,section:0,value:0),time:(from:'2016-06-23 15:54:47-0600',mode:absolute,to:'2016-06-23 16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6" s="14" t="str">
        <f t="shared" si="0"/>
        <v>4013</v>
      </c>
    </row>
    <row r="67" spans="1:17" s="2" customFormat="1" x14ac:dyDescent="0.25">
      <c r="A67" s="18">
        <v>42544.671157407407</v>
      </c>
      <c r="B67" s="17" t="s">
        <v>97</v>
      </c>
      <c r="C67" s="17" t="s">
        <v>274</v>
      </c>
      <c r="D67" s="17" t="s">
        <v>50</v>
      </c>
      <c r="E67" s="17" t="s">
        <v>51</v>
      </c>
      <c r="F67" s="17">
        <v>0</v>
      </c>
      <c r="G67" s="17">
        <v>6</v>
      </c>
      <c r="H67" s="17">
        <v>233330</v>
      </c>
      <c r="I67" s="17" t="s">
        <v>52</v>
      </c>
      <c r="J67" s="17">
        <v>233491</v>
      </c>
      <c r="K67" s="16" t="s">
        <v>53</v>
      </c>
      <c r="L67" s="16" t="str">
        <f>VLOOKUP(C67,'Trips&amp;Operators'!$C$2:$E$10000,3,FALSE)</f>
        <v>ROCHA</v>
      </c>
      <c r="M67" s="15" t="s">
        <v>180</v>
      </c>
      <c r="N67" s="16"/>
      <c r="P67" s="54" t="str">
        <f>VLOOKUP(C67,'Train Runs'!$A$13:$V$253,22,0)</f>
        <v>https://search-rtdc-monitor-bjffxe2xuh6vdkpspy63sjmuny.us-east-1.es.amazonaws.com/_plugin/kibana/#/discover/Steve-Slow-Train-Analysis-(2080s-and-2083s)?_g=(refreshInterval:(display:Off,section:0,value:0),time:(from:'2016-06-23 15:25:05-0600',mode:absolute,to:'2016-06-23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7" s="14" t="str">
        <f t="shared" si="0"/>
        <v>4007</v>
      </c>
    </row>
    <row r="68" spans="1:17" s="2" customFormat="1" x14ac:dyDescent="0.25">
      <c r="A68" s="78">
        <v>42544.703796296293</v>
      </c>
      <c r="B68" s="66" t="s">
        <v>216</v>
      </c>
      <c r="C68" s="66" t="s">
        <v>280</v>
      </c>
      <c r="D68" s="66" t="s">
        <v>50</v>
      </c>
      <c r="E68" s="66" t="s">
        <v>51</v>
      </c>
      <c r="F68" s="66">
        <v>0</v>
      </c>
      <c r="G68" s="66">
        <v>8</v>
      </c>
      <c r="H68" s="66">
        <v>233340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DE LA ROSA</v>
      </c>
      <c r="M68" s="15" t="s">
        <v>180</v>
      </c>
      <c r="N68" s="16"/>
      <c r="P68" s="54" t="str">
        <f>VLOOKUP(C68,'Train Runs'!$A$13:$V$253,22,0)</f>
        <v>https://search-rtdc-monitor-bjffxe2xuh6vdkpspy63sjmuny.us-east-1.es.amazonaws.com/_plugin/kibana/#/discover/Steve-Slow-Train-Analysis-(2080s-and-2083s)?_g=(refreshInterval:(display:Off,section:0,value:0),time:(from:'2016-06-23 16:12:32-0600',mode:absolute,to:'2016-06-23 16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68" s="14" t="str">
        <f t="shared" si="0"/>
        <v>4009</v>
      </c>
    </row>
    <row r="69" spans="1:17" s="2" customFormat="1" x14ac:dyDescent="0.25">
      <c r="A69" s="78">
        <v>42544.714502314811</v>
      </c>
      <c r="B69" s="66" t="s">
        <v>88</v>
      </c>
      <c r="C69" s="66" t="s">
        <v>277</v>
      </c>
      <c r="D69" s="66" t="s">
        <v>50</v>
      </c>
      <c r="E69" s="66" t="s">
        <v>51</v>
      </c>
      <c r="F69" s="66">
        <v>0</v>
      </c>
      <c r="G69" s="66">
        <v>8</v>
      </c>
      <c r="H69" s="66">
        <v>233337</v>
      </c>
      <c r="I69" s="66" t="s">
        <v>52</v>
      </c>
      <c r="J69" s="66">
        <v>233491</v>
      </c>
      <c r="K69" s="66" t="s">
        <v>53</v>
      </c>
      <c r="L69" s="16" t="str">
        <f>VLOOKUP(C69,'Trips&amp;Operators'!$C$2:$E$10000,3,FALSE)</f>
        <v>SPECTOR</v>
      </c>
      <c r="M69" s="15" t="s">
        <v>180</v>
      </c>
      <c r="N69" s="16"/>
      <c r="P69" s="54" t="str">
        <f>VLOOKUP(C69,'Train Runs'!$A$13:$V$253,22,0)</f>
        <v>https://search-rtdc-monitor-bjffxe2xuh6vdkpspy63sjmuny.us-east-1.es.amazonaws.com/_plugin/kibana/#/discover/Steve-Slow-Train-Analysis-(2080s-and-2083s)?_g=(refreshInterval:(display:Off,section:0,value:0),time:(from:'2016-06-23 16:25:22-0600',mode:absolute,to:'2016-06-23 17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9" s="14" t="str">
        <f t="shared" si="0"/>
        <v>4018</v>
      </c>
    </row>
    <row r="70" spans="1:17" s="2" customFormat="1" x14ac:dyDescent="0.25">
      <c r="A70" s="78">
        <v>42544.818055555559</v>
      </c>
      <c r="B70" s="66" t="s">
        <v>215</v>
      </c>
      <c r="C70" s="66" t="s">
        <v>293</v>
      </c>
      <c r="D70" s="66" t="s">
        <v>50</v>
      </c>
      <c r="E70" s="66" t="s">
        <v>51</v>
      </c>
      <c r="F70" s="66">
        <v>0</v>
      </c>
      <c r="G70" s="66">
        <v>8</v>
      </c>
      <c r="H70" s="66">
        <v>119</v>
      </c>
      <c r="I70" s="66" t="s">
        <v>52</v>
      </c>
      <c r="J70" s="66">
        <v>1</v>
      </c>
      <c r="K70" s="66" t="s">
        <v>54</v>
      </c>
      <c r="L70" s="16" t="str">
        <f>VLOOKUP(C70,'Trips&amp;Operators'!$C$2:$E$10000,3,FALSE)</f>
        <v>DE LA ROSA</v>
      </c>
      <c r="M70" s="15" t="s">
        <v>180</v>
      </c>
      <c r="N70" s="16"/>
      <c r="P70" s="54" t="str">
        <f>VLOOKUP(C70,'Train Runs'!$A$13:$V$253,22,0)</f>
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70" s="14" t="str">
        <f t="shared" si="0"/>
        <v>4010</v>
      </c>
    </row>
    <row r="71" spans="1:17" s="2" customFormat="1" x14ac:dyDescent="0.25">
      <c r="A71" s="78">
        <v>42544.857847222222</v>
      </c>
      <c r="B71" s="66" t="s">
        <v>95</v>
      </c>
      <c r="C71" s="66" t="s">
        <v>296</v>
      </c>
      <c r="D71" s="66" t="s">
        <v>50</v>
      </c>
      <c r="E71" s="66" t="s">
        <v>51</v>
      </c>
      <c r="F71" s="66">
        <v>0</v>
      </c>
      <c r="G71" s="66">
        <v>3</v>
      </c>
      <c r="H71" s="66">
        <v>127</v>
      </c>
      <c r="I71" s="66" t="s">
        <v>52</v>
      </c>
      <c r="J71" s="66">
        <v>1</v>
      </c>
      <c r="K71" s="66" t="s">
        <v>54</v>
      </c>
      <c r="L71" s="16" t="str">
        <f>VLOOKUP(C71,'Trips&amp;Operators'!$C$2:$E$10000,3,FALSE)</f>
        <v>BRUDER</v>
      </c>
      <c r="M71" s="15" t="s">
        <v>180</v>
      </c>
      <c r="N71" s="16"/>
      <c r="P71" s="54" t="str">
        <f>VLOOKUP(C71,'Train Runs'!$A$13:$V$253,22,0)</f>
        <v>https://search-rtdc-monitor-bjffxe2xuh6vdkpspy63sjmuny.us-east-1.es.amazonaws.com/_plugin/kibana/#/discover/Steve-Slow-Train-Analysis-(2080s-and-2083s)?_g=(refreshInterval:(display:Off,section:0,value:0),time:(from:'2016-06-23 19:48:12-0600',mode:absolute,to:'2016-06-23 20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1" s="14" t="str">
        <f>MID(B71,13,4)</f>
        <v>4008</v>
      </c>
    </row>
    <row r="72" spans="1:17" s="2" customFormat="1" x14ac:dyDescent="0.25">
      <c r="A72" s="78">
        <v>42544.878750000003</v>
      </c>
      <c r="B72" s="66" t="s">
        <v>113</v>
      </c>
      <c r="C72" s="66" t="s">
        <v>297</v>
      </c>
      <c r="D72" s="66" t="s">
        <v>50</v>
      </c>
      <c r="E72" s="66" t="s">
        <v>51</v>
      </c>
      <c r="F72" s="66">
        <v>0</v>
      </c>
      <c r="G72" s="66">
        <v>5</v>
      </c>
      <c r="H72" s="66">
        <v>147</v>
      </c>
      <c r="I72" s="66" t="s">
        <v>52</v>
      </c>
      <c r="J72" s="66">
        <v>1</v>
      </c>
      <c r="K72" s="66" t="s">
        <v>54</v>
      </c>
      <c r="L72" s="16" t="str">
        <f>VLOOKUP(C72,'Trips&amp;Operators'!$C$2:$E$10000,3,FALSE)</f>
        <v>MAELZER</v>
      </c>
      <c r="M72" s="15" t="s">
        <v>180</v>
      </c>
      <c r="N72" s="16"/>
      <c r="P72" s="54" t="str">
        <f>VLOOKUP(C72,'Train Runs'!$A$13:$V$253,22,0)</f>
        <v>https://search-rtdc-monitor-bjffxe2xuh6vdkpspy63sjmuny.us-east-1.es.amazonaws.com/_plugin/kibana/#/discover/Steve-Slow-Train-Analysis-(2080s-and-2083s)?_g=(refreshInterval:(display:Off,section:0,value:0),time:(from:'2016-06-23 20:16:48-0600',mode:absolute,to:'2016-06-23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72" s="14" t="str">
        <f>MID(B72,13,4)</f>
        <v>4041</v>
      </c>
    </row>
    <row r="73" spans="1:17" s="2" customFormat="1" x14ac:dyDescent="0.25">
      <c r="A73" s="78">
        <v>42545.049409722225</v>
      </c>
      <c r="B73" s="66" t="s">
        <v>225</v>
      </c>
      <c r="C73" s="66" t="s">
        <v>303</v>
      </c>
      <c r="D73" s="66" t="s">
        <v>50</v>
      </c>
      <c r="E73" s="66" t="s">
        <v>51</v>
      </c>
      <c r="F73" s="66">
        <v>0</v>
      </c>
      <c r="G73" s="66">
        <v>1</v>
      </c>
      <c r="H73" s="66">
        <v>233312</v>
      </c>
      <c r="I73" s="66" t="s">
        <v>52</v>
      </c>
      <c r="J73" s="66">
        <v>233491</v>
      </c>
      <c r="K73" s="66" t="s">
        <v>53</v>
      </c>
      <c r="L73" s="16" t="str">
        <f>VLOOKUP(C73,'Trips&amp;Operators'!$C$2:$E$10000,3,FALSE)</f>
        <v>STRICKLAND</v>
      </c>
      <c r="M73" s="15" t="s">
        <v>180</v>
      </c>
      <c r="N73" s="16"/>
      <c r="P73" s="54" t="str">
        <f>VLOOKUP(C73,'Train Runs'!$A$13:$V$253,22,0)</f>
        <v>https://search-rtdc-monitor-bjffxe2xuh6vdkpspy63sjmuny.us-east-1.es.amazonaws.com/_plugin/kibana/#/discover/Steve-Slow-Train-Analysis-(2080s-and-2083s)?_g=(refreshInterval:(display:Off,section:0,value:0),time:(from:'2016-06-24 00:17:05-0600',mode:absolute,to:'2016-06-24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73" s="14" t="str">
        <f>MID(B73,13,4)</f>
        <v>4014</v>
      </c>
    </row>
  </sheetData>
  <autoFilter ref="A6:N73">
    <sortState ref="A7:N73">
      <sortCondition ref="E6:E73"/>
    </sortState>
  </autoFilter>
  <sortState ref="A7:N12">
    <sortCondition ref="F7:F12"/>
  </sortState>
  <mergeCells count="1">
    <mergeCell ref="A5:M5"/>
  </mergeCells>
  <conditionalFormatting sqref="P6 M6:N6 M7:M1048576">
    <cfRule type="cellIs" dxfId="4" priority="10" operator="equal">
      <formula>"Y"</formula>
    </cfRule>
  </conditionalFormatting>
  <conditionalFormatting sqref="A7:N73">
    <cfRule type="expression" dxfId="3" priority="3">
      <formula>$M7="Y"</formula>
    </cfRule>
  </conditionalFormatting>
  <conditionalFormatting sqref="M2:M3">
    <cfRule type="cellIs" dxfId="2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G3" sqref="G3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0" t="str">
        <f>"Trips that did not appear in PTC Data "&amp;TEXT(Variables!$A$2,"YYYY-mm-dd")</f>
        <v>Trips that did not appear in PTC Data 2016-06-23</v>
      </c>
      <c r="B1" s="90"/>
      <c r="C1" s="90"/>
      <c r="D1" s="90"/>
      <c r="E1" s="90"/>
    </row>
    <row r="2" spans="1:10" s="52" customFormat="1" ht="45" x14ac:dyDescent="0.25">
      <c r="A2" s="51" t="s">
        <v>105</v>
      </c>
      <c r="B2" s="63" t="s">
        <v>106</v>
      </c>
      <c r="C2" s="61" t="s">
        <v>107</v>
      </c>
      <c r="D2" s="52" t="s">
        <v>103</v>
      </c>
      <c r="E2" s="52" t="s">
        <v>104</v>
      </c>
      <c r="F2" s="52" t="s">
        <v>124</v>
      </c>
      <c r="G2" s="64" t="s">
        <v>125</v>
      </c>
    </row>
    <row r="3" spans="1:10" x14ac:dyDescent="0.25">
      <c r="A3" s="66" t="s">
        <v>345</v>
      </c>
      <c r="B3" s="66"/>
      <c r="C3" s="66"/>
      <c r="D3" s="66"/>
      <c r="E3" s="43" t="str">
        <f>VLOOKUP(A3,'Trips&amp;Operators'!$C$2:$E$10000,3,FALSE)</f>
        <v>GOODNIGHT</v>
      </c>
      <c r="F3" s="43" t="str">
        <f>VLOOKUP(A3,'Trips&amp;Operators'!$C$1:$F$10000,4,FALSE)</f>
        <v>rtdc.l.rtdc.4039:itc</v>
      </c>
      <c r="G3" s="65">
        <f>VLOOKUP(A3,'Trips&amp;Operators'!$C$1:$H$10000,5,FALSE)</f>
        <v>42544.526030092595</v>
      </c>
      <c r="H3" s="42"/>
      <c r="I3" s="42"/>
      <c r="J3" s="42"/>
    </row>
    <row r="4" spans="1:10" x14ac:dyDescent="0.25">
      <c r="A4" s="66" t="s">
        <v>518</v>
      </c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 t="s">
        <v>519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514</v>
      </c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workbookViewId="0">
      <selection sqref="A1:G223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42544.170694444445</v>
      </c>
      <c r="B1" s="42" t="s">
        <v>96</v>
      </c>
      <c r="C1" s="42" t="s">
        <v>227</v>
      </c>
      <c r="D1" s="42">
        <v>1840000</v>
      </c>
      <c r="E1" s="42" t="s">
        <v>304</v>
      </c>
      <c r="F1" s="42" t="s">
        <v>96</v>
      </c>
      <c r="G1" s="13">
        <v>42544.170694444445</v>
      </c>
    </row>
    <row r="2" spans="1:7" x14ac:dyDescent="0.25">
      <c r="A2" s="13">
        <v>42544.485821759263</v>
      </c>
      <c r="B2" s="42" t="s">
        <v>171</v>
      </c>
      <c r="C2" s="42" t="s">
        <v>305</v>
      </c>
      <c r="D2" s="42">
        <v>1460000</v>
      </c>
      <c r="E2" s="42" t="s">
        <v>306</v>
      </c>
      <c r="F2" s="42" t="s">
        <v>171</v>
      </c>
      <c r="G2" s="13">
        <v>42544.485821759263</v>
      </c>
    </row>
    <row r="3" spans="1:7" x14ac:dyDescent="0.25">
      <c r="A3" s="13">
        <v>42544.502824074072</v>
      </c>
      <c r="B3" s="42" t="s">
        <v>176</v>
      </c>
      <c r="C3" s="42" t="s">
        <v>245</v>
      </c>
      <c r="D3" s="42">
        <v>1460000</v>
      </c>
      <c r="E3" s="42" t="s">
        <v>306</v>
      </c>
      <c r="F3" s="42" t="s">
        <v>176</v>
      </c>
      <c r="G3" s="13">
        <v>42544.502824074072</v>
      </c>
    </row>
    <row r="4" spans="1:7" x14ac:dyDescent="0.25">
      <c r="A4" s="13">
        <v>42544.517893518518</v>
      </c>
      <c r="B4" s="42" t="s">
        <v>262</v>
      </c>
      <c r="C4" s="42" t="s">
        <v>307</v>
      </c>
      <c r="D4" s="42">
        <v>1990000</v>
      </c>
      <c r="E4" s="42" t="s">
        <v>172</v>
      </c>
      <c r="F4" s="42" t="s">
        <v>262</v>
      </c>
      <c r="G4" s="13">
        <v>42544.517893518518</v>
      </c>
    </row>
    <row r="5" spans="1:7" x14ac:dyDescent="0.25">
      <c r="A5" s="13">
        <v>42544.485497685186</v>
      </c>
      <c r="B5" s="42" t="s">
        <v>113</v>
      </c>
      <c r="C5" s="42" t="s">
        <v>308</v>
      </c>
      <c r="D5" s="42">
        <v>880000</v>
      </c>
      <c r="E5" s="42" t="s">
        <v>220</v>
      </c>
      <c r="F5" s="42" t="s">
        <v>113</v>
      </c>
      <c r="G5" s="13">
        <v>42544.485497685186</v>
      </c>
    </row>
    <row r="6" spans="1:7" x14ac:dyDescent="0.25">
      <c r="A6" s="13">
        <v>42544.539571759262</v>
      </c>
      <c r="B6" s="42" t="s">
        <v>88</v>
      </c>
      <c r="C6" s="42" t="s">
        <v>309</v>
      </c>
      <c r="D6" s="42">
        <v>1090000</v>
      </c>
      <c r="E6" s="42" t="s">
        <v>140</v>
      </c>
      <c r="F6" s="42" t="s">
        <v>88</v>
      </c>
      <c r="G6" s="13">
        <v>42544.539571759262</v>
      </c>
    </row>
    <row r="7" spans="1:7" x14ac:dyDescent="0.25">
      <c r="A7" s="13">
        <v>42544.574502314812</v>
      </c>
      <c r="B7" s="42" t="s">
        <v>89</v>
      </c>
      <c r="C7" s="42" t="s">
        <v>310</v>
      </c>
      <c r="D7" s="42">
        <v>1090000</v>
      </c>
      <c r="E7" s="42" t="s">
        <v>140</v>
      </c>
      <c r="F7" s="42" t="s">
        <v>89</v>
      </c>
      <c r="G7" s="13">
        <v>42544.574502314812</v>
      </c>
    </row>
    <row r="8" spans="1:7" x14ac:dyDescent="0.25">
      <c r="A8" s="13">
        <v>42544.584629629629</v>
      </c>
      <c r="B8" s="42" t="s">
        <v>264</v>
      </c>
      <c r="C8" s="42" t="s">
        <v>265</v>
      </c>
      <c r="D8" s="42">
        <v>1140000</v>
      </c>
      <c r="E8" s="42" t="s">
        <v>90</v>
      </c>
      <c r="F8" s="42" t="s">
        <v>264</v>
      </c>
      <c r="G8" s="13">
        <v>42544.584629629629</v>
      </c>
    </row>
    <row r="9" spans="1:7" ht="15.75" thickBot="1" x14ac:dyDescent="0.3">
      <c r="A9" s="57">
        <v>42544.590462962966</v>
      </c>
      <c r="B9" s="42" t="s">
        <v>262</v>
      </c>
      <c r="C9" s="42" t="s">
        <v>263</v>
      </c>
      <c r="D9" s="42">
        <v>1990000</v>
      </c>
      <c r="E9" s="42" t="s">
        <v>172</v>
      </c>
      <c r="F9" s="42" t="s">
        <v>262</v>
      </c>
      <c r="G9" s="57">
        <v>42544.590462962966</v>
      </c>
    </row>
    <row r="10" spans="1:7" x14ac:dyDescent="0.25">
      <c r="A10" s="13">
        <v>42544.64739583333</v>
      </c>
      <c r="B10" s="42" t="s">
        <v>98</v>
      </c>
      <c r="C10" s="42" t="s">
        <v>272</v>
      </c>
      <c r="D10" s="42">
        <v>1740000</v>
      </c>
      <c r="E10" s="42" t="s">
        <v>94</v>
      </c>
      <c r="F10" s="42" t="s">
        <v>98</v>
      </c>
      <c r="G10" s="13">
        <v>42544.64739583333</v>
      </c>
    </row>
    <row r="11" spans="1:7" x14ac:dyDescent="0.25">
      <c r="A11" s="13">
        <v>42544.46597222222</v>
      </c>
      <c r="B11" s="42" t="s">
        <v>88</v>
      </c>
      <c r="C11" s="42" t="s">
        <v>311</v>
      </c>
      <c r="D11" s="42">
        <v>1090000</v>
      </c>
      <c r="E11" s="42" t="s">
        <v>140</v>
      </c>
      <c r="F11" s="42" t="s">
        <v>88</v>
      </c>
      <c r="G11" s="13">
        <v>42544.46597222222</v>
      </c>
    </row>
    <row r="12" spans="1:7" x14ac:dyDescent="0.25">
      <c r="A12" s="13">
        <v>42544.674120370371</v>
      </c>
      <c r="B12" s="42" t="s">
        <v>176</v>
      </c>
      <c r="C12" s="42" t="s">
        <v>312</v>
      </c>
      <c r="D12" s="42">
        <v>1520000</v>
      </c>
      <c r="E12" s="42" t="s">
        <v>218</v>
      </c>
      <c r="F12" s="42" t="s">
        <v>176</v>
      </c>
      <c r="G12" s="13">
        <v>42544.674120370371</v>
      </c>
    </row>
    <row r="13" spans="1:7" x14ac:dyDescent="0.25">
      <c r="A13" s="13">
        <v>42544.453726851854</v>
      </c>
      <c r="B13" s="42" t="s">
        <v>216</v>
      </c>
      <c r="C13" s="42" t="s">
        <v>250</v>
      </c>
      <c r="D13" s="42">
        <v>1310000</v>
      </c>
      <c r="E13" s="42" t="s">
        <v>313</v>
      </c>
      <c r="F13" s="42" t="s">
        <v>216</v>
      </c>
      <c r="G13" s="13">
        <v>42544.453726851854</v>
      </c>
    </row>
    <row r="14" spans="1:7" x14ac:dyDescent="0.25">
      <c r="A14" s="13">
        <v>42544.676631944443</v>
      </c>
      <c r="B14" s="42" t="s">
        <v>216</v>
      </c>
      <c r="C14" s="42" t="s">
        <v>280</v>
      </c>
      <c r="D14" s="42">
        <v>1780000</v>
      </c>
      <c r="E14" s="42" t="s">
        <v>139</v>
      </c>
      <c r="F14" s="42" t="s">
        <v>216</v>
      </c>
      <c r="G14" s="13">
        <v>42544.676631944443</v>
      </c>
    </row>
    <row r="15" spans="1:7" x14ac:dyDescent="0.25">
      <c r="A15" s="13">
        <v>42544.440393518518</v>
      </c>
      <c r="B15" s="42" t="s">
        <v>95</v>
      </c>
      <c r="C15" s="42" t="s">
        <v>314</v>
      </c>
      <c r="D15" s="42">
        <v>1360000</v>
      </c>
      <c r="E15" s="42" t="s">
        <v>219</v>
      </c>
      <c r="F15" s="42" t="s">
        <v>95</v>
      </c>
      <c r="G15" s="13">
        <v>42544.440393518518</v>
      </c>
    </row>
    <row r="16" spans="1:7" x14ac:dyDescent="0.25">
      <c r="A16" s="13">
        <v>42544.689259259256</v>
      </c>
      <c r="B16" s="42" t="s">
        <v>258</v>
      </c>
      <c r="C16" s="42" t="s">
        <v>315</v>
      </c>
      <c r="D16" s="42">
        <v>1140000</v>
      </c>
      <c r="E16" s="42" t="s">
        <v>90</v>
      </c>
      <c r="F16" s="42" t="s">
        <v>258</v>
      </c>
      <c r="G16" s="13">
        <v>42544.689259259256</v>
      </c>
    </row>
    <row r="17" spans="1:7" x14ac:dyDescent="0.25">
      <c r="A17" s="13">
        <v>42544.402037037034</v>
      </c>
      <c r="B17" s="42" t="s">
        <v>97</v>
      </c>
      <c r="C17" s="42" t="s">
        <v>316</v>
      </c>
      <c r="D17" s="42">
        <v>1360000</v>
      </c>
      <c r="E17" s="42" t="s">
        <v>219</v>
      </c>
      <c r="F17" s="42" t="s">
        <v>97</v>
      </c>
      <c r="G17" s="13">
        <v>42544.402037037034</v>
      </c>
    </row>
    <row r="18" spans="1:7" x14ac:dyDescent="0.25">
      <c r="A18" s="13">
        <v>42544.719837962963</v>
      </c>
      <c r="B18" s="42" t="s">
        <v>97</v>
      </c>
      <c r="C18" s="42" t="s">
        <v>317</v>
      </c>
      <c r="D18" s="42">
        <v>1770000</v>
      </c>
      <c r="E18" s="42" t="s">
        <v>318</v>
      </c>
      <c r="F18" s="42" t="s">
        <v>97</v>
      </c>
      <c r="G18" s="13">
        <v>42544.719837962963</v>
      </c>
    </row>
    <row r="19" spans="1:7" x14ac:dyDescent="0.25">
      <c r="A19" s="13">
        <v>42544.389490740738</v>
      </c>
      <c r="B19" s="42" t="s">
        <v>88</v>
      </c>
      <c r="C19" s="42" t="s">
        <v>319</v>
      </c>
      <c r="D19" s="42">
        <v>1830000</v>
      </c>
      <c r="E19" s="42" t="s">
        <v>222</v>
      </c>
      <c r="F19" s="42" t="s">
        <v>88</v>
      </c>
      <c r="G19" s="13">
        <v>42544.389490740738</v>
      </c>
    </row>
    <row r="20" spans="1:7" x14ac:dyDescent="0.25">
      <c r="A20" s="13">
        <v>42544.744490740741</v>
      </c>
      <c r="B20" s="42" t="s">
        <v>85</v>
      </c>
      <c r="C20" s="42" t="s">
        <v>320</v>
      </c>
      <c r="D20" s="42">
        <v>1290000</v>
      </c>
      <c r="E20" s="42" t="s">
        <v>126</v>
      </c>
      <c r="F20" s="42" t="s">
        <v>85</v>
      </c>
      <c r="G20" s="13">
        <v>42544.744490740741</v>
      </c>
    </row>
    <row r="21" spans="1:7" x14ac:dyDescent="0.25">
      <c r="A21" s="13">
        <v>42544.351087962961</v>
      </c>
      <c r="B21" s="42" t="s">
        <v>86</v>
      </c>
      <c r="C21" s="42" t="s">
        <v>243</v>
      </c>
      <c r="D21" s="42">
        <v>2000000</v>
      </c>
      <c r="E21" s="42" t="s">
        <v>141</v>
      </c>
      <c r="F21" s="42" t="s">
        <v>86</v>
      </c>
      <c r="G21" s="13">
        <v>42544.351087962961</v>
      </c>
    </row>
    <row r="22" spans="1:7" x14ac:dyDescent="0.25">
      <c r="A22" s="59">
        <v>42544.753530092596</v>
      </c>
      <c r="B22" s="42" t="s">
        <v>216</v>
      </c>
      <c r="C22" s="42" t="s">
        <v>321</v>
      </c>
      <c r="D22" s="42">
        <v>1780000</v>
      </c>
      <c r="E22" s="42" t="s">
        <v>139</v>
      </c>
      <c r="F22" s="42" t="s">
        <v>216</v>
      </c>
      <c r="G22" s="59">
        <v>42544.753530092596</v>
      </c>
    </row>
    <row r="23" spans="1:7" x14ac:dyDescent="0.25">
      <c r="A23" s="13">
        <v>42544.331631944442</v>
      </c>
      <c r="B23" s="42" t="s">
        <v>97</v>
      </c>
      <c r="C23" s="42" t="s">
        <v>322</v>
      </c>
      <c r="D23" s="42">
        <v>1360000</v>
      </c>
      <c r="E23" s="42" t="s">
        <v>219</v>
      </c>
      <c r="F23" s="42" t="s">
        <v>97</v>
      </c>
      <c r="G23" s="13">
        <v>42544.331631944442</v>
      </c>
    </row>
    <row r="24" spans="1:7" x14ac:dyDescent="0.25">
      <c r="A24" s="13">
        <v>42544.76457175926</v>
      </c>
      <c r="B24" s="42" t="s">
        <v>88</v>
      </c>
      <c r="C24" s="42" t="s">
        <v>323</v>
      </c>
      <c r="D24" s="42">
        <v>1820000</v>
      </c>
      <c r="E24" s="42" t="s">
        <v>175</v>
      </c>
      <c r="F24" s="42" t="s">
        <v>88</v>
      </c>
      <c r="G24" s="13">
        <v>42544.76457175926</v>
      </c>
    </row>
    <row r="25" spans="1:7" x14ac:dyDescent="0.25">
      <c r="A25" s="13">
        <v>42544.239930555559</v>
      </c>
      <c r="B25" s="42" t="s">
        <v>98</v>
      </c>
      <c r="C25" s="42" t="s">
        <v>231</v>
      </c>
      <c r="D25" s="42">
        <v>1340000</v>
      </c>
      <c r="E25" s="42" t="s">
        <v>324</v>
      </c>
      <c r="F25" s="42" t="s">
        <v>98</v>
      </c>
      <c r="G25" s="13">
        <v>42544.239930555559</v>
      </c>
    </row>
    <row r="26" spans="1:7" x14ac:dyDescent="0.25">
      <c r="A26" s="13">
        <v>42544.776782407411</v>
      </c>
      <c r="B26" s="42" t="s">
        <v>171</v>
      </c>
      <c r="C26" s="42" t="s">
        <v>291</v>
      </c>
      <c r="D26" s="42">
        <v>1520000</v>
      </c>
      <c r="E26" s="42" t="s">
        <v>218</v>
      </c>
      <c r="F26" s="42" t="s">
        <v>171</v>
      </c>
      <c r="G26" s="13">
        <v>42544.776782407411</v>
      </c>
    </row>
    <row r="27" spans="1:7" x14ac:dyDescent="0.25">
      <c r="A27" s="13">
        <v>42544.205601851849</v>
      </c>
      <c r="B27" s="42" t="s">
        <v>113</v>
      </c>
      <c r="C27" s="42" t="s">
        <v>325</v>
      </c>
      <c r="D27" s="42">
        <v>1830000</v>
      </c>
      <c r="E27" s="42" t="s">
        <v>222</v>
      </c>
      <c r="F27" s="42" t="s">
        <v>113</v>
      </c>
      <c r="G27" s="13">
        <v>42544.205601851849</v>
      </c>
    </row>
    <row r="28" spans="1:7" x14ac:dyDescent="0.25">
      <c r="A28" s="13">
        <v>42544.779479166667</v>
      </c>
      <c r="B28" s="42" t="s">
        <v>98</v>
      </c>
      <c r="C28" s="42" t="s">
        <v>292</v>
      </c>
      <c r="D28" s="42">
        <v>1740000</v>
      </c>
      <c r="E28" s="42" t="s">
        <v>94</v>
      </c>
      <c r="F28" s="42" t="s">
        <v>98</v>
      </c>
      <c r="G28" s="13">
        <v>42544.779479166667</v>
      </c>
    </row>
    <row r="29" spans="1:7" x14ac:dyDescent="0.25">
      <c r="A29" s="13">
        <v>42544.380254629628</v>
      </c>
      <c r="B29" s="42" t="s">
        <v>176</v>
      </c>
      <c r="C29" s="42" t="s">
        <v>245</v>
      </c>
      <c r="D29" s="42">
        <v>1460000</v>
      </c>
      <c r="E29" s="42" t="s">
        <v>306</v>
      </c>
      <c r="F29" s="42" t="s">
        <v>176</v>
      </c>
      <c r="G29" s="13">
        <v>42544.380254629628</v>
      </c>
    </row>
    <row r="30" spans="1:7" x14ac:dyDescent="0.25">
      <c r="A30" s="13">
        <v>42544.846238425926</v>
      </c>
      <c r="B30" s="42" t="s">
        <v>113</v>
      </c>
      <c r="C30" s="42" t="s">
        <v>297</v>
      </c>
      <c r="D30" s="42">
        <v>2010000</v>
      </c>
      <c r="E30" s="42" t="s">
        <v>121</v>
      </c>
      <c r="F30" s="42" t="s">
        <v>113</v>
      </c>
      <c r="G30" s="13">
        <v>42544.846238425926</v>
      </c>
    </row>
    <row r="31" spans="1:7" x14ac:dyDescent="0.25">
      <c r="A31" s="13">
        <v>42544.376307870371</v>
      </c>
      <c r="B31" s="42" t="s">
        <v>212</v>
      </c>
      <c r="C31" s="42" t="s">
        <v>244</v>
      </c>
      <c r="D31" s="42">
        <v>2030000</v>
      </c>
      <c r="E31" s="42" t="s">
        <v>173</v>
      </c>
      <c r="F31" s="42" t="s">
        <v>212</v>
      </c>
      <c r="G31" s="13">
        <v>42544.376307870371</v>
      </c>
    </row>
    <row r="32" spans="1:7" x14ac:dyDescent="0.25">
      <c r="A32" s="13">
        <v>42544.892048611109</v>
      </c>
      <c r="B32" s="42" t="s">
        <v>114</v>
      </c>
      <c r="C32" s="42" t="s">
        <v>326</v>
      </c>
      <c r="D32" s="42">
        <v>2010000</v>
      </c>
      <c r="E32" s="42" t="s">
        <v>121</v>
      </c>
      <c r="F32" s="42" t="s">
        <v>114</v>
      </c>
      <c r="G32" s="13">
        <v>42544.892048611109</v>
      </c>
    </row>
    <row r="33" spans="1:7" x14ac:dyDescent="0.25">
      <c r="A33" s="13">
        <v>42544.339039351849</v>
      </c>
      <c r="B33" s="42" t="s">
        <v>70</v>
      </c>
      <c r="C33" s="42" t="s">
        <v>240</v>
      </c>
      <c r="D33" s="42">
        <v>1340000</v>
      </c>
      <c r="E33" s="42" t="s">
        <v>324</v>
      </c>
      <c r="F33" s="42" t="s">
        <v>70</v>
      </c>
      <c r="G33" s="13">
        <v>42544.339039351849</v>
      </c>
    </row>
    <row r="34" spans="1:7" x14ac:dyDescent="0.25">
      <c r="A34" s="13">
        <v>42544.91951388889</v>
      </c>
      <c r="B34" s="42" t="s">
        <v>176</v>
      </c>
      <c r="C34" s="42" t="s">
        <v>301</v>
      </c>
      <c r="D34" s="42">
        <v>1520000</v>
      </c>
      <c r="E34" s="42" t="s">
        <v>218</v>
      </c>
      <c r="F34" s="42" t="s">
        <v>176</v>
      </c>
      <c r="G34" s="13">
        <v>42544.91951388889</v>
      </c>
    </row>
    <row r="35" spans="1:7" x14ac:dyDescent="0.25">
      <c r="A35" s="13">
        <v>42544.300451388888</v>
      </c>
      <c r="B35" s="42" t="s">
        <v>225</v>
      </c>
      <c r="C35" s="42" t="s">
        <v>327</v>
      </c>
      <c r="D35" s="42">
        <v>1310000</v>
      </c>
      <c r="E35" s="42" t="s">
        <v>313</v>
      </c>
      <c r="F35" s="42" t="s">
        <v>225</v>
      </c>
      <c r="G35" s="13">
        <v>42544.300451388888</v>
      </c>
    </row>
    <row r="36" spans="1:7" x14ac:dyDescent="0.25">
      <c r="A36" s="13">
        <v>42544.951006944444</v>
      </c>
      <c r="B36" s="42" t="s">
        <v>89</v>
      </c>
      <c r="C36" s="42" t="s">
        <v>328</v>
      </c>
      <c r="D36" s="42">
        <v>1820000</v>
      </c>
      <c r="E36" s="42" t="s">
        <v>175</v>
      </c>
      <c r="F36" s="42" t="s">
        <v>89</v>
      </c>
      <c r="G36" s="13">
        <v>42544.951006944444</v>
      </c>
    </row>
    <row r="37" spans="1:7" x14ac:dyDescent="0.25">
      <c r="A37" s="13">
        <v>42544.299305555556</v>
      </c>
      <c r="B37" s="42" t="s">
        <v>212</v>
      </c>
      <c r="C37" s="42" t="s">
        <v>329</v>
      </c>
      <c r="D37" s="42">
        <v>2030000</v>
      </c>
      <c r="E37" s="42" t="s">
        <v>173</v>
      </c>
      <c r="F37" s="42" t="s">
        <v>212</v>
      </c>
      <c r="G37" s="13">
        <v>42544.299305555556</v>
      </c>
    </row>
    <row r="38" spans="1:7" x14ac:dyDescent="0.25">
      <c r="A38" s="13">
        <v>42544.183206018519</v>
      </c>
      <c r="B38" s="42" t="s">
        <v>97</v>
      </c>
      <c r="C38" s="42" t="s">
        <v>330</v>
      </c>
      <c r="D38" s="42">
        <v>1360000</v>
      </c>
      <c r="E38" s="42" t="s">
        <v>219</v>
      </c>
      <c r="F38" s="42" t="s">
        <v>97</v>
      </c>
      <c r="G38" s="13">
        <v>42544.183206018519</v>
      </c>
    </row>
    <row r="39" spans="1:7" x14ac:dyDescent="0.25">
      <c r="A39" s="13">
        <v>42544.255891203706</v>
      </c>
      <c r="B39" s="42" t="s">
        <v>96</v>
      </c>
      <c r="C39" s="42" t="s">
        <v>233</v>
      </c>
      <c r="D39" s="42">
        <v>1840000</v>
      </c>
      <c r="E39" s="42" t="s">
        <v>304</v>
      </c>
      <c r="F39" s="42" t="s">
        <v>96</v>
      </c>
      <c r="G39" s="13">
        <v>42544.255891203706</v>
      </c>
    </row>
    <row r="40" spans="1:7" x14ac:dyDescent="0.25">
      <c r="A40" s="13">
        <v>42544.282673611109</v>
      </c>
      <c r="B40" s="58" t="s">
        <v>89</v>
      </c>
      <c r="C40" s="42" t="s">
        <v>331</v>
      </c>
      <c r="D40" s="42">
        <v>1830000</v>
      </c>
      <c r="E40" s="42" t="s">
        <v>222</v>
      </c>
      <c r="F40" s="58" t="s">
        <v>89</v>
      </c>
      <c r="G40" s="13">
        <v>42544.282673611109</v>
      </c>
    </row>
    <row r="41" spans="1:7" x14ac:dyDescent="0.25">
      <c r="A41" s="13">
        <v>42544.219710648147</v>
      </c>
      <c r="B41" s="42" t="s">
        <v>70</v>
      </c>
      <c r="C41" s="42" t="s">
        <v>332</v>
      </c>
      <c r="D41" s="42">
        <v>1340000</v>
      </c>
      <c r="E41" s="42" t="s">
        <v>324</v>
      </c>
      <c r="F41" s="42" t="s">
        <v>70</v>
      </c>
      <c r="G41" s="13">
        <v>42544.219710648147</v>
      </c>
    </row>
    <row r="42" spans="1:7" x14ac:dyDescent="0.25">
      <c r="A42" s="13">
        <v>42544.254664351851</v>
      </c>
      <c r="B42" s="42" t="s">
        <v>96</v>
      </c>
      <c r="C42" s="42" t="s">
        <v>233</v>
      </c>
      <c r="D42" s="42">
        <v>1840000</v>
      </c>
      <c r="E42" s="42" t="s">
        <v>304</v>
      </c>
      <c r="F42" s="42" t="s">
        <v>96</v>
      </c>
      <c r="G42" s="13">
        <v>42544.254664351851</v>
      </c>
    </row>
    <row r="43" spans="1:7" x14ac:dyDescent="0.25">
      <c r="A43" s="13">
        <v>42544.754861111112</v>
      </c>
      <c r="B43" s="42" t="s">
        <v>95</v>
      </c>
      <c r="C43" s="42" t="s">
        <v>333</v>
      </c>
      <c r="D43" s="42">
        <v>1770000</v>
      </c>
      <c r="E43" s="42" t="s">
        <v>318</v>
      </c>
      <c r="F43" s="42" t="s">
        <v>95</v>
      </c>
      <c r="G43" s="13">
        <v>42544.754861111112</v>
      </c>
    </row>
    <row r="44" spans="1:7" x14ac:dyDescent="0.25">
      <c r="A44" s="13">
        <v>42544.279537037037</v>
      </c>
      <c r="B44" s="42" t="s">
        <v>86</v>
      </c>
      <c r="C44" s="42" t="s">
        <v>334</v>
      </c>
      <c r="D44" s="42">
        <v>2000000</v>
      </c>
      <c r="E44" s="42" t="s">
        <v>141</v>
      </c>
      <c r="F44" s="42" t="s">
        <v>86</v>
      </c>
      <c r="G44" s="13">
        <v>42544.279537037037</v>
      </c>
    </row>
    <row r="45" spans="1:7" x14ac:dyDescent="0.25">
      <c r="A45" s="13">
        <v>42544.476099537038</v>
      </c>
      <c r="B45" s="42" t="s">
        <v>225</v>
      </c>
      <c r="C45" s="42" t="s">
        <v>252</v>
      </c>
      <c r="D45" s="42">
        <v>1990000</v>
      </c>
      <c r="E45" s="42" t="s">
        <v>172</v>
      </c>
      <c r="F45" s="42" t="s">
        <v>225</v>
      </c>
      <c r="G45" s="13">
        <v>42544.476099537038</v>
      </c>
    </row>
    <row r="46" spans="1:7" x14ac:dyDescent="0.25">
      <c r="A46" s="13">
        <v>42544.279652777775</v>
      </c>
      <c r="B46" s="42" t="s">
        <v>214</v>
      </c>
      <c r="C46" s="42" t="s">
        <v>335</v>
      </c>
      <c r="D46" s="42">
        <v>1460000</v>
      </c>
      <c r="E46" s="42" t="s">
        <v>306</v>
      </c>
      <c r="F46" s="42" t="s">
        <v>214</v>
      </c>
      <c r="G46" s="13">
        <v>42544.279652777775</v>
      </c>
    </row>
    <row r="47" spans="1:7" x14ac:dyDescent="0.25">
      <c r="A47" s="13">
        <v>42544.474351851852</v>
      </c>
      <c r="B47" s="42" t="s">
        <v>96</v>
      </c>
      <c r="C47" s="42" t="s">
        <v>251</v>
      </c>
      <c r="D47" s="42">
        <v>2000000</v>
      </c>
      <c r="E47" s="42" t="s">
        <v>141</v>
      </c>
      <c r="F47" s="42" t="s">
        <v>96</v>
      </c>
      <c r="G47" s="13">
        <v>42544.474351851852</v>
      </c>
    </row>
    <row r="48" spans="1:7" x14ac:dyDescent="0.25">
      <c r="A48" s="13">
        <v>42544.193981481483</v>
      </c>
      <c r="B48" s="42" t="s">
        <v>215</v>
      </c>
      <c r="C48" s="42" t="s">
        <v>229</v>
      </c>
      <c r="D48" s="42">
        <v>1110000</v>
      </c>
      <c r="E48" s="42" t="s">
        <v>174</v>
      </c>
      <c r="F48" s="42" t="s">
        <v>215</v>
      </c>
      <c r="G48" s="13">
        <v>42544.193981481483</v>
      </c>
    </row>
    <row r="49" spans="1:7" x14ac:dyDescent="0.25">
      <c r="A49" s="13">
        <v>42544.464143518519</v>
      </c>
      <c r="B49" s="42" t="s">
        <v>176</v>
      </c>
      <c r="C49" s="42" t="s">
        <v>249</v>
      </c>
      <c r="D49" s="42">
        <v>1460000</v>
      </c>
      <c r="E49" s="42" t="s">
        <v>306</v>
      </c>
      <c r="F49" s="42" t="s">
        <v>176</v>
      </c>
      <c r="G49" s="13">
        <v>42544.464143518519</v>
      </c>
    </row>
    <row r="50" spans="1:7" x14ac:dyDescent="0.25">
      <c r="A50" s="13">
        <v>42544.26667824074</v>
      </c>
      <c r="B50" s="42" t="s">
        <v>213</v>
      </c>
      <c r="C50" s="42" t="s">
        <v>336</v>
      </c>
      <c r="D50" s="42">
        <v>1460000</v>
      </c>
      <c r="E50" s="42" t="s">
        <v>306</v>
      </c>
      <c r="F50" s="42" t="s">
        <v>213</v>
      </c>
      <c r="G50" s="13">
        <v>42544.26667824074</v>
      </c>
    </row>
    <row r="51" spans="1:7" x14ac:dyDescent="0.25">
      <c r="A51" s="13">
        <v>42545.03534722222</v>
      </c>
      <c r="B51" s="42" t="s">
        <v>89</v>
      </c>
      <c r="C51" s="42" t="s">
        <v>337</v>
      </c>
      <c r="D51" s="42">
        <v>1820000</v>
      </c>
      <c r="E51" s="42" t="s">
        <v>175</v>
      </c>
      <c r="F51" s="42" t="s">
        <v>89</v>
      </c>
      <c r="G51" s="13">
        <v>42545.03534722222</v>
      </c>
    </row>
    <row r="52" spans="1:7" x14ac:dyDescent="0.25">
      <c r="A52" s="13">
        <v>42544.298703703702</v>
      </c>
      <c r="B52" s="42" t="s">
        <v>70</v>
      </c>
      <c r="C52" s="42" t="s">
        <v>338</v>
      </c>
      <c r="D52" s="42">
        <v>1340000</v>
      </c>
      <c r="E52" s="42" t="s">
        <v>324</v>
      </c>
      <c r="F52" s="42" t="s">
        <v>70</v>
      </c>
      <c r="G52" s="13">
        <v>42544.298703703702</v>
      </c>
    </row>
    <row r="53" spans="1:7" x14ac:dyDescent="0.25">
      <c r="A53" s="13">
        <v>42544.556087962963</v>
      </c>
      <c r="B53" s="42" t="s">
        <v>86</v>
      </c>
      <c r="C53" s="42" t="s">
        <v>339</v>
      </c>
      <c r="D53" s="42">
        <v>1290000</v>
      </c>
      <c r="E53" s="42" t="s">
        <v>126</v>
      </c>
      <c r="F53" s="42" t="s">
        <v>86</v>
      </c>
      <c r="G53" s="13">
        <v>42544.556087962963</v>
      </c>
    </row>
    <row r="54" spans="1:7" x14ac:dyDescent="0.25">
      <c r="A54" s="13">
        <v>42544.211886574078</v>
      </c>
      <c r="B54" s="42" t="s">
        <v>101</v>
      </c>
      <c r="C54" s="42" t="s">
        <v>340</v>
      </c>
      <c r="D54" s="42">
        <v>1840000</v>
      </c>
      <c r="E54" s="42" t="s">
        <v>304</v>
      </c>
      <c r="F54" s="42" t="s">
        <v>101</v>
      </c>
      <c r="G54" s="13">
        <v>42544.211886574078</v>
      </c>
    </row>
    <row r="55" spans="1:7" x14ac:dyDescent="0.25">
      <c r="A55" s="13">
        <v>42544.42832175926</v>
      </c>
      <c r="B55" s="42" t="s">
        <v>86</v>
      </c>
      <c r="C55" s="42" t="s">
        <v>341</v>
      </c>
      <c r="D55" s="42">
        <v>900000</v>
      </c>
      <c r="E55" s="42" t="s">
        <v>99</v>
      </c>
      <c r="F55" s="42" t="s">
        <v>86</v>
      </c>
      <c r="G55" s="13">
        <v>42544.42832175926</v>
      </c>
    </row>
    <row r="56" spans="1:7" x14ac:dyDescent="0.25">
      <c r="A56" s="13">
        <v>42544.240347222221</v>
      </c>
      <c r="B56" s="42" t="s">
        <v>216</v>
      </c>
      <c r="C56" s="42" t="s">
        <v>232</v>
      </c>
      <c r="D56" s="42">
        <v>1110000</v>
      </c>
      <c r="E56" s="42" t="s">
        <v>174</v>
      </c>
      <c r="F56" s="42" t="s">
        <v>216</v>
      </c>
      <c r="G56" s="13">
        <v>42544.240347222221</v>
      </c>
    </row>
    <row r="57" spans="1:7" x14ac:dyDescent="0.25">
      <c r="A57" s="13">
        <v>42544.869074074071</v>
      </c>
      <c r="B57" s="42" t="s">
        <v>89</v>
      </c>
      <c r="C57" s="42" t="s">
        <v>342</v>
      </c>
      <c r="D57" s="42">
        <v>1820000</v>
      </c>
      <c r="E57" s="42" t="s">
        <v>175</v>
      </c>
      <c r="F57" s="42" t="s">
        <v>89</v>
      </c>
      <c r="G57" s="13">
        <v>42544.869074074071</v>
      </c>
    </row>
    <row r="58" spans="1:7" x14ac:dyDescent="0.25">
      <c r="A58" s="13">
        <v>42544.40252314815</v>
      </c>
      <c r="B58" s="42" t="s">
        <v>171</v>
      </c>
      <c r="C58" s="42" t="s">
        <v>343</v>
      </c>
      <c r="D58" s="42">
        <v>1460000</v>
      </c>
      <c r="E58" s="42" t="s">
        <v>306</v>
      </c>
      <c r="F58" s="42" t="s">
        <v>171</v>
      </c>
      <c r="G58" s="13">
        <v>42544.40252314815</v>
      </c>
    </row>
    <row r="59" spans="1:7" x14ac:dyDescent="0.25">
      <c r="A59" s="13">
        <v>42544.862175925926</v>
      </c>
      <c r="B59" s="42" t="s">
        <v>171</v>
      </c>
      <c r="C59" s="42" t="s">
        <v>344</v>
      </c>
      <c r="D59" s="42">
        <v>1520000</v>
      </c>
      <c r="E59" s="42" t="s">
        <v>218</v>
      </c>
      <c r="F59" s="42" t="s">
        <v>171</v>
      </c>
      <c r="G59" s="13">
        <v>42544.862175925926</v>
      </c>
    </row>
    <row r="60" spans="1:7" x14ac:dyDescent="0.25">
      <c r="A60" s="13">
        <v>42544.526030092595</v>
      </c>
      <c r="B60" s="42" t="s">
        <v>212</v>
      </c>
      <c r="C60" s="42" t="s">
        <v>345</v>
      </c>
      <c r="D60" s="42">
        <v>1500000</v>
      </c>
      <c r="E60" s="42" t="s">
        <v>100</v>
      </c>
      <c r="F60" s="42" t="s">
        <v>212</v>
      </c>
      <c r="G60" s="13">
        <v>42544.526030092595</v>
      </c>
    </row>
    <row r="61" spans="1:7" x14ac:dyDescent="0.25">
      <c r="A61" s="13">
        <v>42544.609305555554</v>
      </c>
      <c r="B61" s="42" t="s">
        <v>216</v>
      </c>
      <c r="C61" s="42" t="s">
        <v>267</v>
      </c>
      <c r="D61" s="42">
        <v>400000</v>
      </c>
      <c r="E61" s="42" t="s">
        <v>346</v>
      </c>
      <c r="F61" s="42" t="s">
        <v>216</v>
      </c>
      <c r="G61" s="13">
        <v>42544.609305555554</v>
      </c>
    </row>
    <row r="62" spans="1:7" x14ac:dyDescent="0.25">
      <c r="A62" s="13">
        <v>42544.547673611109</v>
      </c>
      <c r="B62" s="42" t="s">
        <v>258</v>
      </c>
      <c r="C62" s="42" t="s">
        <v>259</v>
      </c>
      <c r="D62" s="42">
        <v>1140000</v>
      </c>
      <c r="E62" s="42" t="s">
        <v>90</v>
      </c>
      <c r="F62" s="42" t="s">
        <v>258</v>
      </c>
      <c r="G62" s="13">
        <v>42544.547673611109</v>
      </c>
    </row>
    <row r="63" spans="1:7" x14ac:dyDescent="0.25">
      <c r="A63" s="13">
        <v>42544.391041666669</v>
      </c>
      <c r="B63" s="42" t="s">
        <v>88</v>
      </c>
      <c r="C63" s="42" t="s">
        <v>319</v>
      </c>
      <c r="D63" s="42">
        <v>1830000</v>
      </c>
      <c r="E63" s="42" t="s">
        <v>222</v>
      </c>
      <c r="F63" s="42" t="s">
        <v>88</v>
      </c>
      <c r="G63" s="13">
        <v>42544.391041666669</v>
      </c>
    </row>
    <row r="64" spans="1:7" x14ac:dyDescent="0.25">
      <c r="A64" s="59">
        <v>42544.585648148146</v>
      </c>
      <c r="B64" s="42" t="s">
        <v>176</v>
      </c>
      <c r="C64" s="42" t="s">
        <v>347</v>
      </c>
      <c r="D64" s="42">
        <v>1460000</v>
      </c>
      <c r="E64" s="42" t="s">
        <v>306</v>
      </c>
      <c r="F64" s="42" t="s">
        <v>176</v>
      </c>
      <c r="G64" s="59">
        <v>42544.585648148146</v>
      </c>
    </row>
    <row r="65" spans="1:7" x14ac:dyDescent="0.25">
      <c r="A65" s="13">
        <v>42544.36755787037</v>
      </c>
      <c r="B65" s="42" t="s">
        <v>95</v>
      </c>
      <c r="C65" s="42" t="s">
        <v>246</v>
      </c>
      <c r="D65" s="42">
        <v>1360000</v>
      </c>
      <c r="E65" s="42" t="s">
        <v>219</v>
      </c>
      <c r="F65" s="42" t="s">
        <v>95</v>
      </c>
      <c r="G65" s="13">
        <v>42544.36755787037</v>
      </c>
    </row>
    <row r="66" spans="1:7" x14ac:dyDescent="0.25">
      <c r="A66" s="13">
        <v>42544.652650462966</v>
      </c>
      <c r="B66" s="42" t="s">
        <v>171</v>
      </c>
      <c r="C66" s="42" t="s">
        <v>270</v>
      </c>
      <c r="D66" s="42">
        <v>1520000</v>
      </c>
      <c r="E66" s="42" t="s">
        <v>218</v>
      </c>
      <c r="F66" s="42" t="s">
        <v>171</v>
      </c>
      <c r="G66" s="13">
        <v>42544.652650462966</v>
      </c>
    </row>
    <row r="67" spans="1:7" x14ac:dyDescent="0.25">
      <c r="A67" s="13">
        <v>42544.705416666664</v>
      </c>
      <c r="B67" s="42" t="s">
        <v>86</v>
      </c>
      <c r="C67" s="42" t="s">
        <v>348</v>
      </c>
      <c r="D67" s="42">
        <v>1290000</v>
      </c>
      <c r="E67" s="42" t="s">
        <v>126</v>
      </c>
      <c r="F67" s="42" t="s">
        <v>86</v>
      </c>
      <c r="G67" s="13">
        <v>42544.705416666664</v>
      </c>
    </row>
    <row r="68" spans="1:7" x14ac:dyDescent="0.25">
      <c r="A68" s="13">
        <v>42544.807754629626</v>
      </c>
      <c r="B68" s="42" t="s">
        <v>262</v>
      </c>
      <c r="C68" s="42" t="s">
        <v>294</v>
      </c>
      <c r="D68" s="42">
        <v>2040000</v>
      </c>
      <c r="E68" s="42" t="s">
        <v>138</v>
      </c>
      <c r="F68" s="42" t="s">
        <v>262</v>
      </c>
      <c r="G68" s="13">
        <v>42544.807754629626</v>
      </c>
    </row>
    <row r="69" spans="1:7" x14ac:dyDescent="0.25">
      <c r="A69" s="13">
        <v>42544.685335648152</v>
      </c>
      <c r="B69" s="42" t="s">
        <v>88</v>
      </c>
      <c r="C69" s="42" t="s">
        <v>277</v>
      </c>
      <c r="D69" s="42">
        <v>1090000</v>
      </c>
      <c r="E69" s="42" t="s">
        <v>140</v>
      </c>
      <c r="F69" s="42" t="s">
        <v>88</v>
      </c>
      <c r="G69" s="13">
        <v>42544.685335648152</v>
      </c>
    </row>
    <row r="70" spans="1:7" x14ac:dyDescent="0.25">
      <c r="A70" s="13">
        <v>42544.830868055556</v>
      </c>
      <c r="B70" s="42" t="s">
        <v>88</v>
      </c>
      <c r="C70" s="42" t="s">
        <v>349</v>
      </c>
      <c r="D70" s="42">
        <v>1820000</v>
      </c>
      <c r="E70" s="42" t="s">
        <v>175</v>
      </c>
      <c r="F70" s="42" t="s">
        <v>88</v>
      </c>
      <c r="G70" s="13">
        <v>42544.830868055556</v>
      </c>
    </row>
    <row r="71" spans="1:7" x14ac:dyDescent="0.25">
      <c r="A71" s="13">
        <v>42544.61204861111</v>
      </c>
      <c r="B71" s="42" t="s">
        <v>95</v>
      </c>
      <c r="C71" s="42" t="s">
        <v>268</v>
      </c>
      <c r="D71" s="42">
        <v>900000</v>
      </c>
      <c r="E71" s="42" t="s">
        <v>99</v>
      </c>
      <c r="F71" s="42" t="s">
        <v>95</v>
      </c>
      <c r="G71" s="13">
        <v>42544.61204861111</v>
      </c>
    </row>
    <row r="72" spans="1:7" x14ac:dyDescent="0.25">
      <c r="A72" s="13">
        <v>42544.890787037039</v>
      </c>
      <c r="B72" s="42" t="s">
        <v>262</v>
      </c>
      <c r="C72" s="42" t="s">
        <v>298</v>
      </c>
      <c r="D72" s="42">
        <v>2040000</v>
      </c>
      <c r="E72" s="42" t="s">
        <v>138</v>
      </c>
      <c r="F72" s="42" t="s">
        <v>262</v>
      </c>
      <c r="G72" s="13">
        <v>42544.890787037039</v>
      </c>
    </row>
    <row r="73" spans="1:7" x14ac:dyDescent="0.25">
      <c r="A73" s="13">
        <v>42544.93072916667</v>
      </c>
      <c r="B73" s="42" t="s">
        <v>113</v>
      </c>
      <c r="C73" s="42" t="s">
        <v>350</v>
      </c>
      <c r="D73" s="42">
        <v>2010000</v>
      </c>
      <c r="E73" s="42" t="s">
        <v>121</v>
      </c>
      <c r="F73" s="42" t="s">
        <v>113</v>
      </c>
      <c r="G73" s="13">
        <v>42544.93072916667</v>
      </c>
    </row>
    <row r="74" spans="1:7" x14ac:dyDescent="0.25">
      <c r="A74" s="13">
        <v>42544.901180555556</v>
      </c>
      <c r="B74" s="42" t="s">
        <v>171</v>
      </c>
      <c r="C74" s="42" t="s">
        <v>300</v>
      </c>
      <c r="D74" s="42">
        <v>1520000</v>
      </c>
      <c r="E74" s="42" t="s">
        <v>218</v>
      </c>
      <c r="F74" s="42" t="s">
        <v>171</v>
      </c>
      <c r="G74" s="13">
        <v>42544.901180555556</v>
      </c>
    </row>
    <row r="75" spans="1:7" x14ac:dyDescent="0.25">
      <c r="A75" s="13">
        <v>42544.738275462965</v>
      </c>
      <c r="B75" s="42" t="s">
        <v>171</v>
      </c>
      <c r="C75" s="42" t="s">
        <v>286</v>
      </c>
      <c r="D75" s="42">
        <v>1520000</v>
      </c>
      <c r="E75" s="42" t="s">
        <v>218</v>
      </c>
      <c r="F75" s="42" t="s">
        <v>171</v>
      </c>
      <c r="G75" s="13">
        <v>42544.738275462965</v>
      </c>
    </row>
    <row r="76" spans="1:7" x14ac:dyDescent="0.25">
      <c r="A76" s="13">
        <v>42544.908993055556</v>
      </c>
      <c r="B76" s="42" t="s">
        <v>95</v>
      </c>
      <c r="C76" s="42" t="s">
        <v>351</v>
      </c>
      <c r="D76" s="42">
        <v>1770000</v>
      </c>
      <c r="E76" s="42" t="s">
        <v>318</v>
      </c>
      <c r="F76" s="42" t="s">
        <v>95</v>
      </c>
      <c r="G76" s="13">
        <v>42544.908993055556</v>
      </c>
    </row>
    <row r="77" spans="1:7" x14ac:dyDescent="0.25">
      <c r="A77" s="13">
        <v>42544.735729166663</v>
      </c>
      <c r="B77" s="42" t="s">
        <v>262</v>
      </c>
      <c r="C77" s="42" t="s">
        <v>352</v>
      </c>
      <c r="D77" s="42">
        <v>1990000</v>
      </c>
      <c r="E77" s="42" t="s">
        <v>172</v>
      </c>
      <c r="F77" s="42" t="s">
        <v>262</v>
      </c>
      <c r="G77" s="13">
        <v>42544.735729166663</v>
      </c>
    </row>
    <row r="78" spans="1:7" x14ac:dyDescent="0.25">
      <c r="A78" s="13">
        <v>42544.362951388888</v>
      </c>
      <c r="B78" s="42" t="s">
        <v>101</v>
      </c>
      <c r="C78" s="42" t="s">
        <v>353</v>
      </c>
      <c r="D78" s="42">
        <v>1840000</v>
      </c>
      <c r="E78" s="42" t="s">
        <v>304</v>
      </c>
      <c r="F78" s="42" t="s">
        <v>101</v>
      </c>
      <c r="G78" s="13">
        <v>42544.362951388888</v>
      </c>
    </row>
    <row r="79" spans="1:7" x14ac:dyDescent="0.25">
      <c r="A79" s="13">
        <v>42544.63113425926</v>
      </c>
      <c r="B79" s="42" t="s">
        <v>113</v>
      </c>
      <c r="C79" s="42" t="s">
        <v>271</v>
      </c>
      <c r="D79" s="42">
        <v>880000</v>
      </c>
      <c r="E79" s="42" t="s">
        <v>220</v>
      </c>
      <c r="F79" s="42" t="s">
        <v>113</v>
      </c>
      <c r="G79" s="13">
        <v>42544.63113425926</v>
      </c>
    </row>
    <row r="80" spans="1:7" x14ac:dyDescent="0.25">
      <c r="A80" s="13">
        <v>42544.37537037037</v>
      </c>
      <c r="B80" s="42" t="s">
        <v>114</v>
      </c>
      <c r="C80" s="42" t="s">
        <v>247</v>
      </c>
      <c r="D80" s="42">
        <v>1310000</v>
      </c>
      <c r="E80" s="42" t="s">
        <v>313</v>
      </c>
      <c r="F80" s="42" t="s">
        <v>114</v>
      </c>
      <c r="G80" s="13">
        <v>42544.37537037037</v>
      </c>
    </row>
    <row r="81" spans="1:7" x14ac:dyDescent="0.25">
      <c r="A81" s="13">
        <v>42545.059675925928</v>
      </c>
      <c r="B81" s="42" t="s">
        <v>262</v>
      </c>
      <c r="C81" s="42" t="s">
        <v>354</v>
      </c>
      <c r="D81" s="42">
        <v>1760000</v>
      </c>
      <c r="E81" s="42" t="s">
        <v>221</v>
      </c>
      <c r="F81" s="42" t="s">
        <v>262</v>
      </c>
      <c r="G81" s="13">
        <v>42545.059675925928</v>
      </c>
    </row>
    <row r="82" spans="1:7" x14ac:dyDescent="0.25">
      <c r="A82" s="13">
        <v>42544.385381944441</v>
      </c>
      <c r="B82" s="42" t="s">
        <v>216</v>
      </c>
      <c r="C82" s="42" t="s">
        <v>355</v>
      </c>
      <c r="D82" s="42">
        <v>1110000</v>
      </c>
      <c r="E82" s="42" t="s">
        <v>174</v>
      </c>
      <c r="F82" s="42" t="s">
        <v>216</v>
      </c>
      <c r="G82" s="13">
        <v>42544.385381944441</v>
      </c>
    </row>
    <row r="83" spans="1:7" x14ac:dyDescent="0.25">
      <c r="A83" s="13">
        <v>42545.058877314812</v>
      </c>
      <c r="B83" s="42" t="s">
        <v>262</v>
      </c>
      <c r="C83" s="42" t="s">
        <v>354</v>
      </c>
      <c r="D83" s="42">
        <v>1760000</v>
      </c>
      <c r="E83" s="42" t="s">
        <v>221</v>
      </c>
      <c r="F83" s="42" t="s">
        <v>262</v>
      </c>
      <c r="G83" s="13">
        <v>42545.058877314812</v>
      </c>
    </row>
    <row r="84" spans="1:7" x14ac:dyDescent="0.25">
      <c r="A84" s="13">
        <v>42544.486111111109</v>
      </c>
      <c r="B84" s="42" t="s">
        <v>217</v>
      </c>
      <c r="C84" s="42" t="s">
        <v>356</v>
      </c>
      <c r="D84" s="42">
        <v>1500000</v>
      </c>
      <c r="E84" s="42" t="s">
        <v>100</v>
      </c>
      <c r="F84" s="42" t="s">
        <v>217</v>
      </c>
      <c r="G84" s="13">
        <v>42544.486111111109</v>
      </c>
    </row>
    <row r="85" spans="1:7" x14ac:dyDescent="0.25">
      <c r="A85" s="13">
        <v>42544.396793981483</v>
      </c>
      <c r="B85" s="42" t="s">
        <v>96</v>
      </c>
      <c r="C85" s="42" t="s">
        <v>357</v>
      </c>
      <c r="D85" s="42">
        <v>1840000</v>
      </c>
      <c r="E85" s="42" t="s">
        <v>304</v>
      </c>
      <c r="F85" s="42" t="s">
        <v>96</v>
      </c>
      <c r="G85" s="13">
        <v>42544.396793981483</v>
      </c>
    </row>
    <row r="86" spans="1:7" x14ac:dyDescent="0.25">
      <c r="A86" s="13">
        <v>42544.592812499999</v>
      </c>
      <c r="B86" s="42" t="s">
        <v>114</v>
      </c>
      <c r="C86" s="42" t="s">
        <v>358</v>
      </c>
      <c r="D86" s="42">
        <v>880000</v>
      </c>
      <c r="E86" s="42" t="s">
        <v>220</v>
      </c>
      <c r="F86" s="42" t="s">
        <v>114</v>
      </c>
      <c r="G86" s="13">
        <v>42544.592812499999</v>
      </c>
    </row>
    <row r="87" spans="1:7" x14ac:dyDescent="0.25">
      <c r="A87" s="13">
        <v>42544.992245370369</v>
      </c>
      <c r="B87" s="42" t="s">
        <v>95</v>
      </c>
      <c r="C87" s="42" t="s">
        <v>359</v>
      </c>
      <c r="D87" s="42">
        <v>1770000</v>
      </c>
      <c r="E87" s="42" t="s">
        <v>318</v>
      </c>
      <c r="F87" s="42" t="s">
        <v>95</v>
      </c>
      <c r="G87" s="13">
        <v>42544.992245370369</v>
      </c>
    </row>
    <row r="88" spans="1:7" x14ac:dyDescent="0.25">
      <c r="A88" s="13">
        <v>42544.619641203702</v>
      </c>
      <c r="B88" s="42" t="s">
        <v>258</v>
      </c>
      <c r="C88" s="42" t="s">
        <v>360</v>
      </c>
      <c r="D88" s="42">
        <v>1140000</v>
      </c>
      <c r="E88" s="42" t="s">
        <v>90</v>
      </c>
      <c r="F88" s="42" t="s">
        <v>258</v>
      </c>
      <c r="G88" s="13">
        <v>42544.619641203702</v>
      </c>
    </row>
    <row r="89" spans="1:7" x14ac:dyDescent="0.25">
      <c r="A89" s="13">
        <v>42544.850474537037</v>
      </c>
      <c r="B89" s="42" t="s">
        <v>225</v>
      </c>
      <c r="C89" s="42" t="s">
        <v>361</v>
      </c>
      <c r="D89" s="42">
        <v>2040000</v>
      </c>
      <c r="E89" s="42" t="s">
        <v>138</v>
      </c>
      <c r="F89" s="42" t="s">
        <v>225</v>
      </c>
      <c r="G89" s="13">
        <v>42544.850474537037</v>
      </c>
    </row>
    <row r="90" spans="1:7" x14ac:dyDescent="0.25">
      <c r="A90" s="13">
        <v>42544.702430555553</v>
      </c>
      <c r="B90" s="42" t="s">
        <v>113</v>
      </c>
      <c r="C90" s="42" t="s">
        <v>362</v>
      </c>
      <c r="D90" s="42">
        <v>880000</v>
      </c>
      <c r="E90" s="42" t="s">
        <v>220</v>
      </c>
      <c r="F90" s="42" t="s">
        <v>113</v>
      </c>
      <c r="G90" s="13">
        <v>42544.702430555553</v>
      </c>
    </row>
    <row r="91" spans="1:7" x14ac:dyDescent="0.25">
      <c r="A91" s="13">
        <v>42544.867847222224</v>
      </c>
      <c r="B91" s="42" t="s">
        <v>97</v>
      </c>
      <c r="C91" s="42" t="s">
        <v>363</v>
      </c>
      <c r="D91" s="42">
        <v>1770000</v>
      </c>
      <c r="E91" s="42" t="s">
        <v>318</v>
      </c>
      <c r="F91" s="42" t="s">
        <v>97</v>
      </c>
      <c r="G91" s="13">
        <v>42544.867847222224</v>
      </c>
    </row>
    <row r="92" spans="1:7" x14ac:dyDescent="0.25">
      <c r="A92" s="13">
        <v>42544.713969907411</v>
      </c>
      <c r="B92" s="42" t="s">
        <v>215</v>
      </c>
      <c r="C92" s="42" t="s">
        <v>364</v>
      </c>
      <c r="D92" s="42">
        <v>1780000</v>
      </c>
      <c r="E92" s="42" t="s">
        <v>139</v>
      </c>
      <c r="F92" s="42" t="s">
        <v>215</v>
      </c>
      <c r="G92" s="13">
        <v>42544.713969907411</v>
      </c>
    </row>
    <row r="93" spans="1:7" x14ac:dyDescent="0.25">
      <c r="A93" s="13">
        <v>42544.796168981484</v>
      </c>
      <c r="B93" s="42" t="s">
        <v>258</v>
      </c>
      <c r="C93" s="42" t="s">
        <v>365</v>
      </c>
      <c r="D93" s="42">
        <v>1500000</v>
      </c>
      <c r="E93" s="42" t="s">
        <v>100</v>
      </c>
      <c r="F93" s="42" t="s">
        <v>258</v>
      </c>
      <c r="G93" s="13">
        <v>42544.796168981484</v>
      </c>
    </row>
    <row r="94" spans="1:7" x14ac:dyDescent="0.25">
      <c r="A94" s="13">
        <v>42544.728564814817</v>
      </c>
      <c r="B94" s="42" t="s">
        <v>264</v>
      </c>
      <c r="C94" s="42" t="s">
        <v>285</v>
      </c>
      <c r="D94" s="42">
        <v>1140000</v>
      </c>
      <c r="E94" s="42" t="s">
        <v>90</v>
      </c>
      <c r="F94" s="42" t="s">
        <v>264</v>
      </c>
      <c r="G94" s="13">
        <v>42544.728564814817</v>
      </c>
    </row>
    <row r="95" spans="1:7" x14ac:dyDescent="0.25">
      <c r="A95" s="13">
        <v>42544.756874999999</v>
      </c>
      <c r="B95" s="42" t="s">
        <v>70</v>
      </c>
      <c r="C95" s="42" t="s">
        <v>289</v>
      </c>
      <c r="D95" s="42">
        <v>1740000</v>
      </c>
      <c r="E95" s="42" t="s">
        <v>94</v>
      </c>
      <c r="F95" s="42" t="s">
        <v>70</v>
      </c>
      <c r="G95" s="13">
        <v>42544.756874999999</v>
      </c>
    </row>
    <row r="96" spans="1:7" x14ac:dyDescent="0.25">
      <c r="A96" s="13">
        <v>42544.754178240742</v>
      </c>
      <c r="B96" s="42" t="s">
        <v>176</v>
      </c>
      <c r="C96" s="42" t="s">
        <v>290</v>
      </c>
      <c r="D96" s="42">
        <v>1520000</v>
      </c>
      <c r="E96" s="42" t="s">
        <v>218</v>
      </c>
      <c r="F96" s="42" t="s">
        <v>176</v>
      </c>
      <c r="G96" s="13">
        <v>42544.754178240742</v>
      </c>
    </row>
    <row r="97" spans="1:7" x14ac:dyDescent="0.25">
      <c r="A97" s="13">
        <v>42544.713819444441</v>
      </c>
      <c r="B97" s="42" t="s">
        <v>70</v>
      </c>
      <c r="C97" s="42" t="s">
        <v>283</v>
      </c>
      <c r="D97" s="42">
        <v>1740000</v>
      </c>
      <c r="E97" s="42" t="s">
        <v>94</v>
      </c>
      <c r="F97" s="42" t="s">
        <v>70</v>
      </c>
      <c r="G97" s="13">
        <v>42544.713819444441</v>
      </c>
    </row>
    <row r="98" spans="1:7" x14ac:dyDescent="0.25">
      <c r="A98" s="13">
        <v>42544.911423611113</v>
      </c>
      <c r="B98" s="42" t="s">
        <v>88</v>
      </c>
      <c r="C98" s="42" t="s">
        <v>366</v>
      </c>
      <c r="D98" s="42">
        <v>1820000</v>
      </c>
      <c r="E98" s="42" t="s">
        <v>175</v>
      </c>
      <c r="F98" s="42" t="s">
        <v>88</v>
      </c>
      <c r="G98" s="13">
        <v>42544.911423611113</v>
      </c>
    </row>
    <row r="99" spans="1:7" x14ac:dyDescent="0.25">
      <c r="A99" s="13">
        <v>42544.694988425923</v>
      </c>
      <c r="B99" s="42" t="s">
        <v>225</v>
      </c>
      <c r="C99" s="42" t="s">
        <v>367</v>
      </c>
      <c r="D99" s="42">
        <v>1990000</v>
      </c>
      <c r="E99" s="42" t="s">
        <v>172</v>
      </c>
      <c r="F99" s="42" t="s">
        <v>225</v>
      </c>
      <c r="G99" s="13">
        <v>42544.694988425923</v>
      </c>
    </row>
    <row r="100" spans="1:7" x14ac:dyDescent="0.25">
      <c r="A100" s="13">
        <v>42544.413865740738</v>
      </c>
      <c r="B100" s="42" t="s">
        <v>113</v>
      </c>
      <c r="C100" s="42" t="s">
        <v>368</v>
      </c>
      <c r="D100" s="42">
        <v>1310000</v>
      </c>
      <c r="E100" s="42" t="s">
        <v>313</v>
      </c>
      <c r="F100" s="42" t="s">
        <v>113</v>
      </c>
      <c r="G100" s="13">
        <v>42544.413865740738</v>
      </c>
    </row>
    <row r="101" spans="1:7" x14ac:dyDescent="0.25">
      <c r="A101" s="13">
        <v>42544.632800925923</v>
      </c>
      <c r="B101" s="42" t="s">
        <v>86</v>
      </c>
      <c r="C101" s="42" t="s">
        <v>369</v>
      </c>
      <c r="D101" s="42">
        <v>1290000</v>
      </c>
      <c r="E101" s="42" t="s">
        <v>126</v>
      </c>
      <c r="F101" s="42" t="s">
        <v>86</v>
      </c>
      <c r="G101" s="13">
        <v>42544.632800925923</v>
      </c>
    </row>
    <row r="102" spans="1:7" x14ac:dyDescent="0.25">
      <c r="A102" s="13">
        <v>42544.516817129632</v>
      </c>
      <c r="B102" s="42" t="s">
        <v>262</v>
      </c>
      <c r="C102" s="42" t="s">
        <v>307</v>
      </c>
      <c r="D102" s="42">
        <v>1990000</v>
      </c>
      <c r="E102" s="42" t="s">
        <v>172</v>
      </c>
      <c r="F102" s="42" t="s">
        <v>262</v>
      </c>
      <c r="G102" s="13">
        <v>42544.516817129632</v>
      </c>
    </row>
    <row r="103" spans="1:7" x14ac:dyDescent="0.25">
      <c r="A103" s="13">
        <v>42544.419004629628</v>
      </c>
      <c r="B103" s="42" t="s">
        <v>176</v>
      </c>
      <c r="C103" s="42" t="s">
        <v>370</v>
      </c>
      <c r="D103" s="42">
        <v>1460000</v>
      </c>
      <c r="E103" s="42" t="s">
        <v>306</v>
      </c>
      <c r="F103" s="42" t="s">
        <v>176</v>
      </c>
      <c r="G103" s="13">
        <v>42544.419004629628</v>
      </c>
    </row>
    <row r="104" spans="1:7" x14ac:dyDescent="0.25">
      <c r="A104" s="13">
        <v>42544.613252314812</v>
      </c>
      <c r="B104" s="42" t="s">
        <v>88</v>
      </c>
      <c r="C104" s="42" t="s">
        <v>371</v>
      </c>
      <c r="D104" s="42">
        <v>1090000</v>
      </c>
      <c r="E104" s="42" t="s">
        <v>140</v>
      </c>
      <c r="F104" s="42" t="s">
        <v>88</v>
      </c>
      <c r="G104" s="13">
        <v>42544.613252314812</v>
      </c>
    </row>
    <row r="105" spans="1:7" x14ac:dyDescent="0.25">
      <c r="A105" s="13">
        <v>42544.326111111113</v>
      </c>
      <c r="B105" s="42" t="s">
        <v>96</v>
      </c>
      <c r="C105" s="42" t="s">
        <v>372</v>
      </c>
      <c r="D105" s="42">
        <v>1840000</v>
      </c>
      <c r="E105" s="42" t="s">
        <v>304</v>
      </c>
      <c r="F105" s="42" t="s">
        <v>96</v>
      </c>
      <c r="G105" s="13">
        <v>42544.326111111113</v>
      </c>
    </row>
    <row r="106" spans="1:7" x14ac:dyDescent="0.25">
      <c r="A106" s="13">
        <v>42544.662777777776</v>
      </c>
      <c r="B106" s="42" t="s">
        <v>262</v>
      </c>
      <c r="C106" s="42" t="s">
        <v>278</v>
      </c>
      <c r="D106" s="42">
        <v>1990000</v>
      </c>
      <c r="E106" s="42" t="s">
        <v>172</v>
      </c>
      <c r="F106" s="42" t="s">
        <v>262</v>
      </c>
      <c r="G106" s="13">
        <v>42544.662777777776</v>
      </c>
    </row>
    <row r="107" spans="1:7" x14ac:dyDescent="0.25">
      <c r="A107" s="13">
        <v>42544.223680555559</v>
      </c>
      <c r="B107" s="42" t="s">
        <v>95</v>
      </c>
      <c r="C107" s="42" t="s">
        <v>373</v>
      </c>
      <c r="D107" s="42">
        <v>1360000</v>
      </c>
      <c r="E107" s="42" t="s">
        <v>219</v>
      </c>
      <c r="F107" s="42" t="s">
        <v>95</v>
      </c>
      <c r="G107" s="13">
        <v>42544.223680555559</v>
      </c>
    </row>
    <row r="108" spans="1:7" x14ac:dyDescent="0.25">
      <c r="A108" s="13">
        <v>42544.744247685187</v>
      </c>
      <c r="B108" s="42" t="s">
        <v>114</v>
      </c>
      <c r="C108" s="42" t="s">
        <v>288</v>
      </c>
      <c r="D108" s="42">
        <v>2010000</v>
      </c>
      <c r="E108" s="42" t="s">
        <v>121</v>
      </c>
      <c r="F108" s="42" t="s">
        <v>114</v>
      </c>
      <c r="G108" s="13">
        <v>42544.744247685187</v>
      </c>
    </row>
    <row r="109" spans="1:7" x14ac:dyDescent="0.25">
      <c r="A109" s="13">
        <v>42544.316203703704</v>
      </c>
      <c r="B109" s="42" t="s">
        <v>85</v>
      </c>
      <c r="C109" s="42" t="s">
        <v>374</v>
      </c>
      <c r="D109" s="42">
        <v>2000000</v>
      </c>
      <c r="E109" s="42" t="s">
        <v>141</v>
      </c>
      <c r="F109" s="42" t="s">
        <v>85</v>
      </c>
      <c r="G109" s="13">
        <v>42544.316203703704</v>
      </c>
    </row>
    <row r="110" spans="1:7" x14ac:dyDescent="0.25">
      <c r="A110" s="13">
        <v>42544.798379629632</v>
      </c>
      <c r="B110" s="42" t="s">
        <v>176</v>
      </c>
      <c r="C110" s="42" t="s">
        <v>375</v>
      </c>
      <c r="D110" s="42">
        <v>1520000</v>
      </c>
      <c r="E110" s="42" t="s">
        <v>218</v>
      </c>
      <c r="F110" s="42" t="s">
        <v>176</v>
      </c>
      <c r="G110" s="13">
        <v>42544.798379629632</v>
      </c>
    </row>
    <row r="111" spans="1:7" x14ac:dyDescent="0.25">
      <c r="A111" s="13">
        <v>42544.173078703701</v>
      </c>
      <c r="B111" s="42" t="s">
        <v>88</v>
      </c>
      <c r="C111" s="42" t="s">
        <v>376</v>
      </c>
      <c r="D111" s="42">
        <v>1830000</v>
      </c>
      <c r="E111" s="42" t="s">
        <v>222</v>
      </c>
      <c r="F111" s="42" t="s">
        <v>88</v>
      </c>
      <c r="G111" s="13">
        <v>42544.173078703701</v>
      </c>
    </row>
    <row r="112" spans="1:7" x14ac:dyDescent="0.25">
      <c r="A112" s="13">
        <v>42544.364189814813</v>
      </c>
      <c r="B112" s="42" t="s">
        <v>171</v>
      </c>
      <c r="C112" s="42" t="s">
        <v>377</v>
      </c>
      <c r="D112" s="42">
        <v>1460000</v>
      </c>
      <c r="E112" s="42" t="s">
        <v>306</v>
      </c>
      <c r="F112" s="42" t="s">
        <v>171</v>
      </c>
      <c r="G112" s="13">
        <v>42544.364189814813</v>
      </c>
    </row>
    <row r="113" spans="1:7" x14ac:dyDescent="0.25">
      <c r="A113" s="13">
        <v>42544.293622685182</v>
      </c>
      <c r="B113" s="42" t="s">
        <v>213</v>
      </c>
      <c r="C113" s="42" t="s">
        <v>236</v>
      </c>
      <c r="D113" s="42">
        <v>1460000</v>
      </c>
      <c r="E113" s="42" t="s">
        <v>306</v>
      </c>
      <c r="F113" s="42" t="s">
        <v>213</v>
      </c>
      <c r="G113" s="13">
        <v>42544.293622685182</v>
      </c>
    </row>
    <row r="114" spans="1:7" x14ac:dyDescent="0.25">
      <c r="A114" s="13">
        <v>42544.464872685188</v>
      </c>
      <c r="B114" s="42" t="s">
        <v>85</v>
      </c>
      <c r="C114" s="42" t="s">
        <v>378</v>
      </c>
      <c r="D114" s="42">
        <v>900000</v>
      </c>
      <c r="E114" s="42" t="s">
        <v>99</v>
      </c>
      <c r="F114" s="42" t="s">
        <v>85</v>
      </c>
      <c r="G114" s="13">
        <v>42544.464872685188</v>
      </c>
    </row>
    <row r="115" spans="1:7" x14ac:dyDescent="0.25">
      <c r="A115" s="13">
        <v>42544.228125000001</v>
      </c>
      <c r="B115" s="42" t="s">
        <v>225</v>
      </c>
      <c r="C115" s="42" t="s">
        <v>379</v>
      </c>
      <c r="D115" s="42">
        <v>1310000</v>
      </c>
      <c r="E115" s="42" t="s">
        <v>313</v>
      </c>
      <c r="F115" s="42" t="s">
        <v>225</v>
      </c>
      <c r="G115" s="13">
        <v>42544.228125000001</v>
      </c>
    </row>
    <row r="116" spans="1:7" x14ac:dyDescent="0.25">
      <c r="A116" s="13">
        <v>42544.484375</v>
      </c>
      <c r="B116" s="42" t="s">
        <v>113</v>
      </c>
      <c r="C116" s="42" t="s">
        <v>308</v>
      </c>
      <c r="D116" s="42">
        <v>880000</v>
      </c>
      <c r="E116" s="42" t="s">
        <v>220</v>
      </c>
      <c r="F116" s="42" t="s">
        <v>113</v>
      </c>
      <c r="G116" s="13">
        <v>42544.484375</v>
      </c>
    </row>
    <row r="117" spans="1:7" x14ac:dyDescent="0.25">
      <c r="A117" s="13">
        <v>42544.207326388889</v>
      </c>
      <c r="B117" s="42" t="s">
        <v>86</v>
      </c>
      <c r="C117" s="42" t="s">
        <v>230</v>
      </c>
      <c r="D117" s="42">
        <v>2000000</v>
      </c>
      <c r="E117" s="42" t="s">
        <v>141</v>
      </c>
      <c r="F117" s="42" t="s">
        <v>86</v>
      </c>
      <c r="G117" s="13">
        <v>42544.207326388889</v>
      </c>
    </row>
    <row r="118" spans="1:7" x14ac:dyDescent="0.25">
      <c r="A118" s="13">
        <v>42544.527245370373</v>
      </c>
      <c r="B118" s="42" t="s">
        <v>171</v>
      </c>
      <c r="C118" s="42" t="s">
        <v>255</v>
      </c>
      <c r="D118" s="42">
        <v>1460000</v>
      </c>
      <c r="E118" s="42" t="s">
        <v>306</v>
      </c>
      <c r="F118" s="42" t="s">
        <v>171</v>
      </c>
      <c r="G118" s="13">
        <v>42544.527245370373</v>
      </c>
    </row>
    <row r="119" spans="1:7" x14ac:dyDescent="0.25">
      <c r="A119" s="13">
        <v>42544.204745370371</v>
      </c>
      <c r="B119" s="42" t="s">
        <v>98</v>
      </c>
      <c r="C119" s="42" t="s">
        <v>228</v>
      </c>
      <c r="D119" s="42">
        <v>1340000</v>
      </c>
      <c r="E119" s="42" t="s">
        <v>324</v>
      </c>
      <c r="F119" s="42" t="s">
        <v>98</v>
      </c>
      <c r="G119" s="13">
        <v>42544.204745370371</v>
      </c>
    </row>
    <row r="120" spans="1:7" x14ac:dyDescent="0.25">
      <c r="A120" s="13">
        <v>42544.546215277776</v>
      </c>
      <c r="B120" s="42" t="s">
        <v>176</v>
      </c>
      <c r="C120" s="42" t="s">
        <v>380</v>
      </c>
      <c r="D120" s="42">
        <v>1460000</v>
      </c>
      <c r="E120" s="42" t="s">
        <v>306</v>
      </c>
      <c r="F120" s="42" t="s">
        <v>176</v>
      </c>
      <c r="G120" s="13">
        <v>42544.546215277776</v>
      </c>
    </row>
    <row r="121" spans="1:7" x14ac:dyDescent="0.25">
      <c r="A121" s="13">
        <v>42544.245092592595</v>
      </c>
      <c r="B121" s="42" t="s">
        <v>85</v>
      </c>
      <c r="C121" s="42" t="s">
        <v>381</v>
      </c>
      <c r="D121" s="42">
        <v>2000000</v>
      </c>
      <c r="E121" s="42" t="s">
        <v>141</v>
      </c>
      <c r="F121" s="42" t="s">
        <v>85</v>
      </c>
      <c r="G121" s="13">
        <v>42544.245092592595</v>
      </c>
    </row>
    <row r="122" spans="1:7" x14ac:dyDescent="0.25">
      <c r="A122" s="13">
        <v>42544.643495370372</v>
      </c>
      <c r="B122" s="58" t="s">
        <v>97</v>
      </c>
      <c r="C122" s="42" t="s">
        <v>274</v>
      </c>
      <c r="D122" s="42">
        <v>900000</v>
      </c>
      <c r="E122" s="42" t="s">
        <v>99</v>
      </c>
      <c r="F122" s="58" t="s">
        <v>97</v>
      </c>
      <c r="G122" s="13">
        <v>42544.643495370372</v>
      </c>
    </row>
    <row r="123" spans="1:7" x14ac:dyDescent="0.25">
      <c r="A123" s="13">
        <v>42544.324548611112</v>
      </c>
      <c r="B123" s="42" t="s">
        <v>96</v>
      </c>
      <c r="C123" s="42" t="s">
        <v>372</v>
      </c>
      <c r="D123" s="42">
        <v>1840000</v>
      </c>
      <c r="E123" s="42" t="s">
        <v>304</v>
      </c>
      <c r="F123" s="42" t="s">
        <v>96</v>
      </c>
      <c r="G123" s="13">
        <v>42544.324548611112</v>
      </c>
    </row>
    <row r="124" spans="1:7" x14ac:dyDescent="0.25">
      <c r="A124" s="13">
        <v>42544.653136574074</v>
      </c>
      <c r="B124" s="42" t="s">
        <v>264</v>
      </c>
      <c r="C124" s="42" t="s">
        <v>382</v>
      </c>
      <c r="D124" s="42">
        <v>1140000</v>
      </c>
      <c r="E124" s="42" t="s">
        <v>90</v>
      </c>
      <c r="F124" s="42" t="s">
        <v>264</v>
      </c>
      <c r="G124" s="13">
        <v>42544.653136574074</v>
      </c>
    </row>
    <row r="125" spans="1:7" x14ac:dyDescent="0.25">
      <c r="A125" s="13">
        <v>42544.318252314813</v>
      </c>
      <c r="B125" s="42" t="s">
        <v>88</v>
      </c>
      <c r="C125" s="42" t="s">
        <v>383</v>
      </c>
      <c r="D125" s="42">
        <v>1830000</v>
      </c>
      <c r="E125" s="42" t="s">
        <v>222</v>
      </c>
      <c r="F125" s="42" t="s">
        <v>88</v>
      </c>
      <c r="G125" s="13">
        <v>42544.318252314813</v>
      </c>
    </row>
    <row r="126" spans="1:7" x14ac:dyDescent="0.25">
      <c r="A126" s="13">
        <v>42544.789444444446</v>
      </c>
      <c r="B126" s="42" t="s">
        <v>215</v>
      </c>
      <c r="C126" s="42" t="s">
        <v>293</v>
      </c>
      <c r="D126" s="42">
        <v>1780000</v>
      </c>
      <c r="E126" s="42" t="s">
        <v>139</v>
      </c>
      <c r="F126" s="42" t="s">
        <v>215</v>
      </c>
      <c r="G126" s="13">
        <v>42544.789444444446</v>
      </c>
    </row>
    <row r="127" spans="1:7" x14ac:dyDescent="0.25">
      <c r="A127" s="13">
        <v>42544.277187500003</v>
      </c>
      <c r="B127" s="42" t="s">
        <v>215</v>
      </c>
      <c r="C127" s="42" t="s">
        <v>235</v>
      </c>
      <c r="D127" s="42">
        <v>1110000</v>
      </c>
      <c r="E127" s="42" t="s">
        <v>174</v>
      </c>
      <c r="F127" s="42" t="s">
        <v>215</v>
      </c>
      <c r="G127" s="13">
        <v>42544.277187500003</v>
      </c>
    </row>
    <row r="128" spans="1:7" x14ac:dyDescent="0.25">
      <c r="A128" s="13">
        <v>42544.994895833333</v>
      </c>
      <c r="B128" s="42" t="s">
        <v>88</v>
      </c>
      <c r="C128" s="42" t="s">
        <v>384</v>
      </c>
      <c r="D128" s="42">
        <v>1820000</v>
      </c>
      <c r="E128" s="42" t="s">
        <v>175</v>
      </c>
      <c r="F128" s="42" t="s">
        <v>88</v>
      </c>
      <c r="G128" s="13">
        <v>42544.994895833333</v>
      </c>
    </row>
    <row r="129" spans="1:7" x14ac:dyDescent="0.25">
      <c r="A129" s="13">
        <v>42544.175416666665</v>
      </c>
      <c r="B129" s="42" t="s">
        <v>88</v>
      </c>
      <c r="C129" s="42" t="s">
        <v>376</v>
      </c>
      <c r="D129" s="42">
        <v>1830000</v>
      </c>
      <c r="E129" s="42" t="s">
        <v>222</v>
      </c>
      <c r="F129" s="42" t="s">
        <v>88</v>
      </c>
      <c r="G129" s="13">
        <v>42544.175416666665</v>
      </c>
    </row>
    <row r="130" spans="1:7" x14ac:dyDescent="0.25">
      <c r="A130" s="13">
        <v>42544.993437500001</v>
      </c>
      <c r="B130" s="42" t="s">
        <v>95</v>
      </c>
      <c r="C130" s="42" t="s">
        <v>359</v>
      </c>
      <c r="D130" s="42">
        <v>1770000</v>
      </c>
      <c r="E130" s="42" t="s">
        <v>318</v>
      </c>
      <c r="F130" s="42" t="s">
        <v>95</v>
      </c>
      <c r="G130" s="13">
        <v>42544.993437500001</v>
      </c>
    </row>
    <row r="131" spans="1:7" x14ac:dyDescent="0.25">
      <c r="A131" s="13">
        <v>42544.971331018518</v>
      </c>
      <c r="B131" s="42" t="s">
        <v>114</v>
      </c>
      <c r="C131" s="42" t="s">
        <v>385</v>
      </c>
      <c r="D131" s="42">
        <v>2010000</v>
      </c>
      <c r="E131" s="42" t="s">
        <v>121</v>
      </c>
      <c r="F131" s="42" t="s">
        <v>114</v>
      </c>
      <c r="G131" s="13">
        <v>42544.971331018518</v>
      </c>
    </row>
    <row r="132" spans="1:7" x14ac:dyDescent="0.25">
      <c r="A132" s="13">
        <v>42544.233842592592</v>
      </c>
      <c r="B132" s="42" t="s">
        <v>212</v>
      </c>
      <c r="C132" s="42" t="s">
        <v>386</v>
      </c>
      <c r="D132" s="42">
        <v>2030000</v>
      </c>
      <c r="E132" s="42" t="s">
        <v>173</v>
      </c>
      <c r="F132" s="42" t="s">
        <v>212</v>
      </c>
      <c r="G132" s="13">
        <v>42544.233842592592</v>
      </c>
    </row>
    <row r="133" spans="1:7" x14ac:dyDescent="0.25">
      <c r="A133" s="13">
        <v>42544.944004629629</v>
      </c>
      <c r="B133" s="42" t="s">
        <v>171</v>
      </c>
      <c r="C133" s="42" t="s">
        <v>302</v>
      </c>
      <c r="D133" s="42">
        <v>1520000</v>
      </c>
      <c r="E133" s="42" t="s">
        <v>218</v>
      </c>
      <c r="F133" s="42" t="s">
        <v>171</v>
      </c>
      <c r="G133" s="13">
        <v>42544.944004629629</v>
      </c>
    </row>
    <row r="134" spans="1:7" x14ac:dyDescent="0.25">
      <c r="A134" s="13">
        <v>42544.267048611109</v>
      </c>
      <c r="B134" s="42" t="s">
        <v>262</v>
      </c>
      <c r="C134" s="42" t="s">
        <v>387</v>
      </c>
      <c r="D134" s="42">
        <v>1310000</v>
      </c>
      <c r="E134" s="42" t="s">
        <v>313</v>
      </c>
      <c r="F134" s="42" t="s">
        <v>262</v>
      </c>
      <c r="G134" s="13">
        <v>42544.267048611109</v>
      </c>
    </row>
    <row r="135" spans="1:7" x14ac:dyDescent="0.25">
      <c r="A135" s="13">
        <v>42544.799178240741</v>
      </c>
      <c r="B135" s="42" t="s">
        <v>89</v>
      </c>
      <c r="C135" s="42" t="s">
        <v>388</v>
      </c>
      <c r="D135" s="42">
        <v>1820000</v>
      </c>
      <c r="E135" s="42" t="s">
        <v>175</v>
      </c>
      <c r="F135" s="42" t="s">
        <v>89</v>
      </c>
      <c r="G135" s="13">
        <v>42544.799178240741</v>
      </c>
    </row>
    <row r="136" spans="1:7" x14ac:dyDescent="0.25">
      <c r="A136" s="13">
        <v>42544.295659722222</v>
      </c>
      <c r="B136" s="42" t="s">
        <v>95</v>
      </c>
      <c r="C136" s="42" t="s">
        <v>238</v>
      </c>
      <c r="D136" s="42">
        <v>1360000</v>
      </c>
      <c r="E136" s="42" t="s">
        <v>219</v>
      </c>
      <c r="F136" s="42" t="s">
        <v>95</v>
      </c>
      <c r="G136" s="13">
        <v>42544.295659722222</v>
      </c>
    </row>
    <row r="137" spans="1:7" x14ac:dyDescent="0.25">
      <c r="A137" s="13">
        <v>42544.650266203702</v>
      </c>
      <c r="B137" s="42" t="s">
        <v>89</v>
      </c>
      <c r="C137" s="42" t="s">
        <v>273</v>
      </c>
      <c r="D137" s="42">
        <v>1090000</v>
      </c>
      <c r="E137" s="42" t="s">
        <v>140</v>
      </c>
      <c r="F137" s="42" t="s">
        <v>89</v>
      </c>
      <c r="G137" s="13">
        <v>42544.650266203702</v>
      </c>
    </row>
    <row r="138" spans="1:7" x14ac:dyDescent="0.25">
      <c r="A138" s="13">
        <v>42544.297349537039</v>
      </c>
      <c r="B138" s="42" t="s">
        <v>70</v>
      </c>
      <c r="C138" s="42" t="s">
        <v>338</v>
      </c>
      <c r="D138" s="42">
        <v>1340000</v>
      </c>
      <c r="E138" s="42" t="s">
        <v>324</v>
      </c>
      <c r="F138" s="42" t="s">
        <v>70</v>
      </c>
      <c r="G138" s="13">
        <v>42544.297349537039</v>
      </c>
    </row>
    <row r="139" spans="1:7" x14ac:dyDescent="0.25">
      <c r="A139" s="13">
        <v>42544.929710648146</v>
      </c>
      <c r="B139" s="42" t="s">
        <v>113</v>
      </c>
      <c r="C139" s="42" t="s">
        <v>350</v>
      </c>
      <c r="D139" s="42">
        <v>2010000</v>
      </c>
      <c r="E139" s="42" t="s">
        <v>121</v>
      </c>
      <c r="F139" s="42" t="s">
        <v>113</v>
      </c>
      <c r="G139" s="13">
        <v>42544.929710648146</v>
      </c>
    </row>
    <row r="140" spans="1:7" x14ac:dyDescent="0.25">
      <c r="A140" s="13">
        <v>42544.316874999997</v>
      </c>
      <c r="B140" s="42" t="s">
        <v>98</v>
      </c>
      <c r="C140" s="42" t="s">
        <v>239</v>
      </c>
      <c r="D140" s="42">
        <v>1340000</v>
      </c>
      <c r="E140" s="42" t="s">
        <v>324</v>
      </c>
      <c r="F140" s="42" t="s">
        <v>98</v>
      </c>
      <c r="G140" s="13">
        <v>42544.316874999997</v>
      </c>
    </row>
    <row r="141" spans="1:7" x14ac:dyDescent="0.25">
      <c r="A141" s="13">
        <v>42544.695763888885</v>
      </c>
      <c r="B141" s="42" t="s">
        <v>98</v>
      </c>
      <c r="C141" s="42" t="s">
        <v>281</v>
      </c>
      <c r="D141" s="42">
        <v>1740000</v>
      </c>
      <c r="E141" s="42" t="s">
        <v>94</v>
      </c>
      <c r="F141" s="42" t="s">
        <v>98</v>
      </c>
      <c r="G141" s="13">
        <v>42544.695763888885</v>
      </c>
    </row>
    <row r="142" spans="1:7" x14ac:dyDescent="0.25">
      <c r="A142" s="13">
        <v>42544.349641203706</v>
      </c>
      <c r="B142" s="42" t="s">
        <v>215</v>
      </c>
      <c r="C142" s="42" t="s">
        <v>242</v>
      </c>
      <c r="D142" s="42">
        <v>1110000</v>
      </c>
      <c r="E142" s="42" t="s">
        <v>174</v>
      </c>
      <c r="F142" s="42" t="s">
        <v>215</v>
      </c>
      <c r="G142" s="13">
        <v>42544.349641203706</v>
      </c>
    </row>
    <row r="143" spans="1:7" x14ac:dyDescent="0.25">
      <c r="A143" s="13">
        <v>42544.973761574074</v>
      </c>
      <c r="B143" s="42" t="s">
        <v>262</v>
      </c>
      <c r="C143" s="42" t="s">
        <v>389</v>
      </c>
      <c r="D143" s="42">
        <v>2040000</v>
      </c>
      <c r="E143" s="42" t="s">
        <v>138</v>
      </c>
      <c r="F143" s="42" t="s">
        <v>262</v>
      </c>
      <c r="G143" s="13">
        <v>42544.973761574074</v>
      </c>
    </row>
    <row r="144" spans="1:7" x14ac:dyDescent="0.25">
      <c r="A144" s="13">
        <v>42544.149710648147</v>
      </c>
      <c r="B144" s="42" t="s">
        <v>225</v>
      </c>
      <c r="C144" s="42" t="s">
        <v>226</v>
      </c>
      <c r="D144" s="42">
        <v>1110000</v>
      </c>
      <c r="E144" s="42" t="s">
        <v>174</v>
      </c>
      <c r="F144" s="42" t="s">
        <v>225</v>
      </c>
      <c r="G144" s="13">
        <v>42544.149710648147</v>
      </c>
    </row>
    <row r="145" spans="1:7" x14ac:dyDescent="0.25">
      <c r="A145" s="13">
        <v>42544.832662037035</v>
      </c>
      <c r="B145" s="42" t="s">
        <v>176</v>
      </c>
      <c r="C145" s="42" t="s">
        <v>295</v>
      </c>
      <c r="D145" s="42">
        <v>1520000</v>
      </c>
      <c r="E145" s="42" t="s">
        <v>218</v>
      </c>
      <c r="F145" s="42" t="s">
        <v>176</v>
      </c>
      <c r="G145" s="13">
        <v>42544.832662037035</v>
      </c>
    </row>
    <row r="146" spans="1:7" x14ac:dyDescent="0.25">
      <c r="A146" s="13">
        <v>42544.248530092591</v>
      </c>
      <c r="B146" s="42" t="s">
        <v>88</v>
      </c>
      <c r="C146" s="42" t="s">
        <v>390</v>
      </c>
      <c r="D146" s="42">
        <v>1830000</v>
      </c>
      <c r="E146" s="42" t="s">
        <v>222</v>
      </c>
      <c r="F146" s="42" t="s">
        <v>88</v>
      </c>
      <c r="G146" s="13">
        <v>42544.248530092591</v>
      </c>
    </row>
    <row r="147" spans="1:7" x14ac:dyDescent="0.25">
      <c r="A147" s="13">
        <v>42544.817141203705</v>
      </c>
      <c r="B147" s="42" t="s">
        <v>171</v>
      </c>
      <c r="C147" s="42" t="s">
        <v>391</v>
      </c>
      <c r="D147" s="42">
        <v>1520000</v>
      </c>
      <c r="E147" s="42" t="s">
        <v>218</v>
      </c>
      <c r="F147" s="42" t="s">
        <v>171</v>
      </c>
      <c r="G147" s="13">
        <v>42544.817141203705</v>
      </c>
    </row>
    <row r="148" spans="1:7" x14ac:dyDescent="0.25">
      <c r="A148" s="13">
        <v>42544.256724537037</v>
      </c>
      <c r="B148" s="42" t="s">
        <v>97</v>
      </c>
      <c r="C148" s="42" t="s">
        <v>234</v>
      </c>
      <c r="D148" s="42">
        <v>1360000</v>
      </c>
      <c r="E148" s="42" t="s">
        <v>219</v>
      </c>
      <c r="F148" s="42" t="s">
        <v>97</v>
      </c>
      <c r="G148" s="13">
        <v>42544.256724537037</v>
      </c>
    </row>
    <row r="149" spans="1:7" x14ac:dyDescent="0.25">
      <c r="A149" s="13">
        <v>42544.768182870372</v>
      </c>
      <c r="B149" s="42" t="s">
        <v>225</v>
      </c>
      <c r="C149" s="42" t="s">
        <v>392</v>
      </c>
      <c r="D149" s="42">
        <v>2040000</v>
      </c>
      <c r="E149" s="42" t="s">
        <v>138</v>
      </c>
      <c r="F149" s="42" t="s">
        <v>225</v>
      </c>
      <c r="G149" s="13">
        <v>42544.768182870372</v>
      </c>
    </row>
    <row r="150" spans="1:7" x14ac:dyDescent="0.25">
      <c r="A150" s="13">
        <v>42544.266481481478</v>
      </c>
      <c r="B150" s="42" t="s">
        <v>217</v>
      </c>
      <c r="C150" s="42" t="s">
        <v>393</v>
      </c>
      <c r="D150" s="42">
        <v>2030000</v>
      </c>
      <c r="E150" s="42" t="s">
        <v>173</v>
      </c>
      <c r="F150" s="42" t="s">
        <v>217</v>
      </c>
      <c r="G150" s="13">
        <v>42544.266481481478</v>
      </c>
    </row>
    <row r="151" spans="1:7" x14ac:dyDescent="0.25">
      <c r="A151" s="13">
        <v>42544.734571759262</v>
      </c>
      <c r="B151" s="42" t="s">
        <v>264</v>
      </c>
      <c r="C151" s="42" t="s">
        <v>285</v>
      </c>
      <c r="D151" s="42">
        <v>1140000</v>
      </c>
      <c r="E151" s="42" t="s">
        <v>90</v>
      </c>
      <c r="F151" s="42" t="s">
        <v>264</v>
      </c>
      <c r="G151" s="13">
        <v>42544.734571759262</v>
      </c>
    </row>
    <row r="152" spans="1:7" x14ac:dyDescent="0.25">
      <c r="A152" s="13">
        <v>42544.422083333331</v>
      </c>
      <c r="B152" s="42" t="s">
        <v>89</v>
      </c>
      <c r="C152" s="42" t="s">
        <v>394</v>
      </c>
      <c r="D152" s="42">
        <v>1830000</v>
      </c>
      <c r="E152" s="42" t="s">
        <v>222</v>
      </c>
      <c r="F152" s="42" t="s">
        <v>89</v>
      </c>
      <c r="G152" s="13">
        <v>42544.422083333331</v>
      </c>
    </row>
    <row r="153" spans="1:7" x14ac:dyDescent="0.25">
      <c r="A153" s="13">
        <v>42544.683981481481</v>
      </c>
      <c r="B153" s="42" t="s">
        <v>95</v>
      </c>
      <c r="C153" s="42" t="s">
        <v>395</v>
      </c>
      <c r="D153" s="42">
        <v>900000</v>
      </c>
      <c r="E153" s="42" t="s">
        <v>99</v>
      </c>
      <c r="F153" s="42" t="s">
        <v>95</v>
      </c>
      <c r="G153" s="13">
        <v>42544.683981481481</v>
      </c>
    </row>
    <row r="154" spans="1:7" x14ac:dyDescent="0.25">
      <c r="A154" s="13">
        <v>42544.196134259262</v>
      </c>
      <c r="B154" s="42" t="s">
        <v>217</v>
      </c>
      <c r="C154" s="42" t="s">
        <v>396</v>
      </c>
      <c r="D154" s="42">
        <v>2030000</v>
      </c>
      <c r="E154" s="42" t="s">
        <v>173</v>
      </c>
      <c r="F154" s="42" t="s">
        <v>217</v>
      </c>
      <c r="G154" s="13">
        <v>42544.196134259262</v>
      </c>
    </row>
    <row r="155" spans="1:7" x14ac:dyDescent="0.25">
      <c r="A155" s="13">
        <v>42544.671238425923</v>
      </c>
      <c r="B155" s="42" t="s">
        <v>85</v>
      </c>
      <c r="C155" s="42" t="s">
        <v>279</v>
      </c>
      <c r="D155" s="42">
        <v>1290000</v>
      </c>
      <c r="E155" s="42" t="s">
        <v>126</v>
      </c>
      <c r="F155" s="42" t="s">
        <v>85</v>
      </c>
      <c r="G155" s="13">
        <v>42544.671238425923</v>
      </c>
    </row>
    <row r="156" spans="1:7" x14ac:dyDescent="0.25">
      <c r="A156" s="13">
        <v>42544.280914351853</v>
      </c>
      <c r="B156" s="42" t="s">
        <v>98</v>
      </c>
      <c r="C156" s="42" t="s">
        <v>397</v>
      </c>
      <c r="D156" s="42">
        <v>1340000</v>
      </c>
      <c r="E156" s="42" t="s">
        <v>324</v>
      </c>
      <c r="F156" s="42" t="s">
        <v>98</v>
      </c>
      <c r="G156" s="13">
        <v>42544.280914351853</v>
      </c>
    </row>
    <row r="157" spans="1:7" x14ac:dyDescent="0.25">
      <c r="A157" s="13">
        <v>42544.609733796293</v>
      </c>
      <c r="B157" s="42" t="s">
        <v>171</v>
      </c>
      <c r="C157" s="42" t="s">
        <v>398</v>
      </c>
      <c r="D157" s="42">
        <v>1460000</v>
      </c>
      <c r="E157" s="42" t="s">
        <v>306</v>
      </c>
      <c r="F157" s="42" t="s">
        <v>171</v>
      </c>
      <c r="G157" s="13">
        <v>42544.609733796293</v>
      </c>
    </row>
    <row r="158" spans="1:7" x14ac:dyDescent="0.25">
      <c r="A158" s="13">
        <v>42544.350023148145</v>
      </c>
      <c r="B158" s="42" t="s">
        <v>89</v>
      </c>
      <c r="C158" s="42" t="s">
        <v>241</v>
      </c>
      <c r="D158" s="42">
        <v>1830000</v>
      </c>
      <c r="E158" s="42" t="s">
        <v>222</v>
      </c>
      <c r="F158" s="42" t="s">
        <v>89</v>
      </c>
      <c r="G158" s="13">
        <v>42544.350023148145</v>
      </c>
    </row>
    <row r="159" spans="1:7" x14ac:dyDescent="0.25">
      <c r="A159" s="13">
        <v>42545.013159722221</v>
      </c>
      <c r="B159" s="42" t="s">
        <v>113</v>
      </c>
      <c r="C159" s="42" t="s">
        <v>399</v>
      </c>
      <c r="D159" s="42">
        <v>2010000</v>
      </c>
      <c r="E159" s="42" t="s">
        <v>121</v>
      </c>
      <c r="F159" s="42" t="s">
        <v>113</v>
      </c>
      <c r="G159" s="13">
        <v>42545.013159722221</v>
      </c>
    </row>
    <row r="160" spans="1:7" x14ac:dyDescent="0.25">
      <c r="A160" s="13">
        <v>42544.354988425926</v>
      </c>
      <c r="B160" s="42" t="s">
        <v>98</v>
      </c>
      <c r="C160" s="42" t="s">
        <v>400</v>
      </c>
      <c r="D160" s="42">
        <v>1340000</v>
      </c>
      <c r="E160" s="42" t="s">
        <v>324</v>
      </c>
      <c r="F160" s="42" t="s">
        <v>98</v>
      </c>
      <c r="G160" s="13">
        <v>42544.354988425926</v>
      </c>
    </row>
    <row r="161" spans="1:7" x14ac:dyDescent="0.25">
      <c r="A161" s="13">
        <v>42544.991469907407</v>
      </c>
      <c r="B161" s="42" t="s">
        <v>95</v>
      </c>
      <c r="C161" s="42" t="s">
        <v>359</v>
      </c>
      <c r="D161" s="42">
        <v>1770000</v>
      </c>
      <c r="E161" s="42" t="s">
        <v>318</v>
      </c>
      <c r="F161" s="42" t="s">
        <v>95</v>
      </c>
      <c r="G161" s="13">
        <v>42544.991469907407</v>
      </c>
    </row>
    <row r="162" spans="1:7" x14ac:dyDescent="0.25">
      <c r="A162" s="13">
        <v>42544.3905787037</v>
      </c>
      <c r="B162" s="42" t="s">
        <v>85</v>
      </c>
      <c r="C162" s="42" t="s">
        <v>401</v>
      </c>
      <c r="D162" s="42">
        <v>2000000</v>
      </c>
      <c r="E162" s="42" t="s">
        <v>141</v>
      </c>
      <c r="F162" s="42" t="s">
        <v>85</v>
      </c>
      <c r="G162" s="13">
        <v>42544.3905787037</v>
      </c>
    </row>
    <row r="163" spans="1:7" x14ac:dyDescent="0.25">
      <c r="A163" s="13">
        <v>42544.787604166668</v>
      </c>
      <c r="B163" s="42" t="s">
        <v>97</v>
      </c>
      <c r="C163" s="42" t="s">
        <v>402</v>
      </c>
      <c r="D163" s="42">
        <v>1770000</v>
      </c>
      <c r="E163" s="42" t="s">
        <v>318</v>
      </c>
      <c r="F163" s="42" t="s">
        <v>97</v>
      </c>
      <c r="G163" s="13">
        <v>42544.787604166668</v>
      </c>
    </row>
    <row r="164" spans="1:7" x14ac:dyDescent="0.25">
      <c r="A164" s="13">
        <v>42544.421712962961</v>
      </c>
      <c r="B164" s="42" t="s">
        <v>215</v>
      </c>
      <c r="C164" s="42" t="s">
        <v>248</v>
      </c>
      <c r="D164" s="42">
        <v>1110000</v>
      </c>
      <c r="E164" s="42" t="s">
        <v>174</v>
      </c>
      <c r="F164" s="42" t="s">
        <v>215</v>
      </c>
      <c r="G164" s="13">
        <v>42544.421712962961</v>
      </c>
    </row>
    <row r="165" spans="1:7" x14ac:dyDescent="0.25">
      <c r="A165" s="13">
        <v>42544.778773148151</v>
      </c>
      <c r="B165" s="42" t="s">
        <v>113</v>
      </c>
      <c r="C165" s="42" t="s">
        <v>403</v>
      </c>
      <c r="D165" s="42">
        <v>2010000</v>
      </c>
      <c r="E165" s="42" t="s">
        <v>121</v>
      </c>
      <c r="F165" s="42" t="s">
        <v>113</v>
      </c>
      <c r="G165" s="13">
        <v>42544.778773148151</v>
      </c>
    </row>
    <row r="166" spans="1:7" x14ac:dyDescent="0.25">
      <c r="A166" s="13">
        <v>42544.432847222219</v>
      </c>
      <c r="B166" s="42" t="s">
        <v>101</v>
      </c>
      <c r="C166" s="42" t="s">
        <v>404</v>
      </c>
      <c r="D166" s="42">
        <v>2000000</v>
      </c>
      <c r="E166" s="42" t="s">
        <v>141</v>
      </c>
      <c r="F166" s="42" t="s">
        <v>101</v>
      </c>
      <c r="G166" s="13">
        <v>42544.432847222219</v>
      </c>
    </row>
    <row r="167" spans="1:7" x14ac:dyDescent="0.25">
      <c r="A167" s="13">
        <v>42544.752708333333</v>
      </c>
      <c r="B167" s="42" t="s">
        <v>176</v>
      </c>
      <c r="C167" s="42" t="s">
        <v>290</v>
      </c>
      <c r="D167" s="42">
        <v>1520000</v>
      </c>
      <c r="E167" s="42" t="s">
        <v>218</v>
      </c>
      <c r="F167" s="42" t="s">
        <v>176</v>
      </c>
      <c r="G167" s="13">
        <v>42544.752708333333</v>
      </c>
    </row>
    <row r="168" spans="1:7" x14ac:dyDescent="0.25">
      <c r="A168" s="13">
        <v>42544.44189814815</v>
      </c>
      <c r="B168" s="42" t="s">
        <v>171</v>
      </c>
      <c r="C168" s="42" t="s">
        <v>405</v>
      </c>
      <c r="D168" s="42">
        <v>1460000</v>
      </c>
      <c r="E168" s="42" t="s">
        <v>306</v>
      </c>
      <c r="F168" s="42" t="s">
        <v>171</v>
      </c>
      <c r="G168" s="13">
        <v>42544.44189814815</v>
      </c>
    </row>
    <row r="169" spans="1:7" x14ac:dyDescent="0.25">
      <c r="A169" s="13">
        <v>42544.738182870373</v>
      </c>
      <c r="B169" s="42" t="s">
        <v>98</v>
      </c>
      <c r="C169" s="42" t="s">
        <v>287</v>
      </c>
      <c r="D169" s="42">
        <v>1740000</v>
      </c>
      <c r="E169" s="42" t="s">
        <v>94</v>
      </c>
      <c r="F169" s="42" t="s">
        <v>98</v>
      </c>
      <c r="G169" s="13">
        <v>42544.738182870373</v>
      </c>
    </row>
    <row r="170" spans="1:7" x14ac:dyDescent="0.25">
      <c r="A170" s="13">
        <v>42544.450497685182</v>
      </c>
      <c r="B170" s="42" t="s">
        <v>212</v>
      </c>
      <c r="C170" s="42" t="s">
        <v>406</v>
      </c>
      <c r="D170" s="42">
        <v>2030000</v>
      </c>
      <c r="E170" s="42" t="s">
        <v>173</v>
      </c>
      <c r="F170" s="42" t="s">
        <v>212</v>
      </c>
      <c r="G170" s="13">
        <v>42544.450497685182</v>
      </c>
    </row>
    <row r="171" spans="1:7" x14ac:dyDescent="0.25">
      <c r="A171" s="13">
        <v>42544.6640625</v>
      </c>
      <c r="B171" s="42" t="s">
        <v>262</v>
      </c>
      <c r="C171" s="42" t="s">
        <v>278</v>
      </c>
      <c r="D171" s="42">
        <v>1990000</v>
      </c>
      <c r="E171" s="42" t="s">
        <v>172</v>
      </c>
      <c r="F171" s="42" t="s">
        <v>262</v>
      </c>
      <c r="G171" s="13">
        <v>42544.6640625</v>
      </c>
    </row>
    <row r="172" spans="1:7" x14ac:dyDescent="0.25">
      <c r="A172" s="13">
        <v>42544.473136574074</v>
      </c>
      <c r="B172" s="42" t="s">
        <v>96</v>
      </c>
      <c r="C172" s="42" t="s">
        <v>251</v>
      </c>
      <c r="D172" s="42">
        <v>2000000</v>
      </c>
      <c r="E172" s="42" t="s">
        <v>141</v>
      </c>
      <c r="F172" s="42" t="s">
        <v>96</v>
      </c>
      <c r="G172" s="13">
        <v>42544.473136574074</v>
      </c>
    </row>
    <row r="173" spans="1:7" x14ac:dyDescent="0.25">
      <c r="A173" s="13">
        <v>42544.522858796299</v>
      </c>
      <c r="B173" s="42" t="s">
        <v>114</v>
      </c>
      <c r="C173" s="42" t="s">
        <v>256</v>
      </c>
      <c r="D173" s="42">
        <v>880000</v>
      </c>
      <c r="E173" s="42" t="s">
        <v>220</v>
      </c>
      <c r="F173" s="42" t="s">
        <v>114</v>
      </c>
      <c r="G173" s="13">
        <v>42544.522858796299</v>
      </c>
    </row>
    <row r="174" spans="1:7" x14ac:dyDescent="0.25">
      <c r="A174" s="13">
        <v>42544.499421296299</v>
      </c>
      <c r="B174" s="42" t="s">
        <v>215</v>
      </c>
      <c r="C174" s="42" t="s">
        <v>254</v>
      </c>
      <c r="D174" s="42">
        <v>1310000</v>
      </c>
      <c r="E174" s="42" t="s">
        <v>313</v>
      </c>
      <c r="F174" s="42" t="s">
        <v>215</v>
      </c>
      <c r="G174" s="13">
        <v>42544.499421296299</v>
      </c>
    </row>
    <row r="175" spans="1:7" x14ac:dyDescent="0.25">
      <c r="A175" s="13">
        <v>42544.475949074076</v>
      </c>
      <c r="B175" s="42" t="s">
        <v>96</v>
      </c>
      <c r="C175" s="42" t="s">
        <v>251</v>
      </c>
      <c r="D175" s="42">
        <v>2000000</v>
      </c>
      <c r="E175" s="42" t="s">
        <v>141</v>
      </c>
      <c r="F175" s="42" t="s">
        <v>96</v>
      </c>
      <c r="G175" s="13">
        <v>42544.475949074076</v>
      </c>
    </row>
    <row r="176" spans="1:7" x14ac:dyDescent="0.25">
      <c r="A176" s="13">
        <v>42544.503078703703</v>
      </c>
      <c r="B176" s="42" t="s">
        <v>89</v>
      </c>
      <c r="C176" s="42" t="s">
        <v>407</v>
      </c>
      <c r="D176" s="42">
        <v>1090000</v>
      </c>
      <c r="E176" s="42" t="s">
        <v>140</v>
      </c>
      <c r="F176" s="42" t="s">
        <v>89</v>
      </c>
      <c r="G176" s="13">
        <v>42544.503078703703</v>
      </c>
    </row>
    <row r="177" spans="1:7" x14ac:dyDescent="0.25">
      <c r="A177" s="13">
        <v>42544.444560185184</v>
      </c>
      <c r="B177" s="42" t="s">
        <v>114</v>
      </c>
      <c r="C177" s="42" t="s">
        <v>408</v>
      </c>
      <c r="D177" s="42">
        <v>880000</v>
      </c>
      <c r="E177" s="42" t="s">
        <v>220</v>
      </c>
      <c r="F177" s="42" t="s">
        <v>114</v>
      </c>
      <c r="G177" s="13">
        <v>42544.444560185184</v>
      </c>
    </row>
    <row r="178" spans="1:7" x14ac:dyDescent="0.25">
      <c r="A178" s="13">
        <v>42544.538506944446</v>
      </c>
      <c r="B178" s="42" t="s">
        <v>88</v>
      </c>
      <c r="C178" s="42" t="s">
        <v>309</v>
      </c>
      <c r="D178" s="42">
        <v>1090000</v>
      </c>
      <c r="E178" s="42" t="s">
        <v>140</v>
      </c>
      <c r="F178" s="42" t="s">
        <v>88</v>
      </c>
      <c r="G178" s="13">
        <v>42544.538506944446</v>
      </c>
    </row>
    <row r="179" spans="1:7" x14ac:dyDescent="0.25">
      <c r="A179" s="13">
        <v>42544.338587962964</v>
      </c>
      <c r="B179" s="42" t="s">
        <v>217</v>
      </c>
      <c r="C179" s="42" t="s">
        <v>409</v>
      </c>
      <c r="D179" s="42">
        <v>2030000</v>
      </c>
      <c r="E179" s="42" t="s">
        <v>173</v>
      </c>
      <c r="F179" s="42" t="s">
        <v>217</v>
      </c>
      <c r="G179" s="13">
        <v>42544.338587962964</v>
      </c>
    </row>
    <row r="180" spans="1:7" x14ac:dyDescent="0.25">
      <c r="A180" s="13">
        <v>42544.598749999997</v>
      </c>
      <c r="B180" s="42" t="s">
        <v>85</v>
      </c>
      <c r="C180" s="42" t="s">
        <v>266</v>
      </c>
      <c r="D180" s="42">
        <v>1290000</v>
      </c>
      <c r="E180" s="42" t="s">
        <v>126</v>
      </c>
      <c r="F180" s="42" t="s">
        <v>85</v>
      </c>
      <c r="G180" s="13">
        <v>42544.598749999997</v>
      </c>
    </row>
    <row r="181" spans="1:7" x14ac:dyDescent="0.25">
      <c r="A181" s="13">
        <v>42544.255624999998</v>
      </c>
      <c r="B181" s="42" t="s">
        <v>70</v>
      </c>
      <c r="C181" s="42" t="s">
        <v>410</v>
      </c>
      <c r="D181" s="42">
        <v>1340000</v>
      </c>
      <c r="E181" s="42" t="s">
        <v>324</v>
      </c>
      <c r="F181" s="42" t="s">
        <v>70</v>
      </c>
      <c r="G181" s="13">
        <v>42544.255624999998</v>
      </c>
    </row>
    <row r="182" spans="1:7" x14ac:dyDescent="0.25">
      <c r="A182" s="13">
        <v>42544.664965277778</v>
      </c>
      <c r="B182" s="42" t="s">
        <v>114</v>
      </c>
      <c r="C182" s="42" t="s">
        <v>411</v>
      </c>
      <c r="D182" s="42">
        <v>880000</v>
      </c>
      <c r="E182" s="42" t="s">
        <v>220</v>
      </c>
      <c r="F182" s="42" t="s">
        <v>114</v>
      </c>
      <c r="G182" s="13">
        <v>42544.664965277778</v>
      </c>
    </row>
    <row r="183" spans="1:7" x14ac:dyDescent="0.25">
      <c r="A183" s="13">
        <v>42544.320740740739</v>
      </c>
      <c r="B183" s="42" t="s">
        <v>214</v>
      </c>
      <c r="C183" s="42" t="s">
        <v>412</v>
      </c>
      <c r="D183" s="42">
        <v>1460000</v>
      </c>
      <c r="E183" s="42" t="s">
        <v>306</v>
      </c>
      <c r="F183" s="42" t="s">
        <v>214</v>
      </c>
      <c r="G183" s="13">
        <v>42544.320740740739</v>
      </c>
    </row>
    <row r="184" spans="1:7" x14ac:dyDescent="0.25">
      <c r="A184" s="13">
        <v>42544.711944444447</v>
      </c>
      <c r="B184" s="42" t="s">
        <v>176</v>
      </c>
      <c r="C184" s="42" t="s">
        <v>284</v>
      </c>
      <c r="D184" s="42">
        <v>1520000</v>
      </c>
      <c r="E184" s="42" t="s">
        <v>218</v>
      </c>
      <c r="F184" s="42" t="s">
        <v>176</v>
      </c>
      <c r="G184" s="13">
        <v>42544.711944444447</v>
      </c>
    </row>
    <row r="185" spans="1:7" x14ac:dyDescent="0.25">
      <c r="A185" s="13">
        <v>42544.232546296298</v>
      </c>
      <c r="B185" s="42" t="s">
        <v>216</v>
      </c>
      <c r="C185" s="42" t="s">
        <v>232</v>
      </c>
      <c r="D185" s="42">
        <v>1110000</v>
      </c>
      <c r="E185" s="42" t="s">
        <v>174</v>
      </c>
      <c r="F185" s="42" t="s">
        <v>216</v>
      </c>
      <c r="G185" s="13">
        <v>42544.232546296298</v>
      </c>
    </row>
    <row r="186" spans="1:7" x14ac:dyDescent="0.25">
      <c r="A186" s="13">
        <v>42544.722812499997</v>
      </c>
      <c r="B186" s="42" t="s">
        <v>89</v>
      </c>
      <c r="C186" s="42" t="s">
        <v>413</v>
      </c>
      <c r="D186" s="42">
        <v>1090000</v>
      </c>
      <c r="E186" s="42" t="s">
        <v>140</v>
      </c>
      <c r="F186" s="42" t="s">
        <v>89</v>
      </c>
      <c r="G186" s="13">
        <v>42544.722812499997</v>
      </c>
    </row>
    <row r="187" spans="1:7" x14ac:dyDescent="0.25">
      <c r="A187" s="13">
        <v>42544.169398148151</v>
      </c>
      <c r="B187" s="42" t="s">
        <v>96</v>
      </c>
      <c r="C187" s="42" t="s">
        <v>227</v>
      </c>
      <c r="D187" s="42">
        <v>1840000</v>
      </c>
      <c r="E187" s="42" t="s">
        <v>304</v>
      </c>
      <c r="F187" s="42" t="s">
        <v>96</v>
      </c>
      <c r="G187" s="13">
        <v>42544.169398148151</v>
      </c>
    </row>
    <row r="188" spans="1:7" x14ac:dyDescent="0.25">
      <c r="A188" s="13">
        <v>42544.467395833337</v>
      </c>
      <c r="B188" s="42" t="s">
        <v>88</v>
      </c>
      <c r="C188" s="42" t="s">
        <v>311</v>
      </c>
      <c r="D188" s="42">
        <v>1090000</v>
      </c>
      <c r="E188" s="42" t="s">
        <v>140</v>
      </c>
      <c r="F188" s="42" t="s">
        <v>88</v>
      </c>
      <c r="G188" s="13">
        <v>42544.467395833337</v>
      </c>
    </row>
    <row r="189" spans="1:7" x14ac:dyDescent="0.25">
      <c r="A189" s="13">
        <v>42544.128252314818</v>
      </c>
      <c r="B189" s="42" t="s">
        <v>86</v>
      </c>
      <c r="C189" s="42" t="s">
        <v>224</v>
      </c>
      <c r="D189" s="42">
        <v>1840000</v>
      </c>
      <c r="E189" s="42" t="s">
        <v>304</v>
      </c>
      <c r="F189" s="42" t="s">
        <v>86</v>
      </c>
      <c r="G189" s="13">
        <v>42544.128252314818</v>
      </c>
    </row>
    <row r="190" spans="1:7" x14ac:dyDescent="0.25">
      <c r="A190" s="13">
        <v>42544.505358796298</v>
      </c>
      <c r="B190" s="42" t="s">
        <v>176</v>
      </c>
      <c r="C190" s="42" t="s">
        <v>253</v>
      </c>
      <c r="D190" s="42">
        <v>1460000</v>
      </c>
      <c r="E190" s="42" t="s">
        <v>306</v>
      </c>
      <c r="F190" s="42" t="s">
        <v>176</v>
      </c>
      <c r="G190" s="13">
        <v>42544.505358796298</v>
      </c>
    </row>
    <row r="191" spans="1:7" x14ac:dyDescent="0.25">
      <c r="A191" s="13">
        <v>42544.503009259257</v>
      </c>
      <c r="B191" s="42" t="s">
        <v>264</v>
      </c>
      <c r="C191" s="42" t="s">
        <v>414</v>
      </c>
      <c r="D191" s="42">
        <v>1140000</v>
      </c>
      <c r="E191" s="42" t="s">
        <v>90</v>
      </c>
      <c r="F191" s="42" t="s">
        <v>264</v>
      </c>
      <c r="G191" s="13">
        <v>42544.503009259257</v>
      </c>
    </row>
    <row r="192" spans="1:7" x14ac:dyDescent="0.25">
      <c r="A192" s="13">
        <v>42544.510370370372</v>
      </c>
      <c r="B192" s="42" t="s">
        <v>113</v>
      </c>
      <c r="C192" s="42" t="s">
        <v>308</v>
      </c>
      <c r="D192" s="42">
        <v>880000</v>
      </c>
      <c r="E192" s="42" t="s">
        <v>220</v>
      </c>
      <c r="F192" s="42" t="s">
        <v>113</v>
      </c>
      <c r="G192" s="13">
        <v>42544.510370370372</v>
      </c>
    </row>
    <row r="193" spans="1:7" x14ac:dyDescent="0.25">
      <c r="A193" s="13">
        <v>42544.462708333333</v>
      </c>
      <c r="B193" s="42" t="s">
        <v>176</v>
      </c>
      <c r="C193" s="42" t="s">
        <v>249</v>
      </c>
      <c r="D193" s="42">
        <v>1460000</v>
      </c>
      <c r="E193" s="42" t="s">
        <v>306</v>
      </c>
      <c r="F193" s="42" t="s">
        <v>176</v>
      </c>
      <c r="G193" s="13">
        <v>42544.462708333333</v>
      </c>
    </row>
    <row r="194" spans="1:7" x14ac:dyDescent="0.25">
      <c r="A194" s="13">
        <v>42544.558344907404</v>
      </c>
      <c r="B194" s="42" t="s">
        <v>86</v>
      </c>
      <c r="C194" s="42" t="s">
        <v>339</v>
      </c>
      <c r="D194" s="42">
        <v>1290000</v>
      </c>
      <c r="E194" s="42" t="s">
        <v>126</v>
      </c>
      <c r="F194" s="42" t="s">
        <v>86</v>
      </c>
      <c r="G194" s="13">
        <v>42544.558344907404</v>
      </c>
    </row>
    <row r="195" spans="1:7" x14ac:dyDescent="0.25">
      <c r="A195" s="13">
        <v>42544.413726851853</v>
      </c>
      <c r="B195" s="42" t="s">
        <v>217</v>
      </c>
      <c r="C195" s="42" t="s">
        <v>415</v>
      </c>
      <c r="D195" s="42">
        <v>2030000</v>
      </c>
      <c r="E195" s="42" t="s">
        <v>173</v>
      </c>
      <c r="F195" s="42" t="s">
        <v>217</v>
      </c>
      <c r="G195" s="13">
        <v>42544.413726851853</v>
      </c>
    </row>
    <row r="196" spans="1:7" x14ac:dyDescent="0.25">
      <c r="A196" s="13">
        <v>42544.570798611108</v>
      </c>
      <c r="B196" s="42" t="s">
        <v>215</v>
      </c>
      <c r="C196" s="42" t="s">
        <v>260</v>
      </c>
      <c r="D196" s="42">
        <v>400000</v>
      </c>
      <c r="E196" s="42" t="s">
        <v>346</v>
      </c>
      <c r="F196" s="42" t="s">
        <v>215</v>
      </c>
      <c r="G196" s="13">
        <v>42544.570798611108</v>
      </c>
    </row>
    <row r="197" spans="1:7" x14ac:dyDescent="0.25">
      <c r="A197" s="13">
        <v>42544.289375</v>
      </c>
      <c r="B197" s="42" t="s">
        <v>101</v>
      </c>
      <c r="C197" s="42" t="s">
        <v>416</v>
      </c>
      <c r="D197" s="42">
        <v>1840000</v>
      </c>
      <c r="E197" s="42" t="s">
        <v>304</v>
      </c>
      <c r="F197" s="42" t="s">
        <v>101</v>
      </c>
      <c r="G197" s="13">
        <v>42544.289375</v>
      </c>
    </row>
    <row r="198" spans="1:7" x14ac:dyDescent="0.25">
      <c r="A198" s="13">
        <v>42544.623692129629</v>
      </c>
      <c r="B198" s="42" t="s">
        <v>225</v>
      </c>
      <c r="C198" s="42" t="s">
        <v>269</v>
      </c>
      <c r="D198" s="42">
        <v>1990000</v>
      </c>
      <c r="E198" s="42" t="s">
        <v>172</v>
      </c>
      <c r="F198" s="42" t="s">
        <v>225</v>
      </c>
      <c r="G198" s="13">
        <v>42544.623692129629</v>
      </c>
    </row>
    <row r="199" spans="1:7" x14ac:dyDescent="0.25">
      <c r="A199" s="13">
        <v>42544.23646990741</v>
      </c>
      <c r="B199" s="42" t="s">
        <v>212</v>
      </c>
      <c r="C199" s="42" t="s">
        <v>386</v>
      </c>
      <c r="D199" s="42">
        <v>2030000</v>
      </c>
      <c r="E199" s="42" t="s">
        <v>173</v>
      </c>
      <c r="F199" s="42" t="s">
        <v>212</v>
      </c>
      <c r="G199" s="13">
        <v>42544.23646990741</v>
      </c>
    </row>
    <row r="200" spans="1:7" x14ac:dyDescent="0.25">
      <c r="A200" s="13">
        <v>42544.642962962964</v>
      </c>
      <c r="B200" s="42" t="s">
        <v>215</v>
      </c>
      <c r="C200" s="42" t="s">
        <v>275</v>
      </c>
      <c r="D200" s="42">
        <v>400000</v>
      </c>
      <c r="E200" s="42" t="s">
        <v>346</v>
      </c>
      <c r="F200" s="42" t="s">
        <v>215</v>
      </c>
      <c r="G200" s="13">
        <v>42544.642962962964</v>
      </c>
    </row>
    <row r="201" spans="1:7" x14ac:dyDescent="0.25">
      <c r="A201" s="13">
        <v>42544.194814814815</v>
      </c>
      <c r="B201" s="42" t="s">
        <v>217</v>
      </c>
      <c r="C201" s="42" t="s">
        <v>396</v>
      </c>
      <c r="D201" s="42">
        <v>2030000</v>
      </c>
      <c r="E201" s="42" t="s">
        <v>173</v>
      </c>
      <c r="F201" s="42" t="s">
        <v>217</v>
      </c>
      <c r="G201" s="13">
        <v>42544.194814814815</v>
      </c>
    </row>
    <row r="202" spans="1:7" x14ac:dyDescent="0.25">
      <c r="A202" s="59">
        <v>42544.674537037034</v>
      </c>
      <c r="B202" s="42" t="s">
        <v>70</v>
      </c>
      <c r="C202" s="42" t="s">
        <v>276</v>
      </c>
      <c r="D202" s="42">
        <v>1740000</v>
      </c>
      <c r="E202" s="42" t="s">
        <v>94</v>
      </c>
      <c r="F202" s="42" t="s">
        <v>70</v>
      </c>
      <c r="G202" s="59">
        <v>42544.674537037034</v>
      </c>
    </row>
    <row r="203" spans="1:7" x14ac:dyDescent="0.25">
      <c r="A203" s="13">
        <v>42544.55978009259</v>
      </c>
      <c r="B203" s="42" t="s">
        <v>113</v>
      </c>
      <c r="C203" s="42" t="s">
        <v>261</v>
      </c>
      <c r="D203" s="42">
        <v>880000</v>
      </c>
      <c r="E203" s="42" t="s">
        <v>220</v>
      </c>
      <c r="F203" s="42" t="s">
        <v>113</v>
      </c>
      <c r="G203" s="13">
        <v>42544.55978009259</v>
      </c>
    </row>
    <row r="204" spans="1:7" x14ac:dyDescent="0.25">
      <c r="A204" s="13">
        <v>42544.683530092596</v>
      </c>
      <c r="B204" s="42" t="s">
        <v>88</v>
      </c>
      <c r="C204" s="42" t="s">
        <v>277</v>
      </c>
      <c r="D204" s="42">
        <v>1090000</v>
      </c>
      <c r="E204" s="42" t="s">
        <v>140</v>
      </c>
      <c r="F204" s="42" t="s">
        <v>88</v>
      </c>
      <c r="G204" s="13">
        <v>42544.683530092596</v>
      </c>
    </row>
    <row r="205" spans="1:7" x14ac:dyDescent="0.25">
      <c r="A205" s="13">
        <v>42544.395532407405</v>
      </c>
      <c r="B205" s="42" t="s">
        <v>96</v>
      </c>
      <c r="C205" s="42" t="s">
        <v>357</v>
      </c>
      <c r="D205" s="42">
        <v>1840000</v>
      </c>
      <c r="E205" s="42" t="s">
        <v>304</v>
      </c>
      <c r="F205" s="42" t="s">
        <v>96</v>
      </c>
      <c r="G205" s="13">
        <v>42544.395532407405</v>
      </c>
    </row>
    <row r="206" spans="1:7" x14ac:dyDescent="0.25">
      <c r="A206" s="13">
        <v>42544.693460648145</v>
      </c>
      <c r="B206" s="42" t="s">
        <v>171</v>
      </c>
      <c r="C206" s="42" t="s">
        <v>282</v>
      </c>
      <c r="D206" s="42">
        <v>1520000</v>
      </c>
      <c r="E206" s="42" t="s">
        <v>218</v>
      </c>
      <c r="F206" s="42" t="s">
        <v>171</v>
      </c>
      <c r="G206" s="13">
        <v>42544.693460648145</v>
      </c>
    </row>
    <row r="207" spans="1:7" x14ac:dyDescent="0.25">
      <c r="A207" s="13">
        <v>42544.570960648147</v>
      </c>
      <c r="B207" s="42" t="s">
        <v>97</v>
      </c>
      <c r="C207" s="42" t="s">
        <v>417</v>
      </c>
      <c r="D207" s="42">
        <v>900000</v>
      </c>
      <c r="E207" s="42" t="s">
        <v>99</v>
      </c>
      <c r="F207" s="42" t="s">
        <v>97</v>
      </c>
      <c r="G207" s="13">
        <v>42544.570960648147</v>
      </c>
    </row>
    <row r="208" spans="1:7" x14ac:dyDescent="0.25">
      <c r="A208" s="13">
        <v>42544.79787037037</v>
      </c>
      <c r="B208" s="42" t="s">
        <v>70</v>
      </c>
      <c r="C208" s="42" t="s">
        <v>418</v>
      </c>
      <c r="D208" s="42">
        <v>1740000</v>
      </c>
      <c r="E208" s="42" t="s">
        <v>94</v>
      </c>
      <c r="F208" s="42" t="s">
        <v>70</v>
      </c>
      <c r="G208" s="13">
        <v>42544.79787037037</v>
      </c>
    </row>
    <row r="209" spans="1:7" x14ac:dyDescent="0.25">
      <c r="A209" s="13">
        <v>42544.566967592589</v>
      </c>
      <c r="B209" s="42" t="s">
        <v>171</v>
      </c>
      <c r="C209" s="42" t="s">
        <v>419</v>
      </c>
      <c r="D209" s="42">
        <v>1460000</v>
      </c>
      <c r="E209" s="42" t="s">
        <v>306</v>
      </c>
      <c r="F209" s="42" t="s">
        <v>171</v>
      </c>
      <c r="G209" s="13">
        <v>42544.566967592589</v>
      </c>
    </row>
    <row r="210" spans="1:7" x14ac:dyDescent="0.25">
      <c r="A210" s="13">
        <v>42544.809548611112</v>
      </c>
      <c r="B210" s="42" t="s">
        <v>114</v>
      </c>
      <c r="C210" s="42" t="s">
        <v>420</v>
      </c>
      <c r="D210" s="42">
        <v>2010000</v>
      </c>
      <c r="E210" s="42" t="s">
        <v>121</v>
      </c>
      <c r="F210" s="42" t="s">
        <v>114</v>
      </c>
      <c r="G210" s="13">
        <v>42544.809548611112</v>
      </c>
    </row>
    <row r="211" spans="1:7" x14ac:dyDescent="0.25">
      <c r="A211" s="13">
        <v>42544.55164351852</v>
      </c>
      <c r="B211" s="42" t="s">
        <v>225</v>
      </c>
      <c r="C211" s="42" t="s">
        <v>257</v>
      </c>
      <c r="D211" s="42">
        <v>1990000</v>
      </c>
      <c r="E211" s="42" t="s">
        <v>172</v>
      </c>
      <c r="F211" s="42" t="s">
        <v>225</v>
      </c>
      <c r="G211" s="13">
        <v>42544.55164351852</v>
      </c>
    </row>
    <row r="212" spans="1:7" x14ac:dyDescent="0.25">
      <c r="A212" s="13">
        <v>42544.826215277775</v>
      </c>
      <c r="B212" s="42" t="s">
        <v>95</v>
      </c>
      <c r="C212" s="42" t="s">
        <v>296</v>
      </c>
      <c r="D212" s="42">
        <v>1770000</v>
      </c>
      <c r="E212" s="42" t="s">
        <v>318</v>
      </c>
      <c r="F212" s="42" t="s">
        <v>95</v>
      </c>
      <c r="G212" s="13">
        <v>42544.826215277775</v>
      </c>
    </row>
    <row r="213" spans="1:7" x14ac:dyDescent="0.25">
      <c r="A213" s="13">
        <v>42544.549039351848</v>
      </c>
      <c r="B213" s="42" t="s">
        <v>258</v>
      </c>
      <c r="C213" s="42" t="s">
        <v>259</v>
      </c>
      <c r="D213" s="42">
        <v>1140000</v>
      </c>
      <c r="E213" s="42" t="s">
        <v>90</v>
      </c>
      <c r="F213" s="42" t="s">
        <v>258</v>
      </c>
      <c r="G213" s="13">
        <v>42544.549039351848</v>
      </c>
    </row>
    <row r="214" spans="1:7" x14ac:dyDescent="0.25">
      <c r="A214" s="13">
        <v>42544.875694444447</v>
      </c>
      <c r="B214" s="42" t="s">
        <v>176</v>
      </c>
      <c r="C214" s="42" t="s">
        <v>299</v>
      </c>
      <c r="D214" s="42">
        <v>1520000</v>
      </c>
      <c r="E214" s="42" t="s">
        <v>218</v>
      </c>
      <c r="F214" s="42" t="s">
        <v>176</v>
      </c>
      <c r="G214" s="13">
        <v>42544.875694444447</v>
      </c>
    </row>
    <row r="215" spans="1:7" x14ac:dyDescent="0.25">
      <c r="A215" s="13">
        <v>42544.528692129628</v>
      </c>
      <c r="B215" s="42" t="s">
        <v>171</v>
      </c>
      <c r="C215" s="42" t="s">
        <v>255</v>
      </c>
      <c r="D215" s="42">
        <v>1460000</v>
      </c>
      <c r="E215" s="42" t="s">
        <v>306</v>
      </c>
      <c r="F215" s="42" t="s">
        <v>171</v>
      </c>
      <c r="G215" s="13">
        <v>42544.528692129628</v>
      </c>
    </row>
    <row r="216" spans="1:7" x14ac:dyDescent="0.25">
      <c r="A216" s="13">
        <v>42544.922858796293</v>
      </c>
      <c r="B216" s="42" t="s">
        <v>95</v>
      </c>
      <c r="C216" s="42" t="s">
        <v>351</v>
      </c>
      <c r="D216" s="42">
        <v>1770000</v>
      </c>
      <c r="E216" s="42" t="s">
        <v>318</v>
      </c>
      <c r="F216" s="42" t="s">
        <v>95</v>
      </c>
      <c r="G216" s="13">
        <v>42544.922858796293</v>
      </c>
    </row>
    <row r="217" spans="1:7" x14ac:dyDescent="0.25">
      <c r="A217" s="13">
        <v>42544.414895833332</v>
      </c>
      <c r="B217" s="42" t="s">
        <v>113</v>
      </c>
      <c r="C217" s="42" t="s">
        <v>368</v>
      </c>
      <c r="D217" s="42">
        <v>1310000</v>
      </c>
      <c r="E217" s="42" t="s">
        <v>313</v>
      </c>
      <c r="F217" s="42" t="s">
        <v>113</v>
      </c>
      <c r="G217" s="13">
        <v>42544.414895833332</v>
      </c>
    </row>
    <row r="218" spans="1:7" x14ac:dyDescent="0.25">
      <c r="A218" s="13">
        <v>42544.933310185188</v>
      </c>
      <c r="B218" s="42" t="s">
        <v>225</v>
      </c>
      <c r="C218" s="42" t="s">
        <v>421</v>
      </c>
      <c r="D218" s="42">
        <v>2040000</v>
      </c>
      <c r="E218" s="42" t="s">
        <v>138</v>
      </c>
      <c r="F218" s="42" t="s">
        <v>225</v>
      </c>
      <c r="G218" s="13">
        <v>42544.933310185188</v>
      </c>
    </row>
    <row r="219" spans="1:7" x14ac:dyDescent="0.25">
      <c r="A219" s="13">
        <v>42544.339930555558</v>
      </c>
      <c r="B219" s="42" t="s">
        <v>262</v>
      </c>
      <c r="C219" s="42" t="s">
        <v>422</v>
      </c>
      <c r="D219" s="42">
        <v>1310000</v>
      </c>
      <c r="E219" s="42" t="s">
        <v>313</v>
      </c>
      <c r="F219" s="42" t="s">
        <v>262</v>
      </c>
      <c r="G219" s="13">
        <v>42544.339930555558</v>
      </c>
    </row>
    <row r="220" spans="1:7" x14ac:dyDescent="0.25">
      <c r="A220" s="13">
        <v>42544.950856481482</v>
      </c>
      <c r="B220" s="42" t="s">
        <v>97</v>
      </c>
      <c r="C220" s="42" t="s">
        <v>423</v>
      </c>
      <c r="D220" s="42">
        <v>1770000</v>
      </c>
      <c r="E220" s="42" t="s">
        <v>318</v>
      </c>
      <c r="F220" s="42" t="s">
        <v>97</v>
      </c>
      <c r="G220" s="13">
        <v>42544.950856481482</v>
      </c>
    </row>
    <row r="221" spans="1:7" x14ac:dyDescent="0.25">
      <c r="A221" s="13">
        <v>42544.309895833336</v>
      </c>
      <c r="B221" s="42" t="s">
        <v>216</v>
      </c>
      <c r="C221" s="42" t="s">
        <v>237</v>
      </c>
      <c r="D221" s="42">
        <v>1110000</v>
      </c>
      <c r="E221" s="42" t="s">
        <v>174</v>
      </c>
      <c r="F221" s="42" t="s">
        <v>216</v>
      </c>
      <c r="G221" s="13">
        <v>42544.309895833336</v>
      </c>
    </row>
    <row r="222" spans="1:7" x14ac:dyDescent="0.25">
      <c r="A222" s="13">
        <v>42545.015462962961</v>
      </c>
      <c r="B222" s="42" t="s">
        <v>225</v>
      </c>
      <c r="C222" s="42" t="s">
        <v>303</v>
      </c>
      <c r="D222" s="42">
        <v>1760000</v>
      </c>
      <c r="E222" s="42" t="s">
        <v>221</v>
      </c>
      <c r="F222" s="42" t="s">
        <v>225</v>
      </c>
      <c r="G222" s="13">
        <v>42545.015462962961</v>
      </c>
    </row>
    <row r="223" spans="1:7" x14ac:dyDescent="0.25">
      <c r="A223" s="13">
        <v>42544.532430555555</v>
      </c>
      <c r="B223" s="42" t="s">
        <v>216</v>
      </c>
      <c r="C223" s="42" t="s">
        <v>424</v>
      </c>
      <c r="D223" s="42">
        <v>400000</v>
      </c>
      <c r="E223" s="42" t="s">
        <v>346</v>
      </c>
      <c r="F223" s="42" t="s">
        <v>216</v>
      </c>
      <c r="G223" s="13">
        <v>42544.532430555555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144</v>
      </c>
      <c r="K1" s="67" t="s">
        <v>145</v>
      </c>
      <c r="L1" s="67" t="s">
        <v>146</v>
      </c>
      <c r="M1" s="42"/>
    </row>
    <row r="2" spans="1:13" ht="15.75" thickBot="1" x14ac:dyDescent="0.3">
      <c r="A2" s="24">
        <v>42544</v>
      </c>
      <c r="B2" s="9"/>
      <c r="C2" s="30">
        <v>50</v>
      </c>
      <c r="F2" t="s">
        <v>63</v>
      </c>
      <c r="J2" s="67" t="s">
        <v>144</v>
      </c>
      <c r="K2" s="67" t="s">
        <v>145</v>
      </c>
      <c r="L2" s="67" t="s">
        <v>146</v>
      </c>
      <c r="M2" s="42"/>
    </row>
    <row r="3" spans="1:13" x14ac:dyDescent="0.25">
      <c r="F3" t="s">
        <v>64</v>
      </c>
      <c r="J3" s="68" t="s">
        <v>147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148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149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150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151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152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153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154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155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156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157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158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2016-06-24T15:24:10Z</dcterms:modified>
</cp:coreProperties>
</file>