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Enforcements!$A$6:$N$35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 s="1"/>
  <c r="L10" i="3"/>
  <c r="L21" i="3"/>
  <c r="L26" i="3"/>
  <c r="L27" i="3"/>
  <c r="L9" i="3"/>
  <c r="L8" i="3"/>
  <c r="L23" i="3"/>
  <c r="L24" i="3"/>
  <c r="L25" i="3"/>
  <c r="L22" i="3"/>
  <c r="L7" i="3"/>
  <c r="P44" i="1"/>
  <c r="P36" i="1"/>
  <c r="P34" i="1"/>
  <c r="X14" i="1"/>
  <c r="W14" i="1"/>
  <c r="W31" i="1"/>
  <c r="W33" i="1"/>
  <c r="W38" i="1"/>
  <c r="T13" i="1"/>
  <c r="V13" i="1"/>
  <c r="X13" i="1"/>
  <c r="Y13" i="1"/>
  <c r="Z13" i="1"/>
  <c r="AA13" i="1" s="1"/>
  <c r="W13" i="1" s="1"/>
  <c r="AB13" i="1"/>
  <c r="AC13" i="1"/>
  <c r="T14" i="1"/>
  <c r="V14" i="1"/>
  <c r="Y14" i="1"/>
  <c r="Z14" i="1"/>
  <c r="U14" i="1" s="1"/>
  <c r="S14" i="1" s="1"/>
  <c r="AA14" i="1"/>
  <c r="AB14" i="1"/>
  <c r="AC14" i="1"/>
  <c r="T15" i="1"/>
  <c r="V15" i="1"/>
  <c r="X15" i="1"/>
  <c r="Y15" i="1"/>
  <c r="Z15" i="1"/>
  <c r="AA15" i="1"/>
  <c r="W15" i="1" s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A18" i="1" s="1"/>
  <c r="W18" i="1" s="1"/>
  <c r="AB18" i="1"/>
  <c r="AC18" i="1"/>
  <c r="T19" i="1"/>
  <c r="V19" i="1"/>
  <c r="X19" i="1"/>
  <c r="Y19" i="1"/>
  <c r="U19" i="1" s="1"/>
  <c r="S19" i="1" s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A21" i="1" s="1"/>
  <c r="W21" i="1" s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A23" i="1"/>
  <c r="W23" i="1" s="1"/>
  <c r="AB23" i="1"/>
  <c r="AC23" i="1"/>
  <c r="T24" i="1"/>
  <c r="V24" i="1"/>
  <c r="X24" i="1"/>
  <c r="Y24" i="1"/>
  <c r="Z24" i="1"/>
  <c r="AA24" i="1"/>
  <c r="W24" i="1" s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A27" i="1"/>
  <c r="W27" i="1" s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A29" i="1"/>
  <c r="W29" i="1" s="1"/>
  <c r="AB29" i="1"/>
  <c r="AC29" i="1"/>
  <c r="T30" i="1"/>
  <c r="V30" i="1"/>
  <c r="X30" i="1"/>
  <c r="Y30" i="1"/>
  <c r="Z30" i="1"/>
  <c r="AA30" i="1"/>
  <c r="W30" i="1" s="1"/>
  <c r="AB30" i="1"/>
  <c r="AC30" i="1"/>
  <c r="T31" i="1"/>
  <c r="V31" i="1"/>
  <c r="X31" i="1"/>
  <c r="Y31" i="1"/>
  <c r="Z31" i="1"/>
  <c r="AA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A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A38" i="1"/>
  <c r="AB38" i="1"/>
  <c r="AC38" i="1"/>
  <c r="T39" i="1"/>
  <c r="V39" i="1"/>
  <c r="X39" i="1"/>
  <c r="Y39" i="1"/>
  <c r="Z39" i="1"/>
  <c r="AA39" i="1"/>
  <c r="W39" i="1" s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A42" i="1" s="1"/>
  <c r="W42" i="1" s="1"/>
  <c r="AB42" i="1"/>
  <c r="AC42" i="1"/>
  <c r="T43" i="1"/>
  <c r="V43" i="1"/>
  <c r="X43" i="1"/>
  <c r="Y43" i="1"/>
  <c r="Z43" i="1"/>
  <c r="AB43" i="1"/>
  <c r="AC43" i="1"/>
  <c r="T44" i="1"/>
  <c r="V44" i="1"/>
  <c r="X44" i="1"/>
  <c r="Y44" i="1"/>
  <c r="AA44" i="1" s="1"/>
  <c r="W44" i="1" s="1"/>
  <c r="Z44" i="1"/>
  <c r="AB44" i="1"/>
  <c r="AC44" i="1"/>
  <c r="K13" i="1"/>
  <c r="L13" i="1"/>
  <c r="M13" i="1"/>
  <c r="N13" i="1" s="1"/>
  <c r="N5" i="1" s="1"/>
  <c r="K14" i="1"/>
  <c r="L14" i="1"/>
  <c r="M14" i="1"/>
  <c r="N14" i="1" s="1"/>
  <c r="J8" i="1" s="1"/>
  <c r="K15" i="1"/>
  <c r="L15" i="1"/>
  <c r="M15" i="1"/>
  <c r="N15" i="1"/>
  <c r="O5" i="1" s="1"/>
  <c r="K16" i="1"/>
  <c r="L16" i="1"/>
  <c r="M16" i="1"/>
  <c r="N16" i="1" s="1"/>
  <c r="K17" i="1"/>
  <c r="L17" i="1"/>
  <c r="M17" i="1"/>
  <c r="N17" i="1"/>
  <c r="K18" i="1"/>
  <c r="L18" i="1"/>
  <c r="M18" i="1"/>
  <c r="N18" i="1" s="1"/>
  <c r="K19" i="1"/>
  <c r="L19" i="1"/>
  <c r="M19" i="1"/>
  <c r="N19" i="1" s="1"/>
  <c r="K20" i="1"/>
  <c r="L20" i="1"/>
  <c r="M20" i="1"/>
  <c r="N20" i="1"/>
  <c r="K21" i="1"/>
  <c r="L21" i="1"/>
  <c r="M21" i="1"/>
  <c r="N21" i="1" s="1"/>
  <c r="K22" i="1"/>
  <c r="L22" i="1"/>
  <c r="M22" i="1"/>
  <c r="N22" i="1" s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J7" i="1" s="1"/>
  <c r="K30" i="1"/>
  <c r="L30" i="1"/>
  <c r="M30" i="1"/>
  <c r="N30" i="1"/>
  <c r="K31" i="1"/>
  <c r="L31" i="1"/>
  <c r="M31" i="1"/>
  <c r="N31" i="1" s="1"/>
  <c r="K32" i="1"/>
  <c r="L32" i="1"/>
  <c r="M32" i="1"/>
  <c r="N32" i="1" s="1"/>
  <c r="K33" i="1"/>
  <c r="L33" i="1"/>
  <c r="M33" i="1"/>
  <c r="N33" i="1"/>
  <c r="K34" i="1"/>
  <c r="L34" i="1"/>
  <c r="M34" i="1"/>
  <c r="K35" i="1"/>
  <c r="L35" i="1"/>
  <c r="M35" i="1"/>
  <c r="N35" i="1"/>
  <c r="K36" i="1"/>
  <c r="L36" i="1"/>
  <c r="M36" i="1"/>
  <c r="K37" i="1"/>
  <c r="L37" i="1"/>
  <c r="M37" i="1"/>
  <c r="N37" i="1" s="1"/>
  <c r="K38" i="1"/>
  <c r="L38" i="1"/>
  <c r="M38" i="1"/>
  <c r="N38" i="1"/>
  <c r="K39" i="1"/>
  <c r="L39" i="1"/>
  <c r="M39" i="1"/>
  <c r="N39" i="1" s="1"/>
  <c r="K40" i="1"/>
  <c r="L40" i="1"/>
  <c r="M40" i="1"/>
  <c r="N40" i="1" s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J5" i="1" l="1"/>
  <c r="AA25" i="1"/>
  <c r="W25" i="1" s="1"/>
  <c r="J4" i="1"/>
  <c r="U28" i="1"/>
  <c r="S28" i="1" s="1"/>
  <c r="AA36" i="1"/>
  <c r="W36" i="1" s="1"/>
  <c r="U20" i="1"/>
  <c r="S20" i="1" s="1"/>
  <c r="U26" i="1"/>
  <c r="S26" i="1" s="1"/>
  <c r="U22" i="1"/>
  <c r="S22" i="1" s="1"/>
  <c r="U41" i="1"/>
  <c r="S41" i="1" s="1"/>
  <c r="M5" i="1"/>
  <c r="U30" i="1"/>
  <c r="S30" i="1" s="1"/>
  <c r="U33" i="1"/>
  <c r="S33" i="1" s="1"/>
  <c r="AA17" i="1"/>
  <c r="W17" i="1" s="1"/>
  <c r="U25" i="1"/>
  <c r="S25" i="1" s="1"/>
  <c r="U31" i="1"/>
  <c r="S31" i="1" s="1"/>
  <c r="U37" i="1"/>
  <c r="S37" i="1" s="1"/>
  <c r="AA32" i="1"/>
  <c r="W32" i="1" s="1"/>
  <c r="AA16" i="1"/>
  <c r="W16" i="1" s="1"/>
  <c r="U40" i="1"/>
  <c r="S40" i="1" s="1"/>
  <c r="U43" i="1"/>
  <c r="S43" i="1" s="1"/>
  <c r="U24" i="1"/>
  <c r="S24" i="1" s="1"/>
  <c r="AA19" i="1"/>
  <c r="W19" i="1" s="1"/>
  <c r="U34" i="1"/>
  <c r="S34" i="1" s="1"/>
  <c r="AA41" i="1"/>
  <c r="W41" i="1" s="1"/>
  <c r="U15" i="1"/>
  <c r="S15" i="1" s="1"/>
  <c r="U36" i="1"/>
  <c r="S36" i="1" s="1"/>
  <c r="U27" i="1"/>
  <c r="S27" i="1" s="1"/>
  <c r="AA20" i="1"/>
  <c r="W20" i="1" s="1"/>
  <c r="U35" i="1"/>
  <c r="S35" i="1" s="1"/>
  <c r="U29" i="1"/>
  <c r="S29" i="1" s="1"/>
  <c r="U23" i="1"/>
  <c r="S23" i="1" s="1"/>
  <c r="U17" i="1"/>
  <c r="S17" i="1" s="1"/>
  <c r="U18" i="1"/>
  <c r="S18" i="1" s="1"/>
  <c r="U21" i="1"/>
  <c r="S21" i="1" s="1"/>
  <c r="U39" i="1"/>
  <c r="S39" i="1" s="1"/>
  <c r="AA34" i="1"/>
  <c r="W34" i="1" s="1"/>
  <c r="U13" i="1"/>
  <c r="S13" i="1" s="1"/>
  <c r="U38" i="1"/>
  <c r="S38" i="1" s="1"/>
  <c r="U16" i="1"/>
  <c r="S16" i="1" s="1"/>
  <c r="U42" i="1"/>
  <c r="S42" i="1" s="1"/>
  <c r="AA28" i="1"/>
  <c r="W28" i="1" s="1"/>
  <c r="U44" i="1"/>
  <c r="S44" i="1" s="1"/>
  <c r="AA43" i="1"/>
  <c r="W43" i="1" s="1"/>
  <c r="AA40" i="1"/>
  <c r="W40" i="1" s="1"/>
  <c r="U32" i="1"/>
  <c r="S32" i="1" s="1"/>
  <c r="AA22" i="1"/>
  <c r="W22" i="1" s="1"/>
  <c r="AA35" i="1"/>
  <c r="W35" i="1" s="1"/>
  <c r="AA37" i="1"/>
  <c r="W37" i="1" s="1"/>
  <c r="AA26" i="1"/>
  <c r="W26" i="1" s="1"/>
  <c r="O6" i="1"/>
  <c r="N6" i="1"/>
  <c r="J6" i="1"/>
  <c r="I2" i="1"/>
  <c r="M6" i="1"/>
  <c r="M14" i="5" l="1"/>
  <c r="M13" i="5"/>
  <c r="M12" i="5"/>
  <c r="M11" i="5"/>
  <c r="M10" i="5"/>
  <c r="M9" i="5"/>
  <c r="M8" i="5"/>
  <c r="M7" i="5"/>
  <c r="M6" i="5"/>
  <c r="M5" i="5"/>
  <c r="M4" i="5"/>
  <c r="M3" i="5"/>
  <c r="Q13" i="3" l="1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L17" i="3"/>
  <c r="L28" i="3"/>
  <c r="L18" i="3"/>
  <c r="L14" i="3"/>
  <c r="L35" i="3"/>
  <c r="L12" i="3"/>
  <c r="L20" i="3"/>
  <c r="L29" i="3"/>
  <c r="L30" i="3"/>
  <c r="L19" i="3"/>
  <c r="L31" i="3"/>
  <c r="L32" i="3"/>
  <c r="L16" i="3"/>
  <c r="L13" i="3"/>
  <c r="L11" i="3"/>
  <c r="L33" i="3"/>
  <c r="L34" i="3"/>
  <c r="L15" i="3"/>
  <c r="E6" i="6"/>
  <c r="F6" i="6"/>
  <c r="G6" i="6"/>
  <c r="E3" i="6"/>
  <c r="F3" i="6"/>
  <c r="G3" i="6"/>
  <c r="E4" i="6"/>
  <c r="F4" i="6"/>
  <c r="G4" i="6"/>
  <c r="E5" i="6"/>
  <c r="F5" i="6"/>
  <c r="G5" i="6"/>
  <c r="E7" i="6"/>
  <c r="F7" i="6"/>
  <c r="G7" i="6"/>
  <c r="E8" i="6"/>
  <c r="F8" i="6"/>
  <c r="G8" i="6"/>
  <c r="E9" i="6"/>
  <c r="F9" i="6"/>
  <c r="G9" i="6"/>
  <c r="E10" i="6"/>
  <c r="F10" i="6"/>
  <c r="G10" i="6"/>
  <c r="Q7" i="3" l="1"/>
  <c r="Q8" i="3"/>
  <c r="Q9" i="3"/>
  <c r="Q10" i="3"/>
  <c r="Q11" i="3"/>
  <c r="Q12" i="3"/>
  <c r="P26" i="3" l="1"/>
  <c r="P31" i="3" l="1"/>
  <c r="P35" i="3"/>
  <c r="P15" i="3"/>
  <c r="P30" i="3"/>
  <c r="P18" i="3"/>
  <c r="P19" i="3"/>
  <c r="P22" i="3"/>
  <c r="P11" i="3"/>
  <c r="P29" i="3"/>
  <c r="P28" i="3"/>
  <c r="P23" i="3"/>
  <c r="P20" i="3"/>
  <c r="P21" i="3"/>
  <c r="P10" i="3"/>
  <c r="P27" i="3"/>
  <c r="P33" i="3"/>
  <c r="P34" i="3"/>
  <c r="P32" i="3"/>
  <c r="P25" i="3"/>
  <c r="P24" i="3"/>
  <c r="P17" i="3"/>
  <c r="P16" i="3"/>
  <c r="P13" i="3"/>
  <c r="P14" i="3"/>
  <c r="P8" i="3"/>
  <c r="P9" i="3"/>
  <c r="P7" i="3"/>
  <c r="P12" i="3"/>
  <c r="O8" i="1" l="1"/>
  <c r="N8" i="1"/>
  <c r="J9" i="1" l="1"/>
  <c r="M8" i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<sst xmlns="http://schemas.openxmlformats.org/spreadsheetml/2006/main" count="1324" uniqueCount="372">
  <si>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</si>
  <si>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</si>
  <si>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</si>
  <si>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</si>
  <si>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</si>
  <si>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</si>
  <si>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</si>
  <si>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</si>
  <si>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</si>
  <si>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</si>
  <si>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</si>
  <si>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</si>
  <si>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</si>
  <si>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</si>
  <si>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</si>
  <si>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</si>
  <si>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</si>
  <si>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</si>
  <si>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</si>
  <si>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</si>
  <si>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</si>
  <si>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</si>
  <si>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</si>
  <si>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</si>
  <si>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</si>
  <si>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</si>
  <si>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</si>
  <si>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</si>
  <si>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</si>
  <si>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</si>
  <si>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</si>
  <si>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</si>
  <si>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</si>
  <si>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</si>
  <si>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</si>
  <si>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</si>
  <si>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</si>
  <si>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</si>
  <si>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</si>
  <si>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</si>
  <si>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</si>
  <si>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</si>
  <si>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</si>
  <si>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</si>
  <si>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</si>
  <si>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</si>
  <si>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</si>
  <si>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</si>
  <si>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</si>
  <si>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</si>
  <si>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</si>
  <si>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</si>
  <si>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</si>
  <si>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</si>
  <si>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</si>
  <si>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</si>
  <si>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</si>
  <si>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</si>
  <si>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</si>
  <si>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</si>
  <si>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</si>
  <si>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</si>
  <si>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</si>
  <si>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</si>
  <si>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</si>
  <si>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</si>
  <si>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</si>
  <si>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rtdc.l.rtdc.4043:itc</t>
  </si>
  <si>
    <t>rtdc.l.rtdc.4019:itc</t>
  </si>
  <si>
    <t>rtdc.l.rtdc.4020:itc</t>
  </si>
  <si>
    <t>rtdc.l.rtdc.4018:itc</t>
  </si>
  <si>
    <t>rtdc.l.rtdc.4017:itc</t>
  </si>
  <si>
    <t>rtdc.l.rtdc.4023:itc</t>
  </si>
  <si>
    <t>YOUNG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</si>
  <si>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</si>
  <si>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</si>
  <si>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</si>
  <si>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</si>
  <si>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</si>
  <si>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</si>
  <si>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</si>
  <si>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</si>
  <si>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</si>
  <si>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</si>
  <si>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Possible Explanation</t>
  </si>
  <si>
    <t>Recorded Operator</t>
  </si>
  <si>
    <t>Trip ID</t>
  </si>
  <si>
    <t># Of Times Offered</t>
  </si>
  <si>
    <t>Loco</t>
  </si>
  <si>
    <t>rtdc.l.rtdc.4025:itc</t>
  </si>
  <si>
    <t>rtdc.l.rtdc.4026:itc</t>
  </si>
  <si>
    <t>rtdc.l.rtdc.4011:itc</t>
  </si>
  <si>
    <t>rtdc.l.rtdc.4041:itc</t>
  </si>
  <si>
    <t>rtdc.l.rtdc.4042:itc</t>
  </si>
  <si>
    <t>rtdc.l.rtdc.4012:itc</t>
  </si>
  <si>
    <t>MAELZER</t>
  </si>
  <si>
    <t>Recorded Loco</t>
  </si>
  <si>
    <t>Recorded time</t>
  </si>
  <si>
    <t>LOCKLEAR</t>
  </si>
  <si>
    <t>COOLAHAN</t>
  </si>
  <si>
    <t>ACKERMAN</t>
  </si>
  <si>
    <t>STURGEON</t>
  </si>
  <si>
    <t>Xing Completion Percentage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</si>
  <si>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</si>
  <si>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</si>
  <si>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</si>
  <si>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</si>
  <si>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</si>
  <si>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</si>
  <si>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</si>
  <si>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</si>
  <si>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</si>
  <si>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</si>
  <si>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</si>
  <si>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</si>
  <si>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</si>
  <si>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</si>
  <si>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</si>
  <si>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</si>
  <si>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</si>
  <si>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</si>
  <si>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</si>
  <si>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</si>
  <si>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</si>
  <si>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</si>
  <si>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</si>
  <si>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202-21</t>
  </si>
  <si>
    <t>204-21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</si>
  <si>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</si>
  <si>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</si>
  <si>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</si>
  <si>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</si>
  <si>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</si>
  <si>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</si>
  <si>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</si>
  <si>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</si>
  <si>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</si>
  <si>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</si>
  <si>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</si>
  <si>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</si>
  <si>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</si>
  <si>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</si>
  <si>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</si>
  <si>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</si>
  <si>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</si>
  <si>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</si>
  <si>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</si>
  <si>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</si>
  <si>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</si>
  <si>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</si>
  <si>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</si>
  <si>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</si>
  <si>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</si>
  <si>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</si>
  <si>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233-21</t>
  </si>
  <si>
    <t>234-21</t>
  </si>
  <si>
    <t>235-21</t>
  </si>
  <si>
    <t>236-21</t>
  </si>
  <si>
    <t>237-21</t>
  </si>
  <si>
    <t>238-21</t>
  </si>
  <si>
    <t>239-21</t>
  </si>
  <si>
    <t>240-21</t>
  </si>
  <si>
    <t>241-21</t>
  </si>
  <si>
    <t>242-21</t>
  </si>
  <si>
    <t>243-21</t>
  </si>
  <si>
    <t>244-21</t>
  </si>
  <si>
    <t>830-21</t>
  </si>
  <si>
    <t>833-21</t>
  </si>
  <si>
    <t>834-21</t>
  </si>
  <si>
    <t>837-21</t>
  </si>
  <si>
    <t>838-21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</si>
  <si>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</si>
  <si>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</si>
  <si>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</si>
  <si>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</si>
  <si>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</si>
  <si>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</si>
  <si>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</si>
  <si>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</si>
  <si>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</si>
  <si>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</si>
  <si>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</si>
  <si>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</si>
  <si>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</si>
  <si>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</si>
  <si>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</si>
  <si>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</si>
  <si>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</si>
  <si>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</si>
  <si>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</si>
  <si>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</si>
  <si>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</si>
  <si>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</si>
  <si>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</si>
  <si>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</si>
  <si>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</si>
  <si>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</si>
  <si>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</si>
  <si>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</si>
  <si>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</si>
  <si>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</si>
  <si>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</si>
  <si>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</si>
  <si>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</si>
  <si>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</si>
  <si>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</si>
  <si>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</si>
  <si>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</si>
  <si>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</si>
  <si>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</si>
  <si>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</si>
  <si>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</si>
  <si>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</si>
  <si>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</si>
  <si>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</si>
  <si>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</si>
  <si>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</si>
  <si>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149-21</t>
  </si>
  <si>
    <t>150-21</t>
  </si>
  <si>
    <t>151-21</t>
  </si>
  <si>
    <t>152-21</t>
  </si>
  <si>
    <t>153-21</t>
  </si>
  <si>
    <t>154-21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</si>
  <si>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</si>
  <si>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</si>
  <si>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</si>
  <si>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</si>
  <si>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</si>
  <si>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</si>
  <si>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</si>
  <si>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</si>
  <si>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</si>
  <si>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</si>
  <si>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</si>
  <si>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</si>
  <si>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168-21</t>
  </si>
  <si>
    <t>169-21</t>
  </si>
  <si>
    <t>170-21</t>
  </si>
  <si>
    <t>171-21</t>
  </si>
  <si>
    <t>172-21</t>
  </si>
  <si>
    <t>173-21</t>
  </si>
  <si>
    <t>174-21</t>
  </si>
  <si>
    <t>175-21</t>
  </si>
  <si>
    <t>176-21</t>
  </si>
  <si>
    <t>177-21</t>
  </si>
  <si>
    <t>180-21</t>
  </si>
  <si>
    <t>181-21</t>
  </si>
  <si>
    <t>182-21</t>
  </si>
  <si>
    <t>183-21</t>
  </si>
  <si>
    <t>185-21</t>
  </si>
  <si>
    <t>186-21</t>
  </si>
  <si>
    <t>188-21</t>
  </si>
  <si>
    <t>189-21</t>
  </si>
  <si>
    <t>191-21</t>
  </si>
  <si>
    <t>192-21</t>
  </si>
  <si>
    <t>193-21</t>
  </si>
  <si>
    <t>194-21</t>
  </si>
  <si>
    <t>195-21</t>
  </si>
  <si>
    <t>196-21</t>
  </si>
  <si>
    <t>197-21</t>
  </si>
  <si>
    <t>198-21</t>
  </si>
  <si>
    <t>199-21</t>
  </si>
  <si>
    <t>201-21</t>
  </si>
  <si>
    <t>203-21</t>
  </si>
  <si>
    <t>800-21</t>
  </si>
  <si>
    <t>801-21</t>
  </si>
  <si>
    <t>802-21</t>
  </si>
  <si>
    <t>803-21</t>
  </si>
  <si>
    <t>804-21</t>
  </si>
  <si>
    <t>805-21</t>
  </si>
  <si>
    <t>806-21</t>
  </si>
  <si>
    <t>807-21</t>
  </si>
  <si>
    <t>808-21</t>
  </si>
  <si>
    <t>809-21</t>
  </si>
  <si>
    <t>810-21</t>
  </si>
  <si>
    <t>811-21</t>
  </si>
  <si>
    <t>812-21</t>
  </si>
  <si>
    <t>813-21</t>
  </si>
  <si>
    <t>814-21</t>
  </si>
  <si>
    <t>815-21</t>
  </si>
  <si>
    <t>816-21</t>
  </si>
  <si>
    <t>819-21</t>
  </si>
  <si>
    <t>820-21</t>
  </si>
  <si>
    <t>821-21</t>
  </si>
  <si>
    <t>822-21</t>
  </si>
  <si>
    <t>823-21</t>
  </si>
  <si>
    <t>824-21</t>
  </si>
  <si>
    <t>825-21</t>
  </si>
  <si>
    <t>826-21</t>
  </si>
  <si>
    <t>829-21</t>
  </si>
  <si>
    <t>111-21</t>
  </si>
  <si>
    <t>148-21</t>
  </si>
  <si>
    <t>155-21</t>
  </si>
  <si>
    <t>178-21</t>
  </si>
  <si>
    <t>179-21</t>
  </si>
  <si>
    <t>184-21</t>
  </si>
  <si>
    <t>187-21</t>
  </si>
  <si>
    <t>190-21</t>
  </si>
  <si>
    <t>200-21</t>
  </si>
  <si>
    <t>205-21</t>
  </si>
  <si>
    <t>232-21</t>
  </si>
  <si>
    <t>rtdc.l.rtdc.4028:itc</t>
  </si>
  <si>
    <t>RIVERA</t>
  </si>
  <si>
    <t>DAVIS</t>
  </si>
  <si>
    <t>KILLION</t>
  </si>
  <si>
    <t>STARKS</t>
  </si>
  <si>
    <t>NEWELL</t>
  </si>
  <si>
    <t>ADANE</t>
  </si>
  <si>
    <t>LEVERE</t>
  </si>
  <si>
    <t>NATION</t>
  </si>
  <si>
    <t>rtdc.l.rtdc.4027:itc</t>
  </si>
  <si>
    <t>BONDS</t>
  </si>
  <si>
    <t>GEBRETEKLE</t>
  </si>
  <si>
    <t>ALONZO</t>
  </si>
  <si>
    <t>Y</t>
  </si>
  <si>
    <t>N</t>
  </si>
  <si>
    <t>Possible System Enforcement</t>
  </si>
  <si>
    <t>Training enforcement</t>
  </si>
  <si>
    <t>300:58609</t>
  </si>
  <si>
    <t>204:504</t>
  </si>
  <si>
    <t>204:793</t>
  </si>
  <si>
    <t>300:58939</t>
  </si>
  <si>
    <t>300:58628</t>
  </si>
  <si>
    <t>204:113</t>
  </si>
  <si>
    <t>204:403</t>
  </si>
  <si>
    <t>300:58624</t>
  </si>
  <si>
    <t>300:12821</t>
  </si>
  <si>
    <t>300:58606</t>
  </si>
  <si>
    <t>204:61</t>
  </si>
  <si>
    <t>204:357</t>
  </si>
  <si>
    <t>300:58920</t>
  </si>
  <si>
    <t>300:58611</t>
  </si>
  <si>
    <t>204:628</t>
  </si>
  <si>
    <t>204:955</t>
  </si>
  <si>
    <t>300:58899</t>
  </si>
  <si>
    <t>300:58587</t>
  </si>
  <si>
    <t>204:838</t>
  </si>
  <si>
    <t>204:922</t>
  </si>
  <si>
    <t>300:58922</t>
  </si>
  <si>
    <t>204:621</t>
  </si>
  <si>
    <t>204:1121</t>
  </si>
  <si>
    <t>300:58897</t>
  </si>
  <si>
    <t>300:58585</t>
  </si>
  <si>
    <t>204:841</t>
  </si>
  <si>
    <t>204:915</t>
  </si>
  <si>
    <t>300:58931</t>
  </si>
  <si>
    <t>300:58623</t>
  </si>
  <si>
    <t>204:614</t>
  </si>
  <si>
    <t>204:1128</t>
  </si>
  <si>
    <t>300:58598</t>
  </si>
  <si>
    <t>204:867</t>
  </si>
  <si>
    <t>204:1126</t>
  </si>
  <si>
    <t>300:58912</t>
  </si>
  <si>
    <t>300:58596</t>
  </si>
  <si>
    <t>204:829</t>
  </si>
  <si>
    <t>300:58600</t>
  </si>
  <si>
    <t>204:408</t>
  </si>
  <si>
    <t>204:1135</t>
  </si>
  <si>
    <t>300:58924</t>
  </si>
  <si>
    <t>300:58602</t>
  </si>
  <si>
    <t>204:926</t>
  </si>
  <si>
    <t>204:1242</t>
  </si>
  <si>
    <t>204:981</t>
  </si>
  <si>
    <t>300:58538</t>
  </si>
  <si>
    <t>204:703</t>
  </si>
  <si>
    <t>204:969</t>
  </si>
  <si>
    <t>300:22667</t>
  </si>
  <si>
    <t>300:58594</t>
  </si>
  <si>
    <t>204:617</t>
  </si>
  <si>
    <t>204:909</t>
  </si>
  <si>
    <t>300:58948</t>
  </si>
  <si>
    <t>204:923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</si>
</sst>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4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4"/>
  <sheetViews>
    <sheetView showGridLines="0" tabSelected="1" zoomScale="85" zoomScaleNormal="85" workbookViewId="0">
      <selection activeCell="Q11" sqref="Q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3">
        <f>Variables!A2</f>
        <v>42542</v>
      </c>
      <c r="J2" s="84"/>
      <c r="K2" s="52"/>
      <c r="L2" s="52"/>
      <c r="M2" s="85" t="s">
        <v>8</v>
      </c>
      <c r="N2" s="86"/>
      <c r="O2" s="87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8" t="s">
        <v>10</v>
      </c>
      <c r="J3" s="89"/>
      <c r="K3" s="75"/>
      <c r="L3" s="75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COUNT(N13:P44)</f>
        <v>32</v>
      </c>
      <c r="K4" s="3"/>
      <c r="L4" s="3"/>
      <c r="M4" s="47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COUNT(N13:N44)</f>
        <v>28</v>
      </c>
      <c r="K5" s="3"/>
      <c r="L5" s="3"/>
      <c r="M5" s="47">
        <f>AVERAGE(N13:O44)</f>
        <v>18.468452381119796</v>
      </c>
      <c r="N5" s="5">
        <f>MIN(N13:O44)</f>
        <v>12.499999998835847</v>
      </c>
      <c r="O5" s="6">
        <f>MAX(N13:O44)</f>
        <v>37.800000003771856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COUNT(#REF!)</f>
        <v>0</v>
      </c>
      <c r="K6" s="3"/>
      <c r="L6" s="3"/>
      <c r="M6" s="47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COUNT(P13:P44)</f>
        <v>4</v>
      </c>
      <c r="K7" s="3"/>
      <c r="L7" s="3"/>
      <c r="M7" s="47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COUNT(N13:N44)</f>
        <v>28</v>
      </c>
      <c r="K8" s="3"/>
      <c r="L8" s="3"/>
      <c r="M8" s="47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0.875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2" t="str">
        <f>"Eagle P3 System Performance - "&amp;TEXT(Variables!A2,"yyyy-mm-dd")</f>
        <v>Eagle P3 System Performance - 2016-06-21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102</v>
      </c>
      <c r="T12" s="9" t="s">
        <v>109</v>
      </c>
      <c r="U12" s="9" t="s">
        <v>110</v>
      </c>
      <c r="V12" s="48" t="s">
        <v>45</v>
      </c>
      <c r="W12" s="48" t="s">
        <v>23</v>
      </c>
      <c r="X12" s="48" t="s">
        <v>49</v>
      </c>
      <c r="Y12" s="48" t="s">
        <v>20</v>
      </c>
      <c r="Z12" s="48" t="s">
        <v>21</v>
      </c>
      <c r="AA12" s="48" t="s">
        <v>22</v>
      </c>
      <c r="AB12" s="49" t="s">
        <v>39</v>
      </c>
      <c r="AC12" s="49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264</v>
      </c>
      <c r="B13" s="43">
        <v>4043</v>
      </c>
      <c r="C13" s="43" t="s">
        <v>60</v>
      </c>
      <c r="D13" s="43" t="s">
        <v>327</v>
      </c>
      <c r="E13" s="25">
        <v>42542.209085648145</v>
      </c>
      <c r="F13" s="25">
        <v>42542.210011574076</v>
      </c>
      <c r="G13" s="31">
        <v>1</v>
      </c>
      <c r="H13" s="25" t="s">
        <v>328</v>
      </c>
      <c r="I13" s="25">
        <v>42542.225231481483</v>
      </c>
      <c r="J13" s="43">
        <v>0</v>
      </c>
      <c r="K13" s="43" t="str">
        <f>IF(ISEVEN(B13),(B13-1)&amp;"/"&amp;B13,B13&amp;"/"&amp;(B13+1))</f>
        <v>4043/4044</v>
      </c>
      <c r="L13" s="43" t="str">
        <f>VLOOKUP(A13,'Trips&amp;Operators'!$C$1:$E$10000,3,FALSE)</f>
        <v>GOODNIGHT</v>
      </c>
      <c r="M13" s="11">
        <f>I13-F13</f>
        <v>1.5219907407299615E-2</v>
      </c>
      <c r="N13" s="12">
        <f>24*60*SUM($M13:$M13)</f>
        <v>21.916666666511446</v>
      </c>
      <c r="O13" s="12"/>
      <c r="P13" s="12"/>
      <c r="Q13" s="44"/>
      <c r="R13" s="44"/>
      <c r="S13" s="72">
        <f>SUM(U13:U13)/12</f>
        <v>0.58333333333333337</v>
      </c>
      <c r="T13" s="2" t="str">
        <f>IF(ISEVEN(LEFT(A13,3)),"Southbound","NorthBound")</f>
        <v>Southbound</v>
      </c>
      <c r="U13" s="2">
        <f>COUNTIFS(Variables!$M$2:$M$19, "&lt;=" &amp; Y13, Variables!$M$2:$M$19, "&gt;=" &amp; Z13)</f>
        <v>7</v>
      </c>
      <c r="V13" s="50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https://search-rtdc-monitor-bjffxe2xuh6vdkpspy63sjmuny.us-east-1.es.amazonaws.com/_plugin/kibana/#/discover/Steve-Slow-Train-Analysis-(2080s-and-2083s)?_g=(refreshInterval:(display:Off,section:0,value:0),time:(from:'2016-06-21 05:00:05-0600',mode:absolute,to:'2016-06-21 05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" s="50" t="str">
        <f>IF(AA13&lt;5.7,"Y","N")</f>
        <v>N</v>
      </c>
      <c r="X13" s="50" t="e">
        <f>VALUE(LEFT(A13,3))-VALUE(LEFT(#REF!,3))</f>
        <v>#REF!</v>
      </c>
      <c r="Y13" s="50">
        <f>RIGHT(D13,LEN(D13)-4)/10000</f>
        <v>5.8605999999999998</v>
      </c>
      <c r="Z13" s="50">
        <f>RIGHT(H13,LEN(H13)-4)/10000</f>
        <v>6.1000000000000004E-3</v>
      </c>
      <c r="AA13" s="50">
        <f>ABS(Z13-Y13)</f>
        <v>5.8544999999999998</v>
      </c>
      <c r="AB13" s="51" t="e">
        <f>VLOOKUP(A13,Enforcements!$C$7:$J$35,8,0)</f>
        <v>#N/A</v>
      </c>
      <c r="AC13" s="51" t="e">
        <f>VLOOKUP(A13,Enforcements!$C$7:$E$35,3,0)</f>
        <v>#N/A</v>
      </c>
    </row>
    <row r="14" spans="1:91" s="2" customFormat="1" x14ac:dyDescent="0.25">
      <c r="A14" s="43" t="s">
        <v>265</v>
      </c>
      <c r="B14" s="43">
        <v>4044</v>
      </c>
      <c r="C14" s="43" t="s">
        <v>60</v>
      </c>
      <c r="D14" s="43" t="s">
        <v>329</v>
      </c>
      <c r="E14" s="25">
        <v>42542.240856481483</v>
      </c>
      <c r="F14" s="25">
        <v>42542.242071759261</v>
      </c>
      <c r="G14" s="31">
        <v>1</v>
      </c>
      <c r="H14" s="25" t="s">
        <v>330</v>
      </c>
      <c r="I14" s="25">
        <v>42542.253611111111</v>
      </c>
      <c r="J14" s="43">
        <v>1</v>
      </c>
      <c r="K14" s="43" t="str">
        <f>IF(ISEVEN(B14),(B14-1)&amp;"/"&amp;B14,B14&amp;"/"&amp;(B14+1))</f>
        <v>4043/4044</v>
      </c>
      <c r="L14" s="43" t="str">
        <f>VLOOKUP(A14,'Trips&amp;Operators'!$C$1:$E$10000,3,FALSE)</f>
        <v>GOODNIGHT</v>
      </c>
      <c r="M14" s="11">
        <f>I14-F14</f>
        <v>1.1539351849933155E-2</v>
      </c>
      <c r="N14" s="12">
        <f>24*60*SUM($M14:$M14)</f>
        <v>16.616666663903743</v>
      </c>
      <c r="O14" s="12"/>
      <c r="P14" s="12"/>
      <c r="Q14" s="44"/>
      <c r="R14" s="44"/>
      <c r="S14" s="72">
        <f>SUM(U14:U14)/12</f>
        <v>0</v>
      </c>
      <c r="T14" s="2" t="str">
        <f>IF(ISEVEN(LEFT(A14,3)),"Southbound","NorthBound")</f>
        <v>NorthBound</v>
      </c>
      <c r="U14" s="2">
        <f>COUNTIFS(Variables!$M$2:$M$19, "&lt;=" &amp; Y14, Variables!$M$2:$M$19, "&gt;=" &amp; Z14)</f>
        <v>0</v>
      </c>
      <c r="V14" s="50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https://search-rtdc-monitor-bjffxe2xuh6vdkpspy63sjmuny.us-east-1.es.amazonaws.com/_plugin/kibana/#/discover/Steve-Slow-Train-Analysis-(2080s-and-2083s)?_g=(refreshInterval:(display:Off,section:0,value:0),time:(from:'2016-06-21 05:45:50-0600',mode:absolute,to:'2016-06-21 06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" s="50" t="str">
        <f t="shared" ref="W14:W44" si="0">IF(AA14&lt;5.7,"Y","N")</f>
        <v>N</v>
      </c>
      <c r="X14" s="50" t="e">
        <f>VALUE(LEFT(A14,3))-VALUE(LEFT(#REF!,3))</f>
        <v>#REF!</v>
      </c>
      <c r="Y14" s="50">
        <f>RIGHT(D14,LEN(D14)-4)/10000</f>
        <v>3.5700000000000003E-2</v>
      </c>
      <c r="Z14" s="50">
        <f>RIGHT(H14,LEN(H14)-4)/10000</f>
        <v>5.8920000000000003</v>
      </c>
      <c r="AA14" s="50">
        <f>ABS(Z14-Y14)</f>
        <v>5.8563000000000001</v>
      </c>
      <c r="AB14" s="51">
        <f>VLOOKUP(A14,Enforcements!$C$7:$J$35,8,0)</f>
        <v>30784</v>
      </c>
      <c r="AC14" s="51" t="str">
        <f>VLOOKUP(A14,Enforcements!$C$7:$E$35,3,0)</f>
        <v>PERMANENT SPEED RESTRICTION</v>
      </c>
    </row>
    <row r="15" spans="1:91" s="2" customFormat="1" x14ac:dyDescent="0.25">
      <c r="A15" s="43" t="s">
        <v>266</v>
      </c>
      <c r="B15" s="43">
        <v>4043</v>
      </c>
      <c r="C15" s="43" t="s">
        <v>60</v>
      </c>
      <c r="D15" s="43" t="s">
        <v>331</v>
      </c>
      <c r="E15" s="25">
        <v>42542.254548611112</v>
      </c>
      <c r="F15" s="25">
        <v>42542.255300925928</v>
      </c>
      <c r="G15" s="31">
        <v>1</v>
      </c>
      <c r="H15" s="25" t="s">
        <v>332</v>
      </c>
      <c r="I15" s="25">
        <v>42542.267384259256</v>
      </c>
      <c r="J15" s="43">
        <v>1</v>
      </c>
      <c r="K15" s="43" t="str">
        <f>IF(ISEVEN(B15),(B15-1)&amp;"/"&amp;B15,B15&amp;"/"&amp;(B15+1))</f>
        <v>4043/4044</v>
      </c>
      <c r="L15" s="43" t="str">
        <f>VLOOKUP(A15,'Trips&amp;Operators'!$C$1:$E$10000,3,FALSE)</f>
        <v>GOODNIGHT</v>
      </c>
      <c r="M15" s="11">
        <f>I15-F15</f>
        <v>1.208333332760958E-2</v>
      </c>
      <c r="N15" s="12">
        <f>24*60*SUM($M15:$M15)</f>
        <v>17.399999991757795</v>
      </c>
      <c r="O15" s="12"/>
      <c r="P15" s="12"/>
      <c r="Q15" s="44"/>
      <c r="R15" s="44"/>
      <c r="S15" s="72">
        <f>SUM(U15:U15)/12</f>
        <v>0.58333333333333337</v>
      </c>
      <c r="T15" s="2" t="str">
        <f>IF(ISEVEN(LEFT(A15,3)),"Southbound","NorthBound")</f>
        <v>Southbound</v>
      </c>
      <c r="U15" s="2">
        <f>COUNTIFS(Variables!$M$2:$M$19, "&lt;=" &amp; Y15, Variables!$M$2:$M$19, "&gt;=" &amp; Z15)</f>
        <v>7</v>
      </c>
      <c r="V15" s="50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https://search-rtdc-monitor-bjffxe2xuh6vdkpspy63sjmuny.us-east-1.es.amazonaws.com/_plugin/kibana/#/discover/Steve-Slow-Train-Analysis-(2080s-and-2083s)?_g=(refreshInterval:(display:Off,section:0,value:0),time:(from:'2016-06-21 06:05:33-0600',mode:absolute,to:'2016-06-21 06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" s="50" t="str">
        <f t="shared" si="0"/>
        <v>N</v>
      </c>
      <c r="X15" s="50" t="e">
        <f>VALUE(LEFT(A15,3))-VALUE(LEFT(#REF!,3))</f>
        <v>#REF!</v>
      </c>
      <c r="Y15" s="50">
        <f>RIGHT(D15,LEN(D15)-4)/10000</f>
        <v>5.8611000000000004</v>
      </c>
      <c r="Z15" s="50">
        <f>RIGHT(H15,LEN(H15)-4)/10000</f>
        <v>6.2799999999999995E-2</v>
      </c>
      <c r="AA15" s="50">
        <f>ABS(Z15-Y15)</f>
        <v>5.7983000000000002</v>
      </c>
      <c r="AB15" s="51">
        <f>VLOOKUP(A15,Enforcements!$C$7:$J$35,8,0)</f>
        <v>59050</v>
      </c>
      <c r="AC15" s="51" t="str">
        <f>VLOOKUP(A15,Enforcements!$C$7:$E$35,3,0)</f>
        <v>PERMANENT SPEED RESTRICTION</v>
      </c>
    </row>
    <row r="16" spans="1:91" s="2" customFormat="1" x14ac:dyDescent="0.25">
      <c r="A16" s="43" t="s">
        <v>267</v>
      </c>
      <c r="B16" s="43">
        <v>4007</v>
      </c>
      <c r="C16" s="43" t="s">
        <v>60</v>
      </c>
      <c r="D16" s="43" t="s">
        <v>333</v>
      </c>
      <c r="E16" s="25">
        <v>42542.255659722221</v>
      </c>
      <c r="F16" s="25">
        <v>42542.257326388892</v>
      </c>
      <c r="G16" s="31">
        <v>2</v>
      </c>
      <c r="H16" s="25" t="s">
        <v>334</v>
      </c>
      <c r="I16" s="25">
        <v>42542.274444444447</v>
      </c>
      <c r="J16" s="43">
        <v>2</v>
      </c>
      <c r="K16" s="43" t="str">
        <f>IF(ISEVEN(B16),(B16-1)&amp;"/"&amp;B16,B16&amp;"/"&amp;(B16+1))</f>
        <v>4007/4008</v>
      </c>
      <c r="L16" s="43" t="str">
        <f>VLOOKUP(A16,'Trips&amp;Operators'!$C$1:$E$10000,3,FALSE)</f>
        <v>HELVIE</v>
      </c>
      <c r="M16" s="11">
        <f>I16-F16</f>
        <v>1.7118055555329192E-2</v>
      </c>
      <c r="N16" s="12">
        <f>24*60*SUM($M16:$M16)</f>
        <v>24.649999999674037</v>
      </c>
      <c r="O16" s="12"/>
      <c r="P16" s="12"/>
      <c r="Q16" s="44"/>
      <c r="R16" s="44"/>
      <c r="S16" s="72">
        <f>SUM(U16:U16)/12</f>
        <v>0</v>
      </c>
      <c r="T16" s="2" t="str">
        <f>IF(ISEVEN(LEFT(A16,3)),"Southbound","NorthBound")</f>
        <v>NorthBound</v>
      </c>
      <c r="U16" s="2">
        <f>COUNTIFS(Variables!$M$2:$M$19, "&lt;=" &amp; Y16, Variables!$M$2:$M$19, "&gt;=" &amp; Z16)</f>
        <v>0</v>
      </c>
      <c r="V16" s="50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https://search-rtdc-monitor-bjffxe2xuh6vdkpspy63sjmuny.us-east-1.es.amazonaws.com/_plugin/kibana/#/discover/Steve-Slow-Train-Analysis-(2080s-and-2083s)?_g=(refreshInterval:(display:Off,section:0,value:0),time:(from:'2016-06-21 06:07:09-0600',mode:absolute,to:'2016-06-21 06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" s="50" t="str">
        <f t="shared" si="0"/>
        <v>N</v>
      </c>
      <c r="X16" s="50" t="e">
        <f>VALUE(LEFT(A16,3))-VALUE(LEFT(#REF!,3))</f>
        <v>#REF!</v>
      </c>
      <c r="Y16" s="50">
        <f>RIGHT(D16,LEN(D16)-4)/10000</f>
        <v>9.5500000000000002E-2</v>
      </c>
      <c r="Z16" s="50">
        <f>RIGHT(H16,LEN(H16)-4)/10000</f>
        <v>5.8898999999999999</v>
      </c>
      <c r="AA16" s="50">
        <f>ABS(Z16-Y16)</f>
        <v>5.7943999999999996</v>
      </c>
      <c r="AB16" s="51">
        <f>VLOOKUP(A16,Enforcements!$C$7:$J$35,8,0)</f>
        <v>574</v>
      </c>
      <c r="AC16" s="51" t="str">
        <f>VLOOKUP(A16,Enforcements!$C$7:$E$35,3,0)</f>
        <v>PERMANENT SPEED RESTRICTION</v>
      </c>
    </row>
    <row r="17" spans="1:29" s="2" customFormat="1" x14ac:dyDescent="0.25">
      <c r="A17" s="43" t="s">
        <v>268</v>
      </c>
      <c r="B17" s="43">
        <v>4008</v>
      </c>
      <c r="C17" s="43" t="s">
        <v>60</v>
      </c>
      <c r="D17" s="43" t="s">
        <v>335</v>
      </c>
      <c r="E17" s="25">
        <v>42542.275324074071</v>
      </c>
      <c r="F17" s="25">
        <v>42542.276504629626</v>
      </c>
      <c r="G17" s="31">
        <v>1</v>
      </c>
      <c r="H17" s="25" t="s">
        <v>336</v>
      </c>
      <c r="I17" s="25">
        <v>42542.288587962961</v>
      </c>
      <c r="J17" s="43">
        <v>0</v>
      </c>
      <c r="K17" s="43" t="str">
        <f>IF(ISEVEN(B17),(B17-1)&amp;"/"&amp;B17,B17&amp;"/"&amp;(B17+1))</f>
        <v>4007/4008</v>
      </c>
      <c r="L17" s="43" t="str">
        <f>VLOOKUP(A17,'Trips&amp;Operators'!$C$1:$E$10000,3,FALSE)</f>
        <v>HELVIE</v>
      </c>
      <c r="M17" s="11">
        <f>I17-F17</f>
        <v>1.2083333334885538E-2</v>
      </c>
      <c r="N17" s="12">
        <f>24*60*SUM($M17:$M17)</f>
        <v>17.400000002235174</v>
      </c>
      <c r="O17" s="12"/>
      <c r="P17" s="12"/>
      <c r="Q17" s="44"/>
      <c r="R17" s="44"/>
      <c r="S17" s="72">
        <f>SUM(U17:U17)/12</f>
        <v>0.58333333333333337</v>
      </c>
      <c r="T17" s="2" t="str">
        <f>IF(ISEVEN(LEFT(A17,3)),"Southbound","NorthBound")</f>
        <v>Southbound</v>
      </c>
      <c r="U17" s="2">
        <f>COUNTIFS(Variables!$M$2:$M$19, "&lt;=" &amp; Y17, Variables!$M$2:$M$19, "&gt;=" &amp; Z17)</f>
        <v>7</v>
      </c>
      <c r="V17" s="50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https://search-rtdc-monitor-bjffxe2xuh6vdkpspy63sjmuny.us-east-1.es.amazonaws.com/_plugin/kibana/#/discover/Steve-Slow-Train-Analysis-(2080s-and-2083s)?_g=(refreshInterval:(display:Off,section:0,value:0),time:(from:'2016-06-21 06:35:28-0600',mode:absolute,to:'2016-06-21 06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7" s="50" t="str">
        <f t="shared" si="0"/>
        <v>N</v>
      </c>
      <c r="X17" s="50">
        <f>VALUE(LEFT(A17,3))-VALUE(LEFT(A13,3))</f>
        <v>4</v>
      </c>
      <c r="Y17" s="50">
        <f>RIGHT(D17,LEN(D17)-4)/10000</f>
        <v>5.8586999999999998</v>
      </c>
      <c r="Z17" s="50">
        <f>RIGHT(H17,LEN(H17)-4)/10000</f>
        <v>8.3799999999999999E-2</v>
      </c>
      <c r="AA17" s="50">
        <f>ABS(Z17-Y17)</f>
        <v>5.7748999999999997</v>
      </c>
      <c r="AB17" s="51" t="e">
        <f>VLOOKUP(A17,Enforcements!$C$7:$J$35,8,0)</f>
        <v>#N/A</v>
      </c>
      <c r="AC17" s="51" t="e">
        <f>VLOOKUP(A17,Enforcements!$C$7:$E$35,3,0)</f>
        <v>#N/A</v>
      </c>
    </row>
    <row r="18" spans="1:29" s="2" customFormat="1" x14ac:dyDescent="0.25">
      <c r="A18" s="43" t="s">
        <v>269</v>
      </c>
      <c r="B18" s="43">
        <v>4044</v>
      </c>
      <c r="C18" s="43" t="s">
        <v>60</v>
      </c>
      <c r="D18" s="43" t="s">
        <v>337</v>
      </c>
      <c r="E18" s="25">
        <v>42542.28229166667</v>
      </c>
      <c r="F18" s="25">
        <v>42542.283055555556</v>
      </c>
      <c r="G18" s="31">
        <v>1</v>
      </c>
      <c r="H18" s="25" t="s">
        <v>338</v>
      </c>
      <c r="I18" s="25">
        <v>42542.294363425928</v>
      </c>
      <c r="J18" s="43">
        <v>0</v>
      </c>
      <c r="K18" s="43" t="str">
        <f>IF(ISEVEN(B18),(B18-1)&amp;"/"&amp;B18,B18&amp;"/"&amp;(B18+1))</f>
        <v>4043/4044</v>
      </c>
      <c r="L18" s="43" t="str">
        <f>VLOOKUP(A18,'Trips&amp;Operators'!$C$1:$E$10000,3,FALSE)</f>
        <v>GOODNIGHT</v>
      </c>
      <c r="M18" s="11">
        <f>I18-F18</f>
        <v>1.1307870372547768E-2</v>
      </c>
      <c r="N18" s="12">
        <f>24*60*SUM($M18:$M18)</f>
        <v>16.283333336468786</v>
      </c>
      <c r="O18" s="12"/>
      <c r="P18" s="12"/>
      <c r="Q18" s="44"/>
      <c r="R18" s="44"/>
      <c r="S18" s="72">
        <f>SUM(U18:U18)/12</f>
        <v>0</v>
      </c>
      <c r="T18" s="2" t="str">
        <f>IF(ISEVEN(LEFT(A18,3)),"Southbound","NorthBound")</f>
        <v>NorthBound</v>
      </c>
      <c r="U18" s="2">
        <f>COUNTIFS(Variables!$M$2:$M$19, "&lt;=" &amp; Y18, Variables!$M$2:$M$19, "&gt;=" &amp; Z18)</f>
        <v>0</v>
      </c>
      <c r="V18" s="50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https://search-rtdc-monitor-bjffxe2xuh6vdkpspy63sjmuny.us-east-1.es.amazonaws.com/_plugin/kibana/#/discover/Steve-Slow-Train-Analysis-(2080s-and-2083s)?_g=(refreshInterval:(display:Off,section:0,value:0),time:(from:'2016-06-21 06:45:30-0600',mode:absolute,to:'2016-06-21 07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" s="50" t="str">
        <f t="shared" si="0"/>
        <v>N</v>
      </c>
      <c r="X18" s="50">
        <f>VALUE(LEFT(A18,3))-VALUE(LEFT(A14,3))</f>
        <v>4</v>
      </c>
      <c r="Y18" s="50">
        <f>RIGHT(D18,LEN(D18)-4)/10000</f>
        <v>9.2200000000000004E-2</v>
      </c>
      <c r="Z18" s="50">
        <f>RIGHT(H18,LEN(H18)-4)/10000</f>
        <v>5.8921999999999999</v>
      </c>
      <c r="AA18" s="50">
        <f>ABS(Z18-Y18)</f>
        <v>5.8</v>
      </c>
      <c r="AB18" s="51" t="e">
        <f>VLOOKUP(A18,Enforcements!$C$7:$J$35,8,0)</f>
        <v>#N/A</v>
      </c>
      <c r="AC18" s="51" t="e">
        <f>VLOOKUP(A18,Enforcements!$C$7:$E$35,3,0)</f>
        <v>#N/A</v>
      </c>
    </row>
    <row r="19" spans="1:29" s="2" customFormat="1" x14ac:dyDescent="0.25">
      <c r="A19" s="43" t="s">
        <v>270</v>
      </c>
      <c r="B19" s="43">
        <v>4043</v>
      </c>
      <c r="C19" s="43" t="s">
        <v>60</v>
      </c>
      <c r="D19" s="43" t="s">
        <v>318</v>
      </c>
      <c r="E19" s="25">
        <v>42542.295763888891</v>
      </c>
      <c r="F19" s="25">
        <v>42542.296724537038</v>
      </c>
      <c r="G19" s="31">
        <v>1</v>
      </c>
      <c r="H19" s="25" t="s">
        <v>339</v>
      </c>
      <c r="I19" s="25">
        <v>42542.308749999997</v>
      </c>
      <c r="J19" s="43">
        <v>1</v>
      </c>
      <c r="K19" s="43" t="str">
        <f>IF(ISEVEN(B19),(B19-1)&amp;"/"&amp;B19,B19&amp;"/"&amp;(B19+1))</f>
        <v>4043/4044</v>
      </c>
      <c r="L19" s="43" t="str">
        <f>VLOOKUP(A19,'Trips&amp;Operators'!$C$1:$E$10000,3,FALSE)</f>
        <v>GOODNIGHT</v>
      </c>
      <c r="M19" s="11">
        <f>I19-F19</f>
        <v>1.2025462958263233E-2</v>
      </c>
      <c r="N19" s="12">
        <f>24*60*SUM($M19:$M19)</f>
        <v>17.316666659899056</v>
      </c>
      <c r="O19" s="12"/>
      <c r="P19" s="12"/>
      <c r="Q19" s="44"/>
      <c r="R19" s="44"/>
      <c r="S19" s="72">
        <f>SUM(U19:U19)/12</f>
        <v>0.58333333333333337</v>
      </c>
      <c r="T19" s="2" t="str">
        <f>IF(ISEVEN(LEFT(A19,3)),"Southbound","NorthBound")</f>
        <v>Southbound</v>
      </c>
      <c r="U19" s="2">
        <f>COUNTIFS(Variables!$M$2:$M$19, "&lt;=" &amp; Y19, Variables!$M$2:$M$19, "&gt;=" &amp; Z19)</f>
        <v>7</v>
      </c>
      <c r="V19" s="50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https://search-rtdc-monitor-bjffxe2xuh6vdkpspy63sjmuny.us-east-1.es.amazonaws.com/_plugin/kibana/#/discover/Steve-Slow-Train-Analysis-(2080s-and-2083s)?_g=(refreshInterval:(display:Off,section:0,value:0),time:(from:'2016-06-21 07:04:54-0600',mode:absolute,to:'2016-06-21 07:25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" s="50" t="str">
        <f t="shared" si="0"/>
        <v>N</v>
      </c>
      <c r="X19" s="50">
        <f>VALUE(LEFT(A19,3))-VALUE(LEFT(A15,3))</f>
        <v>4</v>
      </c>
      <c r="Y19" s="50">
        <f>RIGHT(D19,LEN(D19)-4)/10000</f>
        <v>5.8609</v>
      </c>
      <c r="Z19" s="50">
        <f>RIGHT(H19,LEN(H19)-4)/10000</f>
        <v>6.2100000000000002E-2</v>
      </c>
      <c r="AA19" s="50">
        <f>ABS(Z19-Y19)</f>
        <v>5.7988</v>
      </c>
      <c r="AB19" s="51">
        <f>VLOOKUP(A19,Enforcements!$C$7:$J$35,8,0)</f>
        <v>575</v>
      </c>
      <c r="AC19" s="51" t="str">
        <f>VLOOKUP(A19,Enforcements!$C$7:$E$35,3,0)</f>
        <v>TRACK WARRANT AUTHORITY</v>
      </c>
    </row>
    <row r="20" spans="1:29" s="2" customFormat="1" x14ac:dyDescent="0.25">
      <c r="A20" s="43" t="s">
        <v>271</v>
      </c>
      <c r="B20" s="43">
        <v>4007</v>
      </c>
      <c r="C20" s="43" t="s">
        <v>60</v>
      </c>
      <c r="D20" s="43" t="s">
        <v>340</v>
      </c>
      <c r="E20" s="25">
        <v>42542.29965277778</v>
      </c>
      <c r="F20" s="25">
        <v>42542.300752314812</v>
      </c>
      <c r="G20" s="31">
        <v>1</v>
      </c>
      <c r="H20" s="25" t="s">
        <v>341</v>
      </c>
      <c r="I20" s="25">
        <v>42542.315300925926</v>
      </c>
      <c r="J20" s="43">
        <v>0</v>
      </c>
      <c r="K20" s="43" t="str">
        <f>IF(ISEVEN(B20),(B20-1)&amp;"/"&amp;B20,B20&amp;"/"&amp;(B20+1))</f>
        <v>4007/4008</v>
      </c>
      <c r="L20" s="43" t="str">
        <f>VLOOKUP(A20,'Trips&amp;Operators'!$C$1:$E$10000,3,FALSE)</f>
        <v>HELVIE</v>
      </c>
      <c r="M20" s="11">
        <f>I20-F20</f>
        <v>1.4548611114150845E-2</v>
      </c>
      <c r="N20" s="12">
        <f>24*60*SUM($M20:$M20)</f>
        <v>20.950000004377216</v>
      </c>
      <c r="O20" s="12"/>
      <c r="P20" s="12"/>
      <c r="Q20" s="44"/>
      <c r="R20" s="44"/>
      <c r="S20" s="72">
        <f>SUM(U20:U20)/12</f>
        <v>0</v>
      </c>
      <c r="T20" s="2" t="str">
        <f>IF(ISEVEN(LEFT(A20,3)),"Southbound","NorthBound")</f>
        <v>NorthBound</v>
      </c>
      <c r="U20" s="2">
        <f>COUNTIFS(Variables!$M$2:$M$19, "&lt;=" &amp; Y20, Variables!$M$2:$M$19, "&gt;=" &amp; Z20)</f>
        <v>0</v>
      </c>
      <c r="V20" s="50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https://search-rtdc-monitor-bjffxe2xuh6vdkpspy63sjmuny.us-east-1.es.amazonaws.com/_plugin/kibana/#/discover/Steve-Slow-Train-Analysis-(2080s-and-2083s)?_g=(refreshInterval:(display:Off,section:0,value:0),time:(from:'2016-06-21 07:10:30-0600',mode:absolute,to:'2016-06-21 07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0" s="50" t="str">
        <f t="shared" si="0"/>
        <v>N</v>
      </c>
      <c r="X20" s="50">
        <f>VALUE(LEFT(A20,3))-VALUE(LEFT(A16,3))</f>
        <v>4</v>
      </c>
      <c r="Y20" s="50">
        <f>RIGHT(D20,LEN(D20)-4)/10000</f>
        <v>0.11210000000000001</v>
      </c>
      <c r="Z20" s="50">
        <f>RIGHT(H20,LEN(H20)-4)/10000</f>
        <v>5.8897000000000004</v>
      </c>
      <c r="AA20" s="50">
        <f>ABS(Z20-Y20)</f>
        <v>5.7776000000000005</v>
      </c>
      <c r="AB20" s="51" t="e">
        <f>VLOOKUP(A20,Enforcements!$C$7:$J$35,8,0)</f>
        <v>#N/A</v>
      </c>
      <c r="AC20" s="51" t="e">
        <f>VLOOKUP(A20,Enforcements!$C$7:$E$35,3,0)</f>
        <v>#N/A</v>
      </c>
    </row>
    <row r="21" spans="1:29" s="2" customFormat="1" x14ac:dyDescent="0.25">
      <c r="A21" s="43" t="s">
        <v>272</v>
      </c>
      <c r="B21" s="43">
        <v>4008</v>
      </c>
      <c r="C21" s="43" t="s">
        <v>60</v>
      </c>
      <c r="D21" s="43" t="s">
        <v>342</v>
      </c>
      <c r="E21" s="25">
        <v>42542.316238425927</v>
      </c>
      <c r="F21" s="25">
        <v>42542.317094907405</v>
      </c>
      <c r="G21" s="31">
        <v>1</v>
      </c>
      <c r="H21" s="25" t="s">
        <v>343</v>
      </c>
      <c r="I21" s="25">
        <v>42542.331030092595</v>
      </c>
      <c r="J21" s="43">
        <v>0</v>
      </c>
      <c r="K21" s="43" t="str">
        <f>IF(ISEVEN(B21),(B21-1)&amp;"/"&amp;B21,B21&amp;"/"&amp;(B21+1))</f>
        <v>4007/4008</v>
      </c>
      <c r="L21" s="43" t="str">
        <f>VLOOKUP(A21,'Trips&amp;Operators'!$C$1:$E$10000,3,FALSE)</f>
        <v>HELVIE</v>
      </c>
      <c r="M21" s="11">
        <f>I21-F21</f>
        <v>1.393518519034842E-2</v>
      </c>
      <c r="N21" s="12">
        <f>24*60*SUM($M21:$M21)</f>
        <v>20.066666674101725</v>
      </c>
      <c r="O21" s="12"/>
      <c r="P21" s="12"/>
      <c r="Q21" s="44"/>
      <c r="R21" s="44"/>
      <c r="S21" s="72">
        <f>SUM(U21:U21)/12</f>
        <v>0.58333333333333337</v>
      </c>
      <c r="T21" s="2" t="str">
        <f>IF(ISEVEN(LEFT(A21,3)),"Southbound","NorthBound")</f>
        <v>Southbound</v>
      </c>
      <c r="U21" s="2">
        <f>COUNTIFS(Variables!$M$2:$M$19, "&lt;=" &amp; Y21, Variables!$M$2:$M$19, "&gt;=" &amp; Z21)</f>
        <v>7</v>
      </c>
      <c r="V21" s="50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https://search-rtdc-monitor-bjffxe2xuh6vdkpspy63sjmuny.us-east-1.es.amazonaws.com/_plugin/kibana/#/discover/Steve-Slow-Train-Analysis-(2080s-and-2083s)?_g=(refreshInterval:(display:Off,section:0,value:0),time:(from:'2016-06-21 07:34:23-0600',mode:absolute,to:'2016-06-21 07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1" s="50" t="str">
        <f t="shared" si="0"/>
        <v>N</v>
      </c>
      <c r="X21" s="50">
        <f>VALUE(LEFT(A21,3))-VALUE(LEFT(A17,3))</f>
        <v>4</v>
      </c>
      <c r="Y21" s="50">
        <f>RIGHT(D21,LEN(D21)-4)/10000</f>
        <v>5.8585000000000003</v>
      </c>
      <c r="Z21" s="50">
        <f>RIGHT(H21,LEN(H21)-4)/10000</f>
        <v>8.4099999999999994E-2</v>
      </c>
      <c r="AA21" s="50">
        <f>ABS(Z21-Y21)</f>
        <v>5.7744</v>
      </c>
      <c r="AB21" s="51" t="e">
        <f>VLOOKUP(A21,Enforcements!$C$7:$J$35,8,0)</f>
        <v>#N/A</v>
      </c>
      <c r="AC21" s="51" t="e">
        <f>VLOOKUP(A21,Enforcements!$C$7:$E$35,3,0)</f>
        <v>#N/A</v>
      </c>
    </row>
    <row r="22" spans="1:29" s="2" customFormat="1" x14ac:dyDescent="0.25">
      <c r="A22" s="43" t="s">
        <v>273</v>
      </c>
      <c r="B22" s="43">
        <v>4044</v>
      </c>
      <c r="C22" s="43" t="s">
        <v>60</v>
      </c>
      <c r="D22" s="43" t="s">
        <v>344</v>
      </c>
      <c r="E22" s="25">
        <v>42542.324560185189</v>
      </c>
      <c r="F22" s="25">
        <v>42542.32539351852</v>
      </c>
      <c r="G22" s="31">
        <v>1</v>
      </c>
      <c r="H22" s="25" t="s">
        <v>345</v>
      </c>
      <c r="I22" s="25">
        <v>42542.335810185185</v>
      </c>
      <c r="J22" s="43">
        <v>1</v>
      </c>
      <c r="K22" s="43" t="str">
        <f>IF(ISEVEN(B22),(B22-1)&amp;"/"&amp;B22,B22&amp;"/"&amp;(B22+1))</f>
        <v>4043/4044</v>
      </c>
      <c r="L22" s="43" t="str">
        <f>VLOOKUP(A22,'Trips&amp;Operators'!$C$1:$E$10000,3,FALSE)</f>
        <v>GOODNIGHT</v>
      </c>
      <c r="M22" s="11">
        <f>I22-F22</f>
        <v>1.0416666664241347E-2</v>
      </c>
      <c r="N22" s="12">
        <f>24*60*SUM($M22:$M22)</f>
        <v>14.99999999650754</v>
      </c>
      <c r="O22" s="12"/>
      <c r="P22" s="12"/>
      <c r="Q22" s="44"/>
      <c r="R22" s="44"/>
      <c r="S22" s="72">
        <f>SUM(U22:U22)/12</f>
        <v>0</v>
      </c>
      <c r="T22" s="2" t="str">
        <f>IF(ISEVEN(LEFT(A22,3)),"Southbound","NorthBound")</f>
        <v>NorthBound</v>
      </c>
      <c r="U22" s="2">
        <f>COUNTIFS(Variables!$M$2:$M$19, "&lt;=" &amp; Y22, Variables!$M$2:$M$19, "&gt;=" &amp; Z22)</f>
        <v>0</v>
      </c>
      <c r="V22" s="50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https://search-rtdc-monitor-bjffxe2xuh6vdkpspy63sjmuny.us-east-1.es.amazonaws.com/_plugin/kibana/#/discover/Steve-Slow-Train-Analysis-(2080s-and-2083s)?_g=(refreshInterval:(display:Off,section:0,value:0),time:(from:'2016-06-21 07:46:22-0600',mode:absolute,to:'2016-06-21 08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2" s="50" t="str">
        <f t="shared" si="0"/>
        <v>N</v>
      </c>
      <c r="X22" s="50">
        <f>VALUE(LEFT(A22,3))-VALUE(LEFT(A18,3))</f>
        <v>4</v>
      </c>
      <c r="Y22" s="50">
        <f>RIGHT(D22,LEN(D22)-4)/10000</f>
        <v>9.1499999999999998E-2</v>
      </c>
      <c r="Z22" s="50">
        <f>RIGHT(H22,LEN(H22)-4)/10000</f>
        <v>5.8930999999999996</v>
      </c>
      <c r="AA22" s="50">
        <f>ABS(Z22-Y22)</f>
        <v>5.8015999999999996</v>
      </c>
      <c r="AB22" s="51">
        <f>VLOOKUP(A22,Enforcements!$C$7:$J$35,8,0)</f>
        <v>57008</v>
      </c>
      <c r="AC22" s="51" t="str">
        <f>VLOOKUP(A22,Enforcements!$C$7:$E$35,3,0)</f>
        <v>PERMANENT SPEED RESTRICTION</v>
      </c>
    </row>
    <row r="23" spans="1:29" s="2" customFormat="1" x14ac:dyDescent="0.25">
      <c r="A23" s="43" t="s">
        <v>274</v>
      </c>
      <c r="B23" s="43">
        <v>4043</v>
      </c>
      <c r="C23" s="43" t="s">
        <v>60</v>
      </c>
      <c r="D23" s="43" t="s">
        <v>346</v>
      </c>
      <c r="E23" s="25">
        <v>42542.337384259263</v>
      </c>
      <c r="F23" s="25">
        <v>42542.338136574072</v>
      </c>
      <c r="G23" s="31">
        <v>1</v>
      </c>
      <c r="H23" s="25" t="s">
        <v>347</v>
      </c>
      <c r="I23" s="25">
        <v>42542.350613425922</v>
      </c>
      <c r="J23" s="43">
        <v>1</v>
      </c>
      <c r="K23" s="43" t="str">
        <f>IF(ISEVEN(B23),(B23-1)&amp;"/"&amp;B23,B23&amp;"/"&amp;(B23+1))</f>
        <v>4043/4044</v>
      </c>
      <c r="L23" s="43" t="str">
        <f>VLOOKUP(A23,'Trips&amp;Operators'!$C$1:$E$10000,3,FALSE)</f>
        <v>GOODNIGHT</v>
      </c>
      <c r="M23" s="11">
        <f>I23-F23</f>
        <v>1.247685185080627E-2</v>
      </c>
      <c r="N23" s="12">
        <f>24*60*SUM($M23:$M23)</f>
        <v>17.966666665161029</v>
      </c>
      <c r="O23" s="12"/>
      <c r="P23" s="12"/>
      <c r="Q23" s="44"/>
      <c r="R23" s="44"/>
      <c r="S23" s="72">
        <f>SUM(U23:U23)/12</f>
        <v>0.58333333333333337</v>
      </c>
      <c r="T23" s="2" t="str">
        <f>IF(ISEVEN(LEFT(A23,3)),"Southbound","NorthBound")</f>
        <v>Southbound</v>
      </c>
      <c r="U23" s="2">
        <f>COUNTIFS(Variables!$M$2:$M$19, "&lt;=" &amp; Y23, Variables!$M$2:$M$19, "&gt;=" &amp; Z23)</f>
        <v>7</v>
      </c>
      <c r="V23" s="50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https://search-rtdc-monitor-bjffxe2xuh6vdkpspy63sjmuny.us-east-1.es.amazonaws.com/_plugin/kibana/#/discover/Steve-Slow-Train-Analysis-(2080s-and-2083s)?_g=(refreshInterval:(display:Off,section:0,value:0),time:(from:'2016-06-21 08:04:50-0600',mode:absolute,to:'2016-06-21 08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3" s="50" t="str">
        <f t="shared" si="0"/>
        <v>N</v>
      </c>
      <c r="X23" s="50">
        <f>VALUE(LEFT(A23,3))-VALUE(LEFT(A19,3))</f>
        <v>4</v>
      </c>
      <c r="Y23" s="50">
        <f>RIGHT(D23,LEN(D23)-4)/10000</f>
        <v>5.8623000000000003</v>
      </c>
      <c r="Z23" s="50">
        <f>RIGHT(H23,LEN(H23)-4)/10000</f>
        <v>6.1400000000000003E-2</v>
      </c>
      <c r="AA23" s="50">
        <f>ABS(Z23-Y23)</f>
        <v>5.8009000000000004</v>
      </c>
      <c r="AB23" s="51">
        <f>VLOOKUP(A23,Enforcements!$C$7:$J$35,8,0)</f>
        <v>575</v>
      </c>
      <c r="AC23" s="51" t="str">
        <f>VLOOKUP(A23,Enforcements!$C$7:$E$35,3,0)</f>
        <v>TRACK WARRANT AUTHORITY</v>
      </c>
    </row>
    <row r="24" spans="1:29" s="2" customFormat="1" x14ac:dyDescent="0.25">
      <c r="A24" s="43" t="s">
        <v>275</v>
      </c>
      <c r="B24" s="43">
        <v>4007</v>
      </c>
      <c r="C24" s="43" t="s">
        <v>60</v>
      </c>
      <c r="D24" s="43" t="s">
        <v>348</v>
      </c>
      <c r="E24" s="25">
        <v>42542.342280092591</v>
      </c>
      <c r="F24" s="25">
        <v>42542.343321759261</v>
      </c>
      <c r="G24" s="31">
        <v>1</v>
      </c>
      <c r="H24" s="25" t="s">
        <v>330</v>
      </c>
      <c r="I24" s="25">
        <v>42542.356979166667</v>
      </c>
      <c r="J24" s="43">
        <v>1</v>
      </c>
      <c r="K24" s="43" t="str">
        <f>IF(ISEVEN(B24),(B24-1)&amp;"/"&amp;B24,B24&amp;"/"&amp;(B24+1))</f>
        <v>4007/4008</v>
      </c>
      <c r="L24" s="43" t="str">
        <f>VLOOKUP(A24,'Trips&amp;Operators'!$C$1:$E$10000,3,FALSE)</f>
        <v>HELVIE</v>
      </c>
      <c r="M24" s="11">
        <f>I24-F24</f>
        <v>1.3657407405844424E-2</v>
      </c>
      <c r="N24" s="12">
        <f>24*60*SUM($M24:$M24)</f>
        <v>19.66666666441597</v>
      </c>
      <c r="O24" s="12"/>
      <c r="P24" s="12"/>
      <c r="Q24" s="44"/>
      <c r="R24" s="44"/>
      <c r="S24" s="72">
        <f>SUM(U24:U24)/12</f>
        <v>0</v>
      </c>
      <c r="T24" s="2" t="str">
        <f>IF(ISEVEN(LEFT(A24,3)),"Southbound","NorthBound")</f>
        <v>NorthBound</v>
      </c>
      <c r="U24" s="2">
        <f>COUNTIFS(Variables!$M$2:$M$19, "&lt;=" &amp; Y24, Variables!$M$2:$M$19, "&gt;=" &amp; Z24)</f>
        <v>0</v>
      </c>
      <c r="V24" s="50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https://search-rtdc-monitor-bjffxe2xuh6vdkpspy63sjmuny.us-east-1.es.amazonaws.com/_plugin/kibana/#/discover/Steve-Slow-Train-Analysis-(2080s-and-2083s)?_g=(refreshInterval:(display:Off,section:0,value:0),time:(from:'2016-06-21 08:11:53-0600',mode:absolute,to:'2016-06-21 08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4" s="50" t="str">
        <f t="shared" si="0"/>
        <v>N</v>
      </c>
      <c r="X24" s="50">
        <f>VALUE(LEFT(A24,3))-VALUE(LEFT(A20,3))</f>
        <v>4</v>
      </c>
      <c r="Y24" s="50">
        <f>RIGHT(D24,LEN(D24)-4)/10000</f>
        <v>0.1128</v>
      </c>
      <c r="Z24" s="50">
        <f>RIGHT(H24,LEN(H24)-4)/10000</f>
        <v>5.8920000000000003</v>
      </c>
      <c r="AA24" s="50">
        <f>ABS(Z24-Y24)</f>
        <v>5.7792000000000003</v>
      </c>
      <c r="AB24" s="51">
        <f>VLOOKUP(A24,Enforcements!$C$7:$J$35,8,0)</f>
        <v>21314</v>
      </c>
      <c r="AC24" s="51" t="str">
        <f>VLOOKUP(A24,Enforcements!$C$7:$E$35,3,0)</f>
        <v>PERMANENT SPEED RESTRICTION</v>
      </c>
    </row>
    <row r="25" spans="1:29" s="2" customFormat="1" x14ac:dyDescent="0.25">
      <c r="A25" s="43" t="s">
        <v>276</v>
      </c>
      <c r="B25" s="43">
        <v>4008</v>
      </c>
      <c r="C25" s="43" t="s">
        <v>60</v>
      </c>
      <c r="D25" s="43" t="s">
        <v>349</v>
      </c>
      <c r="E25" s="25">
        <v>42542.359201388892</v>
      </c>
      <c r="F25" s="25">
        <v>42542.360150462962</v>
      </c>
      <c r="G25" s="31">
        <v>1</v>
      </c>
      <c r="H25" s="25" t="s">
        <v>350</v>
      </c>
      <c r="I25" s="25">
        <v>42542.371087962965</v>
      </c>
      <c r="J25" s="43">
        <v>0</v>
      </c>
      <c r="K25" s="43" t="str">
        <f>IF(ISEVEN(B25),(B25-1)&amp;"/"&amp;B25,B25&amp;"/"&amp;(B25+1))</f>
        <v>4007/4008</v>
      </c>
      <c r="L25" s="43" t="str">
        <f>VLOOKUP(A25,'Trips&amp;Operators'!$C$1:$E$10000,3,FALSE)</f>
        <v>HELVIE</v>
      </c>
      <c r="M25" s="11">
        <f>I25-F25</f>
        <v>1.0937500002910383E-2</v>
      </c>
      <c r="N25" s="12">
        <f>24*60*SUM($M25:$M25)</f>
        <v>15.750000004190952</v>
      </c>
      <c r="O25" s="12"/>
      <c r="P25" s="12"/>
      <c r="Q25" s="44"/>
      <c r="R25" s="44"/>
      <c r="S25" s="72">
        <f>SUM(U25:U25)/12</f>
        <v>0.58333333333333337</v>
      </c>
      <c r="T25" s="2" t="str">
        <f>IF(ISEVEN(LEFT(A25,3)),"Southbound","NorthBound")</f>
        <v>Southbound</v>
      </c>
      <c r="U25" s="2">
        <f>COUNTIFS(Variables!$M$2:$M$19, "&lt;=" &amp; Y25, Variables!$M$2:$M$19, "&gt;=" &amp; Z25)</f>
        <v>7</v>
      </c>
      <c r="V25" s="50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https://search-rtdc-monitor-bjffxe2xuh6vdkpspy63sjmuny.us-east-1.es.amazonaws.com/_plugin/kibana/#/discover/Steve-Slow-Train-Analysis-(2080s-and-2083s)?_g=(refreshInterval:(display:Off,section:0,value:0),time:(from:'2016-06-21 08:36:15-0600',mode:absolute,to:'2016-06-21 08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5" s="50" t="str">
        <f t="shared" si="0"/>
        <v>N</v>
      </c>
      <c r="X25" s="50">
        <f>VALUE(LEFT(A25,3))-VALUE(LEFT(A21,3))</f>
        <v>4</v>
      </c>
      <c r="Y25" s="50">
        <f>RIGHT(D25,LEN(D25)-4)/10000</f>
        <v>5.8597999999999999</v>
      </c>
      <c r="Z25" s="50">
        <f>RIGHT(H25,LEN(H25)-4)/10000</f>
        <v>8.6699999999999999E-2</v>
      </c>
      <c r="AA25" s="50">
        <f>ABS(Z25-Y25)</f>
        <v>5.7730999999999995</v>
      </c>
      <c r="AB25" s="51" t="e">
        <f>VLOOKUP(A25,Enforcements!$C$7:$J$35,8,0)</f>
        <v>#N/A</v>
      </c>
      <c r="AC25" s="51" t="e">
        <f>VLOOKUP(A25,Enforcements!$C$7:$E$35,3,0)</f>
        <v>#N/A</v>
      </c>
    </row>
    <row r="26" spans="1:29" s="2" customFormat="1" x14ac:dyDescent="0.25">
      <c r="A26" s="43" t="s">
        <v>277</v>
      </c>
      <c r="B26" s="43">
        <v>4007</v>
      </c>
      <c r="C26" s="43" t="s">
        <v>60</v>
      </c>
      <c r="D26" s="43" t="s">
        <v>351</v>
      </c>
      <c r="E26" s="25">
        <v>42542.384305555555</v>
      </c>
      <c r="F26" s="25">
        <v>42542.385150462964</v>
      </c>
      <c r="G26" s="31">
        <v>1</v>
      </c>
      <c r="H26" s="25" t="s">
        <v>352</v>
      </c>
      <c r="I26" s="25">
        <v>42542.398252314815</v>
      </c>
      <c r="J26" s="43">
        <v>0</v>
      </c>
      <c r="K26" s="43" t="str">
        <f>IF(ISEVEN(B26),(B26-1)&amp;"/"&amp;B26,B26&amp;"/"&amp;(B26+1))</f>
        <v>4007/4008</v>
      </c>
      <c r="L26" s="43" t="str">
        <f>VLOOKUP(A26,'Trips&amp;Operators'!$C$1:$E$10000,3,FALSE)</f>
        <v>HELVIE</v>
      </c>
      <c r="M26" s="11">
        <f>I26-F26</f>
        <v>1.3101851851388346E-2</v>
      </c>
      <c r="N26" s="12">
        <f>24*60*SUM($M26:$M26)</f>
        <v>18.866666665999219</v>
      </c>
      <c r="O26" s="12"/>
      <c r="P26" s="12"/>
      <c r="Q26" s="44"/>
      <c r="R26" s="44"/>
      <c r="S26" s="72">
        <f>SUM(U26:U26)/12</f>
        <v>0</v>
      </c>
      <c r="T26" s="2" t="str">
        <f>IF(ISEVEN(LEFT(A26,3)),"Southbound","NorthBound")</f>
        <v>NorthBound</v>
      </c>
      <c r="U26" s="2">
        <f>COUNTIFS(Variables!$M$2:$M$19, "&lt;=" &amp; Y26, Variables!$M$2:$M$19, "&gt;=" &amp; Z26)</f>
        <v>0</v>
      </c>
      <c r="V26" s="50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https://search-rtdc-monitor-bjffxe2xuh6vdkpspy63sjmuny.us-east-1.es.amazonaws.com/_plugin/kibana/#/discover/Steve-Slow-Train-Analysis-(2080s-and-2083s)?_g=(refreshInterval:(display:Off,section:0,value:0),time:(from:'2016-06-21 09:12:24-0600',mode:absolute,to:'2016-06-21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6" s="50" t="str">
        <f t="shared" si="0"/>
        <v>N</v>
      </c>
      <c r="X26" s="50">
        <f>VALUE(LEFT(A26,3))-VALUE(LEFT(A22,3))</f>
        <v>4</v>
      </c>
      <c r="Y26" s="50">
        <f>RIGHT(D26,LEN(D26)-4)/10000</f>
        <v>0.11260000000000001</v>
      </c>
      <c r="Z26" s="50">
        <f>RIGHT(H26,LEN(H26)-4)/10000</f>
        <v>5.8912000000000004</v>
      </c>
      <c r="AA26" s="50">
        <f>ABS(Z26-Y26)</f>
        <v>5.7786000000000008</v>
      </c>
      <c r="AB26" s="51" t="e">
        <f>VLOOKUP(A26,Enforcements!$C$7:$J$35,8,0)</f>
        <v>#N/A</v>
      </c>
      <c r="AC26" s="51" t="e">
        <f>VLOOKUP(A26,Enforcements!$C$7:$E$35,3,0)</f>
        <v>#N/A</v>
      </c>
    </row>
    <row r="27" spans="1:29" s="2" customFormat="1" x14ac:dyDescent="0.25">
      <c r="A27" s="43" t="s">
        <v>278</v>
      </c>
      <c r="B27" s="43">
        <v>4008</v>
      </c>
      <c r="C27" s="43" t="s">
        <v>60</v>
      </c>
      <c r="D27" s="43" t="s">
        <v>353</v>
      </c>
      <c r="E27" s="25">
        <v>42542.399328703701</v>
      </c>
      <c r="F27" s="25">
        <v>42542.400405092594</v>
      </c>
      <c r="G27" s="31">
        <v>1</v>
      </c>
      <c r="H27" s="25" t="s">
        <v>354</v>
      </c>
      <c r="I27" s="25">
        <v>42542.412372685183</v>
      </c>
      <c r="J27" s="43">
        <v>0</v>
      </c>
      <c r="K27" s="43" t="str">
        <f>IF(ISEVEN(B27),(B27-1)&amp;"/"&amp;B27,B27&amp;"/"&amp;(B27+1))</f>
        <v>4007/4008</v>
      </c>
      <c r="L27" s="43" t="str">
        <f>VLOOKUP(A27,'Trips&amp;Operators'!$C$1:$E$10000,3,FALSE)</f>
        <v>HELVIE</v>
      </c>
      <c r="M27" s="11">
        <f>I27-F27</f>
        <v>1.1967592588916887E-2</v>
      </c>
      <c r="N27" s="12">
        <f>24*60*SUM($M27:$M27)</f>
        <v>17.233333328040317</v>
      </c>
      <c r="O27" s="12"/>
      <c r="P27" s="12"/>
      <c r="Q27" s="44"/>
      <c r="R27" s="44"/>
      <c r="S27" s="72">
        <f>SUM(U27:U27)/12</f>
        <v>0.58333333333333337</v>
      </c>
      <c r="T27" s="2" t="str">
        <f>IF(ISEVEN(LEFT(A27,3)),"Southbound","NorthBound")</f>
        <v>Southbound</v>
      </c>
      <c r="U27" s="2">
        <f>COUNTIFS(Variables!$M$2:$M$19, "&lt;=" &amp; Y27, Variables!$M$2:$M$19, "&gt;=" &amp; Z27)</f>
        <v>7</v>
      </c>
      <c r="V27" s="50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https://search-rtdc-monitor-bjffxe2xuh6vdkpspy63sjmuny.us-east-1.es.amazonaws.com/_plugin/kibana/#/discover/Steve-Slow-Train-Analysis-(2080s-and-2083s)?_g=(refreshInterval:(display:Off,section:0,value:0),time:(from:'2016-06-21 09:34:02-0600',mode:absolute,to:'2016-06-21 09:54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7" s="50" t="str">
        <f t="shared" si="0"/>
        <v>N</v>
      </c>
      <c r="X27" s="50">
        <f>VALUE(LEFT(A27,3))-VALUE(LEFT(A23,3))</f>
        <v>4</v>
      </c>
      <c r="Y27" s="50">
        <f>RIGHT(D27,LEN(D27)-4)/10000</f>
        <v>5.8596000000000004</v>
      </c>
      <c r="Z27" s="50">
        <f>RIGHT(H27,LEN(H27)-4)/10000</f>
        <v>8.2900000000000001E-2</v>
      </c>
      <c r="AA27" s="50">
        <f>ABS(Z27-Y27)</f>
        <v>5.7766999999999999</v>
      </c>
      <c r="AB27" s="51" t="e">
        <f>VLOOKUP(A27,Enforcements!$C$7:$J$35,8,0)</f>
        <v>#N/A</v>
      </c>
      <c r="AC27" s="51" t="e">
        <f>VLOOKUP(A27,Enforcements!$C$7:$E$35,3,0)</f>
        <v>#N/A</v>
      </c>
    </row>
    <row r="28" spans="1:29" x14ac:dyDescent="0.25">
      <c r="A28" s="43" t="s">
        <v>279</v>
      </c>
      <c r="B28" s="43">
        <v>4007</v>
      </c>
      <c r="C28" s="43" t="s">
        <v>60</v>
      </c>
      <c r="D28" s="43" t="s">
        <v>348</v>
      </c>
      <c r="E28" s="25">
        <v>42542.427523148152</v>
      </c>
      <c r="F28" s="25">
        <v>42542.428287037037</v>
      </c>
      <c r="G28" s="31">
        <v>1</v>
      </c>
      <c r="H28" s="25" t="s">
        <v>352</v>
      </c>
      <c r="I28" s="25">
        <v>42542.440567129626</v>
      </c>
      <c r="J28" s="43">
        <v>1</v>
      </c>
      <c r="K28" s="43" t="str">
        <f>IF(ISEVEN(B28),(B28-1)&amp;"/"&amp;B28,B28&amp;"/"&amp;(B28+1))</f>
        <v>4007/4008</v>
      </c>
      <c r="L28" s="43" t="str">
        <f>VLOOKUP(A28,'Trips&amp;Operators'!$C$1:$E$10000,3,FALSE)</f>
        <v>HELVIE</v>
      </c>
      <c r="M28" s="11">
        <f>I28-F28</f>
        <v>1.2280092589207925E-2</v>
      </c>
      <c r="N28" s="12">
        <f>24*60*SUM($M28:$M28)</f>
        <v>17.683333328459412</v>
      </c>
      <c r="O28" s="12"/>
      <c r="P28" s="12"/>
      <c r="Q28" s="44"/>
      <c r="R28" s="44"/>
      <c r="S28" s="72">
        <f>SUM(U28:U28)/12</f>
        <v>0</v>
      </c>
      <c r="T28" s="2" t="str">
        <f>IF(ISEVEN(LEFT(A28,3)),"Southbound","NorthBound")</f>
        <v>NorthBound</v>
      </c>
      <c r="U28" s="2">
        <f>COUNTIFS(Variables!$M$2:$M$19, "&lt;=" &amp; Y28, Variables!$M$2:$M$19, "&gt;=" &amp; Z28)</f>
        <v>0</v>
      </c>
      <c r="V28" s="50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https://search-rtdc-monitor-bjffxe2xuh6vdkpspy63sjmuny.us-east-1.es.amazonaws.com/_plugin/kibana/#/discover/Steve-Slow-Train-Analysis-(2080s-and-2083s)?_g=(refreshInterval:(display:Off,section:0,value:0),time:(from:'2016-06-21 10:14:38-0600',mode:absolute,to:'2016-06-21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8" s="50" t="str">
        <f t="shared" si="0"/>
        <v>N</v>
      </c>
      <c r="X28" s="50">
        <f>VALUE(LEFT(A28,3))-VALUE(LEFT(A24,3))</f>
        <v>4</v>
      </c>
      <c r="Y28" s="50">
        <f>RIGHT(D28,LEN(D28)-4)/10000</f>
        <v>0.1128</v>
      </c>
      <c r="Z28" s="50">
        <f>RIGHT(H28,LEN(H28)-4)/10000</f>
        <v>5.8912000000000004</v>
      </c>
      <c r="AA28" s="50">
        <f>ABS(Z28-Y28)</f>
        <v>5.7784000000000004</v>
      </c>
      <c r="AB28" s="51">
        <f>VLOOKUP(A28,Enforcements!$C$7:$J$35,8,0)</f>
        <v>14402</v>
      </c>
      <c r="AC28" s="51" t="str">
        <f>VLOOKUP(A28,Enforcements!$C$7:$E$35,3,0)</f>
        <v>PERMANENT SPEED RESTRICTION</v>
      </c>
    </row>
    <row r="29" spans="1:29" x14ac:dyDescent="0.25">
      <c r="A29" s="43" t="s">
        <v>280</v>
      </c>
      <c r="B29" s="43">
        <v>4008</v>
      </c>
      <c r="C29" s="43" t="s">
        <v>60</v>
      </c>
      <c r="D29" s="43" t="s">
        <v>355</v>
      </c>
      <c r="E29" s="25">
        <v>42542.442499999997</v>
      </c>
      <c r="F29" s="25">
        <v>42542.444085648145</v>
      </c>
      <c r="G29" s="31">
        <v>2</v>
      </c>
      <c r="H29" s="25" t="s">
        <v>343</v>
      </c>
      <c r="I29" s="25">
        <v>42542.538946759261</v>
      </c>
      <c r="J29" s="43">
        <v>0</v>
      </c>
      <c r="K29" s="43" t="str">
        <f>IF(ISEVEN(B29),(B29-1)&amp;"/"&amp;B29,B29&amp;"/"&amp;(B29+1))</f>
        <v>4007/4008</v>
      </c>
      <c r="L29" s="43" t="str">
        <f>VLOOKUP(A29,'Trips&amp;Operators'!$C$1:$E$10000,3,FALSE)</f>
        <v>HELVIE</v>
      </c>
      <c r="M29" s="11">
        <f>I29-F29</f>
        <v>9.4861111116188113E-2</v>
      </c>
      <c r="N29" s="12"/>
      <c r="O29" s="12"/>
      <c r="P29" s="12">
        <f>24*60*SUM($M29:$M29)</f>
        <v>136.60000000731088</v>
      </c>
      <c r="Q29" s="44"/>
      <c r="R29" s="44"/>
      <c r="S29" s="72">
        <f>SUM(U29:U29)/12</f>
        <v>0.58333333333333337</v>
      </c>
      <c r="T29" s="2" t="str">
        <f>IF(ISEVEN(LEFT(A29,3)),"Southbound","NorthBound")</f>
        <v>Southbound</v>
      </c>
      <c r="U29" s="2">
        <f>COUNTIFS(Variables!$M$2:$M$19, "&lt;=" &amp; Y29, Variables!$M$2:$M$19, "&gt;=" &amp; Z29)</f>
        <v>7</v>
      </c>
      <c r="V29" s="50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https://search-rtdc-monitor-bjffxe2xuh6vdkpspy63sjmuny.us-east-1.es.amazonaws.com/_plugin/kibana/#/discover/Steve-Slow-Train-Analysis-(2080s-and-2083s)?_g=(refreshInterval:(display:Off,section:0,value:0),time:(from:'2016-06-21 10:36:12-0600',mode:absolute,to:'2016-06-21 12:57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9" s="50" t="str">
        <f t="shared" si="0"/>
        <v>N</v>
      </c>
      <c r="X29" s="50">
        <f>VALUE(LEFT(A29,3))-VALUE(LEFT(A25,3))</f>
        <v>4</v>
      </c>
      <c r="Y29" s="50">
        <f>RIGHT(D29,LEN(D29)-4)/10000</f>
        <v>5.86</v>
      </c>
      <c r="Z29" s="50">
        <f>RIGHT(H29,LEN(H29)-4)/10000</f>
        <v>8.4099999999999994E-2</v>
      </c>
      <c r="AA29" s="50">
        <f>ABS(Z29-Y29)</f>
        <v>5.7759</v>
      </c>
      <c r="AB29" s="51" t="e">
        <f>VLOOKUP(A29,Enforcements!$C$7:$J$35,8,0)</f>
        <v>#N/A</v>
      </c>
      <c r="AC29" s="51" t="e">
        <f>VLOOKUP(A29,Enforcements!$C$7:$E$35,3,0)</f>
        <v>#N/A</v>
      </c>
    </row>
    <row r="30" spans="1:29" s="2" customFormat="1" x14ac:dyDescent="0.25">
      <c r="A30" s="43" t="s">
        <v>281</v>
      </c>
      <c r="B30" s="43">
        <v>4007</v>
      </c>
      <c r="C30" s="43" t="s">
        <v>60</v>
      </c>
      <c r="D30" s="43" t="s">
        <v>356</v>
      </c>
      <c r="E30" s="25">
        <v>42542.51766203704</v>
      </c>
      <c r="F30" s="25">
        <v>42542.518518518518</v>
      </c>
      <c r="G30" s="31">
        <v>1</v>
      </c>
      <c r="H30" s="25" t="s">
        <v>352</v>
      </c>
      <c r="I30" s="25">
        <v>42542.528182870374</v>
      </c>
      <c r="J30" s="43">
        <v>0</v>
      </c>
      <c r="K30" s="43" t="str">
        <f>IF(ISEVEN(B30),(B30-1)&amp;"/"&amp;B30,B30&amp;"/"&amp;(B30+1))</f>
        <v>4007/4008</v>
      </c>
      <c r="L30" s="43" t="str">
        <f>VLOOKUP(A30,'Trips&amp;Operators'!$C$1:$E$10000,3,FALSE)</f>
        <v>HELVIE</v>
      </c>
      <c r="M30" s="11">
        <f>I30-F30</f>
        <v>9.6643518554628827E-3</v>
      </c>
      <c r="N30" s="12">
        <f>24*60*SUM($M30:$M30)</f>
        <v>13.916666671866551</v>
      </c>
      <c r="O30" s="12"/>
      <c r="P30" s="12"/>
      <c r="Q30" s="44"/>
      <c r="R30" s="44"/>
      <c r="S30" s="72">
        <f>SUM(U30:U30)/12</f>
        <v>0</v>
      </c>
      <c r="T30" s="2" t="str">
        <f>IF(ISEVEN(LEFT(A30,3)),"Southbound","NorthBound")</f>
        <v>NorthBound</v>
      </c>
      <c r="U30" s="2">
        <f>COUNTIFS(Variables!$M$2:$M$19, "&lt;=" &amp; Y30, Variables!$M$2:$M$19, "&gt;=" &amp; Z30)</f>
        <v>0</v>
      </c>
      <c r="V30" s="50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https://search-rtdc-monitor-bjffxe2xuh6vdkpspy63sjmuny.us-east-1.es.amazonaws.com/_plugin/kibana/#/discover/Steve-Slow-Train-Analysis-(2080s-and-2083s)?_g=(refreshInterval:(display:Off,section:0,value:0),time:(from:'2016-06-21 12:24:26-0600',mode:absolute,to:'2016-06-21 12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0" s="50" t="str">
        <f t="shared" si="0"/>
        <v>N</v>
      </c>
      <c r="X30" s="50">
        <f>VALUE(LEFT(A30,3))-VALUE(LEFT(A26,3))</f>
        <v>6</v>
      </c>
      <c r="Y30" s="50">
        <f>RIGHT(D30,LEN(D30)-4)/10000</f>
        <v>4.0800000000000003E-2</v>
      </c>
      <c r="Z30" s="50">
        <f>RIGHT(H30,LEN(H30)-4)/10000</f>
        <v>5.8912000000000004</v>
      </c>
      <c r="AA30" s="50">
        <f>ABS(Z30-Y30)</f>
        <v>5.8504000000000005</v>
      </c>
      <c r="AB30" s="51" t="e">
        <f>VLOOKUP(A30,Enforcements!$C$7:$J$35,8,0)</f>
        <v>#N/A</v>
      </c>
      <c r="AC30" s="51" t="e">
        <f>VLOOKUP(A30,Enforcements!$C$7:$E$35,3,0)</f>
        <v>#N/A</v>
      </c>
    </row>
    <row r="31" spans="1:29" x14ac:dyDescent="0.25">
      <c r="A31" s="43" t="s">
        <v>282</v>
      </c>
      <c r="B31" s="43">
        <v>4008</v>
      </c>
      <c r="C31" s="43" t="s">
        <v>60</v>
      </c>
      <c r="D31" s="43" t="s">
        <v>335</v>
      </c>
      <c r="E31" s="25">
        <v>42542.52925925926</v>
      </c>
      <c r="F31" s="25">
        <v>42542.530266203707</v>
      </c>
      <c r="G31" s="31">
        <v>1</v>
      </c>
      <c r="H31" s="25" t="s">
        <v>343</v>
      </c>
      <c r="I31" s="25">
        <v>42542.538946759261</v>
      </c>
      <c r="J31" s="43">
        <v>0</v>
      </c>
      <c r="K31" s="43" t="str">
        <f>IF(ISEVEN(B31),(B31-1)&amp;"/"&amp;B31,B31&amp;"/"&amp;(B31+1))</f>
        <v>4007/4008</v>
      </c>
      <c r="L31" s="43" t="str">
        <f>VLOOKUP(A31,'Trips&amp;Operators'!$C$1:$E$10000,3,FALSE)</f>
        <v>HELVIE</v>
      </c>
      <c r="M31" s="11">
        <f>I31-F31</f>
        <v>8.6805555547471158E-3</v>
      </c>
      <c r="N31" s="12">
        <f>24*60*SUM($M31:$M31)</f>
        <v>12.499999998835847</v>
      </c>
      <c r="O31" s="12"/>
      <c r="P31" s="12"/>
      <c r="Q31" s="44"/>
      <c r="R31" s="44"/>
      <c r="S31" s="72">
        <f>SUM(U31:U31)/12</f>
        <v>0.58333333333333337</v>
      </c>
      <c r="T31" s="2" t="str">
        <f>IF(ISEVEN(LEFT(A31,3)),"Southbound","NorthBound")</f>
        <v>Southbound</v>
      </c>
      <c r="U31" s="2">
        <f>COUNTIFS(Variables!$M$2:$M$19, "&lt;=" &amp; Y31, Variables!$M$2:$M$19, "&gt;=" &amp; Z31)</f>
        <v>7</v>
      </c>
      <c r="V31" s="50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https://search-rtdc-monitor-bjffxe2xuh6vdkpspy63sjmuny.us-east-1.es.amazonaws.com/_plugin/kibana/#/discover/Steve-Slow-Train-Analysis-(2080s-and-2083s)?_g=(refreshInterval:(display:Off,section:0,value:0),time:(from:'2016-06-21 12:41:08-0600',mode:absolute,to:'2016-06-21 12:57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1" s="50" t="str">
        <f t="shared" si="0"/>
        <v>N</v>
      </c>
      <c r="X31" s="50">
        <f>VALUE(LEFT(A31,3))-VALUE(LEFT(A27,3))</f>
        <v>6</v>
      </c>
      <c r="Y31" s="50">
        <f>RIGHT(D31,LEN(D31)-4)/10000</f>
        <v>5.8586999999999998</v>
      </c>
      <c r="Z31" s="50">
        <f>RIGHT(H31,LEN(H31)-4)/10000</f>
        <v>8.4099999999999994E-2</v>
      </c>
      <c r="AA31" s="50">
        <f>ABS(Z31-Y31)</f>
        <v>5.7745999999999995</v>
      </c>
      <c r="AB31" s="51" t="e">
        <f>VLOOKUP(A31,Enforcements!$C$7:$J$35,8,0)</f>
        <v>#N/A</v>
      </c>
      <c r="AC31" s="51" t="e">
        <f>VLOOKUP(A31,Enforcements!$C$7:$E$35,3,0)</f>
        <v>#N/A</v>
      </c>
    </row>
    <row r="32" spans="1:29" x14ac:dyDescent="0.25">
      <c r="A32" s="43" t="s">
        <v>283</v>
      </c>
      <c r="B32" s="43">
        <v>4007</v>
      </c>
      <c r="C32" s="43" t="s">
        <v>60</v>
      </c>
      <c r="D32" s="43" t="s">
        <v>357</v>
      </c>
      <c r="E32" s="25">
        <v>42542.551666666666</v>
      </c>
      <c r="F32" s="25">
        <v>42542.552870370368</v>
      </c>
      <c r="G32" s="31">
        <v>1</v>
      </c>
      <c r="H32" s="25" t="s">
        <v>358</v>
      </c>
      <c r="I32" s="25">
        <v>42542.565196759257</v>
      </c>
      <c r="J32" s="43">
        <v>0</v>
      </c>
      <c r="K32" s="43" t="str">
        <f>IF(ISEVEN(B32),(B32-1)&amp;"/"&amp;B32,B32&amp;"/"&amp;(B32+1))</f>
        <v>4007/4008</v>
      </c>
      <c r="L32" s="43" t="str">
        <f>VLOOKUP(A32,'Trips&amp;Operators'!$C$1:$E$10000,3,FALSE)</f>
        <v>HELVIE</v>
      </c>
      <c r="M32" s="11">
        <f>I32-F32</f>
        <v>1.2326388889050577E-2</v>
      </c>
      <c r="N32" s="12">
        <f>24*60*SUM($M32:$M32)</f>
        <v>17.750000000232831</v>
      </c>
      <c r="O32" s="12"/>
      <c r="P32" s="12"/>
      <c r="Q32" s="44"/>
      <c r="R32" s="44"/>
      <c r="S32" s="72">
        <f>SUM(U32:U32)/12</f>
        <v>0</v>
      </c>
      <c r="T32" s="2" t="str">
        <f>IF(ISEVEN(LEFT(A32,3)),"Southbound","NorthBound")</f>
        <v>NorthBound</v>
      </c>
      <c r="U32" s="2">
        <f>COUNTIFS(Variables!$M$2:$M$19, "&lt;=" &amp; Y32, Variables!$M$2:$M$19, "&gt;=" &amp; Z32)</f>
        <v>0</v>
      </c>
      <c r="V32" s="50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https://search-rtdc-monitor-bjffxe2xuh6vdkpspy63sjmuny.us-east-1.es.amazonaws.com/_plugin/kibana/#/discover/Steve-Slow-Train-Analysis-(2080s-and-2083s)?_g=(refreshInterval:(display:Off,section:0,value:0),time:(from:'2016-06-21 13:13:24-0600',mode:absolute,to:'2016-06-21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50" t="str">
        <f t="shared" si="0"/>
        <v>N</v>
      </c>
      <c r="X32" s="50">
        <f>VALUE(LEFT(A32,3))-VALUE(LEFT(A28,3))</f>
        <v>6</v>
      </c>
      <c r="Y32" s="50">
        <f>RIGHT(D32,LEN(D32)-4)/10000</f>
        <v>0.1135</v>
      </c>
      <c r="Z32" s="50">
        <f>RIGHT(H32,LEN(H32)-4)/10000</f>
        <v>5.8924000000000003</v>
      </c>
      <c r="AA32" s="50">
        <f>ABS(Z32-Y32)</f>
        <v>5.7789000000000001</v>
      </c>
      <c r="AB32" s="51" t="e">
        <f>VLOOKUP(A32,Enforcements!$C$7:$J$35,8,0)</f>
        <v>#N/A</v>
      </c>
      <c r="AC32" s="51" t="e">
        <f>VLOOKUP(A32,Enforcements!$C$7:$E$35,3,0)</f>
        <v>#N/A</v>
      </c>
    </row>
    <row r="33" spans="1:29" x14ac:dyDescent="0.25">
      <c r="A33" s="43" t="s">
        <v>284</v>
      </c>
      <c r="B33" s="43">
        <v>4008</v>
      </c>
      <c r="C33" s="43" t="s">
        <v>60</v>
      </c>
      <c r="D33" s="43" t="s">
        <v>359</v>
      </c>
      <c r="E33" s="25">
        <v>42542.566458333335</v>
      </c>
      <c r="F33" s="25">
        <v>42542.56763888889</v>
      </c>
      <c r="G33" s="31">
        <v>1</v>
      </c>
      <c r="H33" s="25" t="s">
        <v>360</v>
      </c>
      <c r="I33" s="25">
        <v>42542.579826388886</v>
      </c>
      <c r="J33" s="43">
        <v>0</v>
      </c>
      <c r="K33" s="43" t="str">
        <f>IF(ISEVEN(B33),(B33-1)&amp;"/"&amp;B33,B33&amp;"/"&amp;(B33+1))</f>
        <v>4007/4008</v>
      </c>
      <c r="L33" s="43" t="str">
        <f>VLOOKUP(A33,'Trips&amp;Operators'!$C$1:$E$10000,3,FALSE)</f>
        <v>HELVIE</v>
      </c>
      <c r="M33" s="11">
        <f>I33-F33</f>
        <v>1.2187499996798579E-2</v>
      </c>
      <c r="N33" s="12">
        <f>24*60*SUM($M33:$M33)</f>
        <v>17.549999995389953</v>
      </c>
      <c r="O33" s="12"/>
      <c r="P33" s="12"/>
      <c r="Q33" s="44"/>
      <c r="R33" s="44"/>
      <c r="S33" s="72">
        <f>SUM(U33:U33)/12</f>
        <v>0.58333333333333337</v>
      </c>
      <c r="T33" s="2" t="str">
        <f>IF(ISEVEN(LEFT(A33,3)),"Southbound","NorthBound")</f>
        <v>Southbound</v>
      </c>
      <c r="U33" s="2">
        <f>COUNTIFS(Variables!$M$2:$M$19, "&lt;=" &amp; Y33, Variables!$M$2:$M$19, "&gt;=" &amp; Z33)</f>
        <v>7</v>
      </c>
      <c r="V33" s="50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https://search-rtdc-monitor-bjffxe2xuh6vdkpspy63sjmuny.us-east-1.es.amazonaws.com/_plugin/kibana/#/discover/Steve-Slow-Train-Analysis-(2080s-and-2083s)?_g=(refreshInterval:(display:Off,section:0,value:0),time:(from:'2016-06-21 13:34:42-0600',mode:absolute,to:'2016-06-21 13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50" t="str">
        <f t="shared" si="0"/>
        <v>N</v>
      </c>
      <c r="X33" s="50">
        <f>VALUE(LEFT(A33,3))-VALUE(LEFT(A29,3))</f>
        <v>6</v>
      </c>
      <c r="Y33" s="50">
        <f>RIGHT(D33,LEN(D33)-4)/10000</f>
        <v>5.8601999999999999</v>
      </c>
      <c r="Z33" s="50">
        <f>RIGHT(H33,LEN(H33)-4)/10000</f>
        <v>9.2600000000000002E-2</v>
      </c>
      <c r="AA33" s="50">
        <f>ABS(Z33-Y33)</f>
        <v>5.7675999999999998</v>
      </c>
      <c r="AB33" s="51" t="e">
        <f>VLOOKUP(A33,Enforcements!$C$7:$J$35,8,0)</f>
        <v>#N/A</v>
      </c>
      <c r="AC33" s="51" t="e">
        <f>VLOOKUP(A33,Enforcements!$C$7:$E$35,3,0)</f>
        <v>#N/A</v>
      </c>
    </row>
    <row r="34" spans="1:29" x14ac:dyDescent="0.25">
      <c r="A34" s="43" t="s">
        <v>285</v>
      </c>
      <c r="B34" s="43">
        <v>4007</v>
      </c>
      <c r="C34" s="43" t="s">
        <v>60</v>
      </c>
      <c r="D34" s="43" t="s">
        <v>361</v>
      </c>
      <c r="E34" s="25">
        <v>42542.592685185184</v>
      </c>
      <c r="F34" s="25">
        <v>42542.593854166669</v>
      </c>
      <c r="G34" s="31">
        <v>1</v>
      </c>
      <c r="H34" s="25" t="s">
        <v>362</v>
      </c>
      <c r="I34" s="25">
        <v>42542.631886574076</v>
      </c>
      <c r="J34" s="43">
        <v>7</v>
      </c>
      <c r="K34" s="43" t="str">
        <f>IF(ISEVEN(B34),(B34-1)&amp;"/"&amp;B34,B34&amp;"/"&amp;(B34+1))</f>
        <v>4007/4008</v>
      </c>
      <c r="L34" s="43" t="str">
        <f>VLOOKUP(A34,'Trips&amp;Operators'!$C$1:$E$10000,3,FALSE)</f>
        <v>STORY</v>
      </c>
      <c r="M34" s="11">
        <f>I34-F34</f>
        <v>3.8032407406717539E-2</v>
      </c>
      <c r="N34" s="12"/>
      <c r="O34" s="12"/>
      <c r="P34" s="12">
        <f>24*60*SUM($M34:$M34)</f>
        <v>54.766666665673256</v>
      </c>
      <c r="Q34" s="44"/>
      <c r="R34" s="44"/>
      <c r="S34" s="72">
        <f>SUM(U34:U34)/12</f>
        <v>0</v>
      </c>
      <c r="T34" s="2" t="str">
        <f>IF(ISEVEN(LEFT(A34,3)),"Southbound","NorthBound")</f>
        <v>NorthBound</v>
      </c>
      <c r="U34" s="2">
        <f>COUNTIFS(Variables!$M$2:$M$19, "&lt;=" &amp; Y34, Variables!$M$2:$M$19, "&gt;=" &amp; Z34)</f>
        <v>0</v>
      </c>
      <c r="V34" s="50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4" s="50" t="str">
        <f t="shared" si="0"/>
        <v>Y</v>
      </c>
      <c r="X34" s="50">
        <f>VALUE(LEFT(A34,3))-VALUE(LEFT(A30,3))</f>
        <v>4</v>
      </c>
      <c r="Y34" s="50">
        <f>RIGHT(D34,LEN(D34)-4)/10000</f>
        <v>0.1242</v>
      </c>
      <c r="Z34" s="50">
        <f>RIGHT(H34,LEN(H34)-4)/10000</f>
        <v>9.8100000000000007E-2</v>
      </c>
      <c r="AA34" s="50">
        <f>ABS(Z34-Y34)</f>
        <v>2.6099999999999998E-2</v>
      </c>
      <c r="AB34" s="51">
        <f>VLOOKUP(A34,Enforcements!$C$7:$J$35,8,0)</f>
        <v>47808</v>
      </c>
      <c r="AC34" s="51" t="str">
        <f>VLOOKUP(A34,Enforcements!$C$7:$E$35,3,0)</f>
        <v>PERMANENT SPEED RESTRICTION</v>
      </c>
    </row>
    <row r="35" spans="1:29" x14ac:dyDescent="0.25">
      <c r="A35" s="43" t="s">
        <v>286</v>
      </c>
      <c r="B35" s="43">
        <v>4008</v>
      </c>
      <c r="C35" s="43" t="s">
        <v>60</v>
      </c>
      <c r="D35" s="43" t="s">
        <v>363</v>
      </c>
      <c r="E35" s="25">
        <v>42542.615798611114</v>
      </c>
      <c r="F35" s="25">
        <v>42542.616840277777</v>
      </c>
      <c r="G35" s="31">
        <v>1</v>
      </c>
      <c r="H35" s="25" t="s">
        <v>364</v>
      </c>
      <c r="I35" s="25">
        <v>42542.63113425926</v>
      </c>
      <c r="J35" s="43">
        <v>2</v>
      </c>
      <c r="K35" s="43" t="str">
        <f>IF(ISEVEN(B35),(B35-1)&amp;"/"&amp;B35,B35&amp;"/"&amp;(B35+1))</f>
        <v>4007/4008</v>
      </c>
      <c r="L35" s="43" t="str">
        <f>VLOOKUP(A35,'Trips&amp;Operators'!$C$1:$E$10000,3,FALSE)</f>
        <v>STORY</v>
      </c>
      <c r="M35" s="11">
        <f>I35-F35</f>
        <v>1.4293981483206153E-2</v>
      </c>
      <c r="N35" s="12">
        <f>24*60*SUM($M35:$M35)</f>
        <v>20.58333333581686</v>
      </c>
      <c r="O35" s="12"/>
      <c r="P35" s="12"/>
      <c r="Q35" s="44"/>
      <c r="R35" s="44"/>
      <c r="S35" s="72">
        <f>SUM(U35:U35)/12</f>
        <v>0.58333333333333337</v>
      </c>
      <c r="T35" s="2" t="str">
        <f>IF(ISEVEN(LEFT(A35,3)),"Southbound","NorthBound")</f>
        <v>Southbound</v>
      </c>
      <c r="U35" s="2">
        <f>COUNTIFS(Variables!$M$2:$M$19, "&lt;=" &amp; Y35, Variables!$M$2:$M$19, "&gt;=" &amp; Z35)</f>
        <v>7</v>
      </c>
      <c r="V35" s="50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https://search-rtdc-monitor-bjffxe2xuh6vdkpspy63sjmuny.us-east-1.es.amazonaws.com/_plugin/kibana/#/discover/Steve-Slow-Train-Analysis-(2080s-and-2083s)?_g=(refreshInterval:(display:Off,section:0,value:0),time:(from:'2016-06-21 14:45:45-0600',mode:absolute,to:'2016-06-21 15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5" s="50" t="str">
        <f t="shared" si="0"/>
        <v>N</v>
      </c>
      <c r="X35" s="50">
        <f>VALUE(LEFT(A35,3))-VALUE(LEFT(A31,3))</f>
        <v>4</v>
      </c>
      <c r="Y35" s="50">
        <f>RIGHT(D35,LEN(D35)-4)/10000</f>
        <v>5.8537999999999997</v>
      </c>
      <c r="Z35" s="50">
        <f>RIGHT(H35,LEN(H35)-4)/10000</f>
        <v>7.0300000000000001E-2</v>
      </c>
      <c r="AA35" s="50">
        <f>ABS(Z35-Y35)</f>
        <v>5.7835000000000001</v>
      </c>
      <c r="AB35" s="51">
        <f>VLOOKUP(A35,Enforcements!$C$7:$J$35,8,0)</f>
        <v>41797</v>
      </c>
      <c r="AC35" s="51" t="str">
        <f>VLOOKUP(A35,Enforcements!$C$7:$E$35,3,0)</f>
        <v>PERMANENT SPEED RESTRICTION</v>
      </c>
    </row>
    <row r="36" spans="1:29" x14ac:dyDescent="0.25">
      <c r="A36" s="43" t="s">
        <v>287</v>
      </c>
      <c r="B36" s="43">
        <v>4007</v>
      </c>
      <c r="C36" s="43" t="s">
        <v>60</v>
      </c>
      <c r="D36" s="43" t="s">
        <v>365</v>
      </c>
      <c r="E36" s="25">
        <v>42542.632094907407</v>
      </c>
      <c r="F36" s="25">
        <v>42542.633842592593</v>
      </c>
      <c r="G36" s="31">
        <v>2</v>
      </c>
      <c r="H36" s="25" t="s">
        <v>366</v>
      </c>
      <c r="I36" s="25">
        <v>42542.648761574077</v>
      </c>
      <c r="J36" s="43">
        <v>2</v>
      </c>
      <c r="K36" s="43" t="str">
        <f>IF(ISEVEN(B36),(B36-1)&amp;"/"&amp;B36,B36&amp;"/"&amp;(B36+1))</f>
        <v>4007/4008</v>
      </c>
      <c r="L36" s="43" t="str">
        <f>VLOOKUP(A36,'Trips&amp;Operators'!$C$1:$E$10000,3,FALSE)</f>
        <v>STORY</v>
      </c>
      <c r="M36" s="11">
        <f>I36-F36</f>
        <v>1.491898148378823E-2</v>
      </c>
      <c r="N36" s="12"/>
      <c r="O36" s="12"/>
      <c r="P36" s="12">
        <f>24*60*SUM($M36:$M36)</f>
        <v>21.483333336655051</v>
      </c>
      <c r="Q36" s="44"/>
      <c r="R36" s="44"/>
      <c r="S36" s="72">
        <f>SUM(U36:U36)/12</f>
        <v>0</v>
      </c>
      <c r="T36" s="2" t="str">
        <f>IF(ISEVEN(LEFT(A36,3)),"Southbound","NorthBound")</f>
        <v>NorthBound</v>
      </c>
      <c r="U36" s="2">
        <f>COUNTIFS(Variables!$M$2:$M$19, "&lt;=" &amp; Y36, Variables!$M$2:$M$19, "&gt;=" &amp; Z36)</f>
        <v>0</v>
      </c>
      <c r="V36" s="50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https://search-rtdc-monitor-bjffxe2xuh6vdkpspy63sjmuny.us-east-1.es.amazonaws.com/_plugin/kibana/#/discover/Steve-Slow-Train-Analysis-(2080s-and-2083s)?_g=(refreshInterval:(display:Off,section:0,value:0),time:(from:'2016-06-21 15:09:13-0600',mode:absolute,to:'2016-06-21 15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50" t="str">
        <f t="shared" si="0"/>
        <v>Y</v>
      </c>
      <c r="X36" s="50">
        <f>VALUE(LEFT(A36,3))-VALUE(LEFT(A32,3))</f>
        <v>4</v>
      </c>
      <c r="Y36" s="50">
        <f>RIGHT(D36,LEN(D36)-4)/10000</f>
        <v>9.69E-2</v>
      </c>
      <c r="Z36" s="50">
        <f>RIGHT(H36,LEN(H36)-4)/10000</f>
        <v>2.2667000000000002</v>
      </c>
      <c r="AA36" s="50">
        <f>ABS(Z36-Y36)</f>
        <v>2.1698</v>
      </c>
      <c r="AB36" s="51">
        <f>VLOOKUP(A36,Enforcements!$C$7:$J$35,8,0)</f>
        <v>21314</v>
      </c>
      <c r="AC36" s="51" t="str">
        <f>VLOOKUP(A36,Enforcements!$C$7:$E$35,3,0)</f>
        <v>PERMANENT SPEED RESTRICTION</v>
      </c>
    </row>
    <row r="37" spans="1:29" x14ac:dyDescent="0.25">
      <c r="A37" s="43" t="s">
        <v>288</v>
      </c>
      <c r="B37" s="43">
        <v>4008</v>
      </c>
      <c r="C37" s="43" t="s">
        <v>60</v>
      </c>
      <c r="D37" s="43" t="s">
        <v>367</v>
      </c>
      <c r="E37" s="25">
        <v>42542.657233796293</v>
      </c>
      <c r="F37" s="25">
        <v>42542.658148148148</v>
      </c>
      <c r="G37" s="31">
        <v>1</v>
      </c>
      <c r="H37" s="25" t="s">
        <v>368</v>
      </c>
      <c r="I37" s="25">
        <v>42542.668854166666</v>
      </c>
      <c r="J37" s="43">
        <v>0</v>
      </c>
      <c r="K37" s="43" t="str">
        <f>IF(ISEVEN(B37),(B37-1)&amp;"/"&amp;B37,B37&amp;"/"&amp;(B37+1))</f>
        <v>4007/4008</v>
      </c>
      <c r="L37" s="43" t="str">
        <f>VLOOKUP(A37,'Trips&amp;Operators'!$C$1:$E$10000,3,FALSE)</f>
        <v>STORY</v>
      </c>
      <c r="M37" s="11">
        <f>I37-F37</f>
        <v>1.0706018518249039E-2</v>
      </c>
      <c r="N37" s="12">
        <f>24*60*SUM($M37:$M37)</f>
        <v>15.416666666278616</v>
      </c>
      <c r="O37" s="12"/>
      <c r="P37" s="12"/>
      <c r="Q37" s="44"/>
      <c r="R37" s="44"/>
      <c r="S37" s="72">
        <f>SUM(U37:U37)/12</f>
        <v>0.58333333333333337</v>
      </c>
      <c r="T37" s="2" t="str">
        <f>IF(ISEVEN(LEFT(A37,3)),"Southbound","NorthBound")</f>
        <v>Southbound</v>
      </c>
      <c r="U37" s="2">
        <f>COUNTIFS(Variables!$M$2:$M$19, "&lt;=" &amp; Y37, Variables!$M$2:$M$19, "&gt;=" &amp; Z37)</f>
        <v>7</v>
      </c>
      <c r="V37" s="50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https://search-rtdc-monitor-bjffxe2xuh6vdkpspy63sjmuny.us-east-1.es.amazonaws.com/_plugin/kibana/#/discover/Steve-Slow-Train-Analysis-(2080s-and-2083s)?_g=(refreshInterval:(display:Off,section:0,value:0),time:(from:'2016-06-21 15:45:25-0600',mode:absolute,to:'2016-06-21 16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50" t="str">
        <f t="shared" si="0"/>
        <v>N</v>
      </c>
      <c r="X37" s="50">
        <f>VALUE(LEFT(A37,3))-VALUE(LEFT(A33,3))</f>
        <v>4</v>
      </c>
      <c r="Y37" s="50">
        <f>RIGHT(D37,LEN(D37)-4)/10000</f>
        <v>5.8593999999999999</v>
      </c>
      <c r="Z37" s="50">
        <f>RIGHT(H37,LEN(H37)-4)/10000</f>
        <v>6.1699999999999998E-2</v>
      </c>
      <c r="AA37" s="50">
        <f>ABS(Z37-Y37)</f>
        <v>5.7976999999999999</v>
      </c>
      <c r="AB37" s="51" t="e">
        <f>VLOOKUP(A37,Enforcements!$C$7:$J$35,8,0)</f>
        <v>#N/A</v>
      </c>
      <c r="AC37" s="51" t="e">
        <f>VLOOKUP(A37,Enforcements!$C$7:$E$35,3,0)</f>
        <v>#N/A</v>
      </c>
    </row>
    <row r="38" spans="1:29" x14ac:dyDescent="0.25">
      <c r="A38" s="43" t="s">
        <v>289</v>
      </c>
      <c r="B38" s="43">
        <v>4007</v>
      </c>
      <c r="C38" s="43" t="s">
        <v>60</v>
      </c>
      <c r="D38" s="43" t="s">
        <v>369</v>
      </c>
      <c r="E38" s="25">
        <v>42542.68072916667</v>
      </c>
      <c r="F38" s="25">
        <v>42542.681458333333</v>
      </c>
      <c r="G38" s="31">
        <v>1</v>
      </c>
      <c r="H38" s="25" t="s">
        <v>370</v>
      </c>
      <c r="I38" s="25">
        <v>42542.707708333335</v>
      </c>
      <c r="J38" s="43">
        <v>2</v>
      </c>
      <c r="K38" s="43" t="str">
        <f>IF(ISEVEN(B38),(B38-1)&amp;"/"&amp;B38,B38&amp;"/"&amp;(B38+1))</f>
        <v>4007/4008</v>
      </c>
      <c r="L38" s="43" t="str">
        <f>VLOOKUP(A38,'Trips&amp;Operators'!$C$1:$E$10000,3,FALSE)</f>
        <v>STORY</v>
      </c>
      <c r="M38" s="11">
        <f>I38-F38</f>
        <v>2.6250000002619345E-2</v>
      </c>
      <c r="N38" s="12">
        <f>24*60*SUM($M38:$M38)</f>
        <v>37.800000003771856</v>
      </c>
      <c r="O38" s="12"/>
      <c r="P38" s="12"/>
      <c r="Q38" s="44"/>
      <c r="R38" s="44"/>
      <c r="S38" s="72">
        <f>SUM(U38:U38)/12</f>
        <v>0</v>
      </c>
      <c r="T38" s="2" t="str">
        <f>IF(ISEVEN(LEFT(A38,3)),"Southbound","NorthBound")</f>
        <v>NorthBound</v>
      </c>
      <c r="U38" s="2">
        <f>COUNTIFS(Variables!$M$2:$M$19, "&lt;=" &amp; Y38, Variables!$M$2:$M$19, "&gt;=" &amp; Z38)</f>
        <v>0</v>
      </c>
      <c r="V38" s="50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https://search-rtdc-monitor-bjffxe2xuh6vdkpspy63sjmuny.us-east-1.es.amazonaws.com/_plugin/kibana/#/discover/Steve-Slow-Train-Analysis-(2080s-and-2083s)?_g=(refreshInterval:(display:Off,section:0,value:0),time:(from:'2016-06-21 16:19:15-0600',mode:absolute,to:'2016-06-21 17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8" s="50" t="str">
        <f t="shared" si="0"/>
        <v>N</v>
      </c>
      <c r="X38" s="50">
        <f>VALUE(LEFT(A38,3))-VALUE(LEFT(A34,3))</f>
        <v>6</v>
      </c>
      <c r="Y38" s="50">
        <f>RIGHT(D38,LEN(D38)-4)/10000</f>
        <v>9.0899999999999995E-2</v>
      </c>
      <c r="Z38" s="50">
        <f>RIGHT(H38,LEN(H38)-4)/10000</f>
        <v>5.8948</v>
      </c>
      <c r="AA38" s="50">
        <f>ABS(Z38-Y38)</f>
        <v>5.8038999999999996</v>
      </c>
      <c r="AB38" s="51">
        <f>VLOOKUP(A38,Enforcements!$C$7:$J$35,8,0)</f>
        <v>59048</v>
      </c>
      <c r="AC38" s="51" t="str">
        <f>VLOOKUP(A38,Enforcements!$C$7:$E$35,3,0)</f>
        <v>TRACK WARRANT AUTHORITY</v>
      </c>
    </row>
    <row r="39" spans="1:29" x14ac:dyDescent="0.25">
      <c r="A39" s="43" t="s">
        <v>289</v>
      </c>
      <c r="B39" s="43">
        <v>4007</v>
      </c>
      <c r="C39" s="43" t="s">
        <v>60</v>
      </c>
      <c r="D39" s="43" t="s">
        <v>371</v>
      </c>
      <c r="E39" s="25">
        <v>42542.6952662037</v>
      </c>
      <c r="F39" s="25">
        <v>42542.696805555555</v>
      </c>
      <c r="G39" s="31">
        <v>2</v>
      </c>
      <c r="H39" s="25" t="s">
        <v>370</v>
      </c>
      <c r="I39" s="25">
        <v>42542.707708333335</v>
      </c>
      <c r="J39" s="43">
        <v>2</v>
      </c>
      <c r="K39" s="43" t="str">
        <f>IF(ISEVEN(B39),(B39-1)&amp;"/"&amp;B39,B39&amp;"/"&amp;(B39+1))</f>
        <v>4007/4008</v>
      </c>
      <c r="L39" s="43" t="str">
        <f>VLOOKUP(A39,'Trips&amp;Operators'!$C$1:$E$10000,3,FALSE)</f>
        <v>STORY</v>
      </c>
      <c r="M39" s="11">
        <f>I39-F39</f>
        <v>1.0902777779847383E-2</v>
      </c>
      <c r="N39" s="12">
        <f>24*60*SUM($M39:$M39)</f>
        <v>15.700000002980232</v>
      </c>
      <c r="O39" s="12"/>
      <c r="P39" s="12"/>
      <c r="Q39" s="44"/>
      <c r="R39" s="44"/>
      <c r="S39" s="72">
        <f>SUM(U39:U39)/12</f>
        <v>0</v>
      </c>
      <c r="T39" s="2" t="str">
        <f>IF(ISEVEN(LEFT(A39,3)),"Southbound","NorthBound")</f>
        <v>NorthBound</v>
      </c>
      <c r="U39" s="2">
        <f>COUNTIFS(Variables!$M$2:$M$19, "&lt;=" &amp; Y39, Variables!$M$2:$M$19, "&gt;=" &amp; Z39)</f>
        <v>0</v>
      </c>
      <c r="V39" s="50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https://search-rtdc-monitor-bjffxe2xuh6vdkpspy63sjmuny.us-east-1.es.amazonaws.com/_plugin/kibana/#/discover/Steve-Slow-Train-Analysis-(2080s-and-2083s)?_g=(refreshInterval:(display:Off,section:0,value:0),time:(from:'2016-06-21 16:40:11-0600',mode:absolute,to:'2016-06-21 17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50" t="str">
        <f t="shared" si="0"/>
        <v>N</v>
      </c>
      <c r="X39" s="50">
        <f>VALUE(LEFT(A39,3))-VALUE(LEFT(A35,3))</f>
        <v>5</v>
      </c>
      <c r="Y39" s="50">
        <f>RIGHT(D39,LEN(D39)-4)/10000</f>
        <v>9.2299999999999993E-2</v>
      </c>
      <c r="Z39" s="50">
        <f>RIGHT(H39,LEN(H39)-4)/10000</f>
        <v>5.8948</v>
      </c>
      <c r="AA39" s="50">
        <f>ABS(Z39-Y39)</f>
        <v>5.8025000000000002</v>
      </c>
      <c r="AB39" s="51">
        <f>VLOOKUP(A39,Enforcements!$C$7:$J$35,8,0)</f>
        <v>59048</v>
      </c>
      <c r="AC39" s="51" t="str">
        <f>VLOOKUP(A39,Enforcements!$C$7:$E$35,3,0)</f>
        <v>TRACK WARRANT AUTHORITY</v>
      </c>
    </row>
    <row r="40" spans="1:29" x14ac:dyDescent="0.25">
      <c r="A40" s="43" t="s">
        <v>166</v>
      </c>
      <c r="B40" s="43">
        <v>4008</v>
      </c>
      <c r="C40" s="43" t="s">
        <v>60</v>
      </c>
      <c r="D40" s="43" t="s">
        <v>318</v>
      </c>
      <c r="E40" s="25">
        <v>42542.714328703703</v>
      </c>
      <c r="F40" s="25">
        <v>42542.71503472222</v>
      </c>
      <c r="G40" s="31">
        <v>1</v>
      </c>
      <c r="H40" s="25" t="s">
        <v>319</v>
      </c>
      <c r="I40" s="25">
        <v>42542.727546296293</v>
      </c>
      <c r="J40" s="43">
        <v>0</v>
      </c>
      <c r="K40" s="43" t="str">
        <f>IF(ISEVEN(B40),(B40-1)&amp;"/"&amp;B40,B40&amp;"/"&amp;(B40+1))</f>
        <v>4007/4008</v>
      </c>
      <c r="L40" s="43" t="str">
        <f>VLOOKUP(A40,'Trips&amp;Operators'!$C$1:$E$10000,3,FALSE)</f>
        <v>STORY</v>
      </c>
      <c r="M40" s="11">
        <f>I40-F40</f>
        <v>1.2511574073869269E-2</v>
      </c>
      <c r="N40" s="12">
        <f>24*60*SUM($M40:$M40)</f>
        <v>18.016666666371748</v>
      </c>
      <c r="O40" s="12"/>
      <c r="P40" s="12"/>
      <c r="Q40" s="44"/>
      <c r="R40" s="44"/>
      <c r="S40" s="72">
        <f>SUM(U40:U40)/12</f>
        <v>0.58333333333333337</v>
      </c>
      <c r="T40" s="2" t="str">
        <f>IF(ISEVEN(LEFT(A40,3)),"Southbound","NorthBound")</f>
        <v>Southbound</v>
      </c>
      <c r="U40" s="2">
        <f>COUNTIFS(Variables!$M$2:$M$19, "&lt;=" &amp; Y40, Variables!$M$2:$M$19, "&gt;=" &amp; Z40)</f>
        <v>7</v>
      </c>
      <c r="V40" s="50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https://search-rtdc-monitor-bjffxe2xuh6vdkpspy63sjmuny.us-east-1.es.amazonaws.com/_plugin/kibana/#/discover/Steve-Slow-Train-Analysis-(2080s-and-2083s)?_g=(refreshInterval:(display:Off,section:0,value:0),time:(from:'2016-06-21 17:07:38-0600',mode:absolute,to:'2016-06-21 17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50" t="str">
        <f t="shared" si="0"/>
        <v>N</v>
      </c>
      <c r="X40" s="50">
        <f>VALUE(LEFT(A40,3))-VALUE(LEFT(A36,3))</f>
        <v>5</v>
      </c>
      <c r="Y40" s="50">
        <f>RIGHT(D40,LEN(D40)-4)/10000</f>
        <v>5.8609</v>
      </c>
      <c r="Z40" s="50">
        <f>RIGHT(H40,LEN(H40)-4)/10000</f>
        <v>5.04E-2</v>
      </c>
      <c r="AA40" s="50">
        <f>ABS(Z40-Y40)</f>
        <v>5.8105000000000002</v>
      </c>
      <c r="AB40" s="51" t="e">
        <f>VLOOKUP(A40,Enforcements!$C$7:$J$35,8,0)</f>
        <v>#N/A</v>
      </c>
      <c r="AC40" s="51" t="e">
        <f>VLOOKUP(A40,Enforcements!$C$7:$E$35,3,0)</f>
        <v>#N/A</v>
      </c>
    </row>
    <row r="41" spans="1:29" x14ac:dyDescent="0.25">
      <c r="A41" s="43" t="s">
        <v>167</v>
      </c>
      <c r="B41" s="43">
        <v>4007</v>
      </c>
      <c r="C41" s="43" t="s">
        <v>60</v>
      </c>
      <c r="D41" s="43" t="s">
        <v>320</v>
      </c>
      <c r="E41" s="25">
        <v>42542.72828703704</v>
      </c>
      <c r="F41" s="25">
        <v>42542.729467592595</v>
      </c>
      <c r="G41" s="31">
        <v>1</v>
      </c>
      <c r="H41" s="25" t="s">
        <v>321</v>
      </c>
      <c r="I41" s="25">
        <v>42542.741157407407</v>
      </c>
      <c r="J41" s="43">
        <v>1</v>
      </c>
      <c r="K41" s="43" t="str">
        <f>IF(ISEVEN(B41),(B41-1)&amp;"/"&amp;B41,B41&amp;"/"&amp;(B41+1))</f>
        <v>4007/4008</v>
      </c>
      <c r="L41" s="43" t="str">
        <f>VLOOKUP(A41,'Trips&amp;Operators'!$C$1:$E$10000,3,FALSE)</f>
        <v>STORY</v>
      </c>
      <c r="M41" s="11">
        <f>I41-F41</f>
        <v>1.1689814811688848E-2</v>
      </c>
      <c r="N41" s="12">
        <f>24*60*SUM($M41:$M41)</f>
        <v>16.833333328831941</v>
      </c>
      <c r="O41" s="12"/>
      <c r="P41" s="12"/>
      <c r="Q41" s="44"/>
      <c r="R41" s="44"/>
      <c r="S41" s="72">
        <f>SUM(U41:U41)/12</f>
        <v>0</v>
      </c>
      <c r="T41" s="2" t="str">
        <f>IF(ISEVEN(LEFT(A41,3)),"Southbound","NorthBound")</f>
        <v>NorthBound</v>
      </c>
      <c r="U41" s="2">
        <f>COUNTIFS(Variables!$M$2:$M$19, "&lt;=" &amp; Y41, Variables!$M$2:$M$19, "&gt;=" &amp; Z41)</f>
        <v>0</v>
      </c>
      <c r="V41" s="50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https://search-rtdc-monitor-bjffxe2xuh6vdkpspy63sjmuny.us-east-1.es.amazonaws.com/_plugin/kibana/#/discover/Steve-Slow-Train-Analysis-(2080s-and-2083s)?_g=(refreshInterval:(display:Off,section:0,value:0),time:(from:'2016-06-21 17:27:44-0600',mode:absolute,to:'2016-06-21 17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1" s="50" t="str">
        <f t="shared" si="0"/>
        <v>N</v>
      </c>
      <c r="X41" s="50">
        <f>VALUE(LEFT(A41,3))-VALUE(LEFT(A37,3))</f>
        <v>7</v>
      </c>
      <c r="Y41" s="50">
        <f>RIGHT(D41,LEN(D41)-4)/10000</f>
        <v>7.9299999999999995E-2</v>
      </c>
      <c r="Z41" s="50">
        <f>RIGHT(H41,LEN(H41)-4)/10000</f>
        <v>5.8939000000000004</v>
      </c>
      <c r="AA41" s="50">
        <f>ABS(Z41-Y41)</f>
        <v>5.8146000000000004</v>
      </c>
      <c r="AB41" s="51">
        <f>VLOOKUP(A41,Enforcements!$C$7:$J$35,8,0)</f>
        <v>0</v>
      </c>
      <c r="AC41" s="51" t="str">
        <f>VLOOKUP(A41,Enforcements!$C$7:$E$35,3,0)</f>
        <v>PERMANENT SPEED RESTRICTION</v>
      </c>
    </row>
    <row r="42" spans="1:29" x14ac:dyDescent="0.25">
      <c r="A42" s="43" t="s">
        <v>168</v>
      </c>
      <c r="B42" s="43">
        <v>4008</v>
      </c>
      <c r="C42" s="43" t="s">
        <v>60</v>
      </c>
      <c r="D42" s="43" t="s">
        <v>322</v>
      </c>
      <c r="E42" s="25">
        <v>42542.741747685184</v>
      </c>
      <c r="F42" s="25">
        <v>42542.743113425924</v>
      </c>
      <c r="G42" s="31">
        <v>1</v>
      </c>
      <c r="H42" s="25" t="s">
        <v>323</v>
      </c>
      <c r="I42" s="25">
        <v>42542.755057870374</v>
      </c>
      <c r="J42" s="43">
        <v>4</v>
      </c>
      <c r="K42" s="43" t="str">
        <f>IF(ISEVEN(B42),(B42-1)&amp;"/"&amp;B42,B42&amp;"/"&amp;(B42+1))</f>
        <v>4007/4008</v>
      </c>
      <c r="L42" s="43" t="str">
        <f>VLOOKUP(A42,'Trips&amp;Operators'!$C$1:$E$10000,3,FALSE)</f>
        <v>STORY</v>
      </c>
      <c r="M42" s="11">
        <f>I42-F42</f>
        <v>1.1944444449909497E-2</v>
      </c>
      <c r="N42" s="12">
        <f>24*60*SUM($M42:$M42)</f>
        <v>17.200000007869676</v>
      </c>
      <c r="O42" s="12"/>
      <c r="P42" s="12"/>
      <c r="Q42" s="44"/>
      <c r="R42" s="44"/>
      <c r="S42" s="72">
        <f>SUM(U42:U42)/12</f>
        <v>0.58333333333333337</v>
      </c>
      <c r="T42" s="2" t="str">
        <f>IF(ISEVEN(LEFT(A42,3)),"Southbound","NorthBound")</f>
        <v>Southbound</v>
      </c>
      <c r="U42" s="2">
        <f>COUNTIFS(Variables!$M$2:$M$19, "&lt;=" &amp; Y42, Variables!$M$2:$M$19, "&gt;=" &amp; Z42)</f>
        <v>7</v>
      </c>
      <c r="V42" s="50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https://search-rtdc-monitor-bjffxe2xuh6vdkpspy63sjmuny.us-east-1.es.amazonaws.com/_plugin/kibana/#/discover/Steve-Slow-Train-Analysis-(2080s-and-2083s)?_g=(refreshInterval:(display:Off,section:0,value:0),time:(from:'2016-06-21 17:47:07-0600',mode:absolute,to:'2016-06-21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2" s="50" t="str">
        <f t="shared" si="0"/>
        <v>N</v>
      </c>
      <c r="X42" s="50">
        <f>VALUE(LEFT(A42,3))-VALUE(LEFT(A38,3))</f>
        <v>5</v>
      </c>
      <c r="Y42" s="50">
        <f>RIGHT(D42,LEN(D42)-4)/10000</f>
        <v>5.8628</v>
      </c>
      <c r="Z42" s="50">
        <f>RIGHT(H42,LEN(H42)-4)/10000</f>
        <v>1.1299999999999999E-2</v>
      </c>
      <c r="AA42" s="50">
        <f>ABS(Z42-Y42)</f>
        <v>5.8514999999999997</v>
      </c>
      <c r="AB42" s="51">
        <f>VLOOKUP(A42,Enforcements!$C$7:$J$35,8,0)</f>
        <v>59050</v>
      </c>
      <c r="AC42" s="51" t="str">
        <f>VLOOKUP(A42,Enforcements!$C$7:$E$35,3,0)</f>
        <v>PERMANENT SPEED RESTRICTION</v>
      </c>
    </row>
    <row r="43" spans="1:29" x14ac:dyDescent="0.25">
      <c r="A43" s="43" t="s">
        <v>169</v>
      </c>
      <c r="B43" s="43">
        <v>4007</v>
      </c>
      <c r="C43" s="43" t="s">
        <v>60</v>
      </c>
      <c r="D43" s="43" t="s">
        <v>324</v>
      </c>
      <c r="E43" s="25">
        <v>42542.762013888889</v>
      </c>
      <c r="F43" s="25">
        <v>42542.763680555552</v>
      </c>
      <c r="G43" s="31">
        <v>2</v>
      </c>
      <c r="H43" s="25" t="s">
        <v>321</v>
      </c>
      <c r="I43" s="25">
        <v>42542.776932870373</v>
      </c>
      <c r="J43" s="43">
        <v>1</v>
      </c>
      <c r="K43" s="43" t="str">
        <f>IF(ISEVEN(B43),(B43-1)&amp;"/"&amp;B43,B43&amp;"/"&amp;(B43+1))</f>
        <v>4007/4008</v>
      </c>
      <c r="L43" s="43" t="str">
        <f>VLOOKUP(A43,'Trips&amp;Operators'!$C$1:$E$10000,3,FALSE)</f>
        <v>STORY</v>
      </c>
      <c r="M43" s="11">
        <f>I43-F43</f>
        <v>1.3252314820419997E-2</v>
      </c>
      <c r="N43" s="12">
        <f>24*60*SUM($M43:$M43)</f>
        <v>19.083333341404796</v>
      </c>
      <c r="O43" s="12"/>
      <c r="P43" s="12"/>
      <c r="Q43" s="44"/>
      <c r="R43" s="44"/>
      <c r="S43" s="72">
        <f>SUM(U43:U43)/12</f>
        <v>0</v>
      </c>
      <c r="T43" s="2" t="str">
        <f>IF(ISEVEN(LEFT(A43,3)),"Southbound","NorthBound")</f>
        <v>NorthBound</v>
      </c>
      <c r="U43" s="2">
        <f>COUNTIFS(Variables!$M$2:$M$19, "&lt;=" &amp; Y43, Variables!$M$2:$M$19, "&gt;=" &amp; Z43)</f>
        <v>0</v>
      </c>
      <c r="V43" s="50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https://search-rtdc-monitor-bjffxe2xuh6vdkpspy63sjmuny.us-east-1.es.amazonaws.com/_plugin/kibana/#/discover/Steve-Slow-Train-Analysis-(2080s-and-2083s)?_g=(refreshInterval:(display:Off,section:0,value:0),time:(from:'2016-06-21 18:16:18-0600',mode:absolute,to:'2016-06-21 18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3" s="50" t="str">
        <f t="shared" si="0"/>
        <v>N</v>
      </c>
      <c r="X43" s="50">
        <f>VALUE(LEFT(A43,3))-VALUE(LEFT(A39,3))</f>
        <v>8</v>
      </c>
      <c r="Y43" s="50">
        <f>RIGHT(D43,LEN(D43)-4)/10000</f>
        <v>4.0300000000000002E-2</v>
      </c>
      <c r="Z43" s="50">
        <f>RIGHT(H43,LEN(H43)-4)/10000</f>
        <v>5.8939000000000004</v>
      </c>
      <c r="AA43" s="50">
        <f>ABS(Z43-Y43)</f>
        <v>5.8536000000000001</v>
      </c>
      <c r="AB43" s="51">
        <f>VLOOKUP(A43,Enforcements!$C$7:$J$35,8,0)</f>
        <v>59048</v>
      </c>
      <c r="AC43" s="51" t="str">
        <f>VLOOKUP(A43,Enforcements!$C$7:$E$35,3,0)</f>
        <v>TRACK WARRANT AUTHORITY</v>
      </c>
    </row>
    <row r="44" spans="1:29" x14ac:dyDescent="0.25">
      <c r="A44" s="43" t="s">
        <v>170</v>
      </c>
      <c r="B44" s="43">
        <v>4008</v>
      </c>
      <c r="C44" s="43" t="s">
        <v>60</v>
      </c>
      <c r="D44" s="43" t="s">
        <v>325</v>
      </c>
      <c r="E44" s="25">
        <v>42542.77747685185</v>
      </c>
      <c r="F44" s="25">
        <v>42542.778425925928</v>
      </c>
      <c r="G44" s="31">
        <v>1</v>
      </c>
      <c r="H44" s="25" t="s">
        <v>326</v>
      </c>
      <c r="I44" s="25">
        <v>42542.787638888891</v>
      </c>
      <c r="J44" s="43">
        <v>1</v>
      </c>
      <c r="K44" s="43" t="str">
        <f>IF(ISEVEN(B44),(B44-1)&amp;"/"&amp;B44,B44&amp;"/"&amp;(B44+1))</f>
        <v>4007/4008</v>
      </c>
      <c r="L44" s="43" t="str">
        <f>VLOOKUP(A44,'Trips&amp;Operators'!$C$1:$E$10000,3,FALSE)</f>
        <v>STORY</v>
      </c>
      <c r="M44" s="11">
        <f>I44-F44</f>
        <v>9.2129629629198462E-3</v>
      </c>
      <c r="N44" s="12"/>
      <c r="O44" s="12"/>
      <c r="P44" s="12">
        <f>24*60*SUM($M44:$M44)</f>
        <v>13.266666666604578</v>
      </c>
      <c r="Q44" s="44"/>
      <c r="R44" s="44"/>
      <c r="S44" s="72">
        <f>SUM(U44:U44)/12</f>
        <v>0.58333333333333337</v>
      </c>
      <c r="T44" s="2" t="str">
        <f>IF(ISEVEN(LEFT(A44,3)),"Southbound","NorthBound")</f>
        <v>Southbound</v>
      </c>
      <c r="U44" s="2">
        <f>COUNTIFS(Variables!$M$2:$M$19, "&lt;=" &amp; Y44, Variables!$M$2:$M$19, "&gt;=" &amp; Z44)</f>
        <v>7</v>
      </c>
      <c r="V44" s="50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https://search-rtdc-monitor-bjffxe2xuh6vdkpspy63sjmuny.us-east-1.es.amazonaws.com/_plugin/kibana/#/discover/Steve-Slow-Train-Analysis-(2080s-and-2083s)?_g=(refreshInterval:(display:Off,section:0,value:0),time:(from:'2016-06-21 18:38:34-0600',mode:absolute,to:'2016-06-21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4" s="50" t="str">
        <f t="shared" si="0"/>
        <v>Y</v>
      </c>
      <c r="X44" s="50">
        <f>VALUE(LEFT(A44,3))-VALUE(LEFT(A40,3))</f>
        <v>8</v>
      </c>
      <c r="Y44" s="50">
        <f>RIGHT(D44,LEN(D44)-4)/10000</f>
        <v>5.8624000000000001</v>
      </c>
      <c r="Z44" s="50">
        <f>RIGHT(H44,LEN(H44)-4)/10000</f>
        <v>1.2821</v>
      </c>
      <c r="AA44" s="50">
        <f>ABS(Z44-Y44)</f>
        <v>4.5803000000000003</v>
      </c>
      <c r="AB44" s="51">
        <f>VLOOKUP(A44,Enforcements!$C$7:$J$35,8,0)</f>
        <v>14977</v>
      </c>
      <c r="AC44" s="51" t="str">
        <f>VLOOKUP(A44,Enforcements!$C$7:$E$35,3,0)</f>
        <v>PERMANENT SPEED RESTRICTION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13:X1048576">
    <cfRule type="cellIs" dxfId="13" priority="69" operator="equal">
      <formula>"Y"</formula>
    </cfRule>
  </conditionalFormatting>
  <conditionalFormatting sqref="X13:X1048576">
    <cfRule type="cellIs" dxfId="12" priority="52" operator="greaterThan">
      <formula>1</formula>
    </cfRule>
  </conditionalFormatting>
  <conditionalFormatting sqref="X12:X1048576">
    <cfRule type="cellIs" dxfId="11" priority="49" operator="equal">
      <formula>0</formula>
    </cfRule>
  </conditionalFormatting>
  <conditionalFormatting sqref="A13:S44">
    <cfRule type="expression" dxfId="10" priority="44">
      <formula>$P13&gt;0</formula>
    </cfRule>
    <cfRule type="expression" dxfId="9" priority="45">
      <formula>$O13&gt;0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zoomScale="85" zoomScaleNormal="85" workbookViewId="0">
      <selection activeCell="M3" sqref="M3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7"/>
  </cols>
  <sheetData>
    <row r="1" spans="1:17" s="42" customFormat="1" ht="15.75" thickBot="1" x14ac:dyDescent="0.3">
      <c r="A1" s="13"/>
      <c r="P1" s="57"/>
    </row>
    <row r="2" spans="1:17" s="42" customFormat="1" ht="30" x14ac:dyDescent="0.25">
      <c r="A2" s="13"/>
      <c r="K2" s="76" t="s">
        <v>316</v>
      </c>
      <c r="L2" s="77"/>
      <c r="M2" s="78">
        <f>COUNTIF(M7:M35,"=Y")</f>
        <v>1</v>
      </c>
      <c r="P2" s="57"/>
    </row>
    <row r="3" spans="1:17" s="42" customFormat="1" ht="15.75" thickBot="1" x14ac:dyDescent="0.3">
      <c r="A3" s="13"/>
      <c r="K3" s="79" t="s">
        <v>317</v>
      </c>
      <c r="L3" s="80"/>
      <c r="M3" s="81">
        <f>COUNTA(M7:M35)-M2</f>
        <v>28</v>
      </c>
      <c r="P3" s="57"/>
    </row>
    <row r="4" spans="1:17" s="42" customFormat="1" x14ac:dyDescent="0.25">
      <c r="A4" s="13"/>
      <c r="P4" s="57"/>
    </row>
    <row r="5" spans="1:17" s="21" customFormat="1" ht="15" customHeight="1" x14ac:dyDescent="0.25">
      <c r="A5" s="90" t="str">
        <f>"Eagle P3 Braking Events - "&amp;TEXT(Variables!$A$2,"YYYY-mm-dd")</f>
        <v>Eagle P3 Braking Events - 2016-06-21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22"/>
      <c r="P5" s="55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8" t="s">
        <v>66</v>
      </c>
    </row>
    <row r="7" spans="1:17" s="2" customFormat="1" x14ac:dyDescent="0.25">
      <c r="A7" s="18">
        <v>42542.786840277775</v>
      </c>
      <c r="B7" s="17" t="s">
        <v>76</v>
      </c>
      <c r="C7" s="17" t="s">
        <v>170</v>
      </c>
      <c r="D7" s="17" t="s">
        <v>50</v>
      </c>
      <c r="E7" s="17" t="s">
        <v>58</v>
      </c>
      <c r="F7" s="17">
        <v>150</v>
      </c>
      <c r="G7" s="17">
        <v>174</v>
      </c>
      <c r="H7" s="17">
        <v>15247</v>
      </c>
      <c r="I7" s="17" t="s">
        <v>59</v>
      </c>
      <c r="J7" s="17">
        <v>14977</v>
      </c>
      <c r="K7" s="16" t="s">
        <v>54</v>
      </c>
      <c r="L7" s="16" t="str">
        <f>VLOOKUP(C7,'Trips&amp;Operators'!$C$2:$E$10000,3,FALSE)</f>
        <v>STORY</v>
      </c>
      <c r="M7" s="15" t="s">
        <v>315</v>
      </c>
      <c r="N7" s="16"/>
      <c r="P7" s="56" t="str">
        <f>VLOOKUP(C7,'Train Runs'!$A$13:$V$122,22,0)</f>
        <v>https://search-rtdc-monitor-bjffxe2xuh6vdkpspy63sjmuny.us-east-1.es.amazonaws.com/_plugin/kibana/#/discover/Steve-Slow-Train-Analysis-(2080s-and-2083s)?_g=(refreshInterval:(display:Off,section:0,value:0),time:(from:'2016-06-21 18:38:34-0600',mode:absolute,to:'2016-06-21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4" t="str">
        <f t="shared" ref="Q7:Q12" si="0">MID(B7,13,4)</f>
        <v>4008</v>
      </c>
    </row>
    <row r="8" spans="1:17" s="2" customFormat="1" x14ac:dyDescent="0.25">
      <c r="A8" s="18">
        <v>42542.74428240741</v>
      </c>
      <c r="B8" s="17" t="s">
        <v>76</v>
      </c>
      <c r="C8" s="17" t="s">
        <v>168</v>
      </c>
      <c r="D8" s="17" t="s">
        <v>55</v>
      </c>
      <c r="E8" s="17" t="s">
        <v>58</v>
      </c>
      <c r="F8" s="17">
        <v>150</v>
      </c>
      <c r="G8" s="17">
        <v>210</v>
      </c>
      <c r="H8" s="17">
        <v>56919</v>
      </c>
      <c r="I8" s="17" t="s">
        <v>59</v>
      </c>
      <c r="J8" s="17">
        <v>59050</v>
      </c>
      <c r="K8" s="16" t="s">
        <v>54</v>
      </c>
      <c r="L8" s="16" t="str">
        <f>VLOOKUP(C8,'Trips&amp;Operators'!$C$2:$E$10000,3,FALSE)</f>
        <v>STORY</v>
      </c>
      <c r="M8" s="15" t="s">
        <v>315</v>
      </c>
      <c r="N8" s="16"/>
      <c r="P8" s="56" t="str">
        <f>VLOOKUP(C8,'Train Runs'!$A$13:$V$122,22,0)</f>
        <v>https://search-rtdc-monitor-bjffxe2xuh6vdkpspy63sjmuny.us-east-1.es.amazonaws.com/_plugin/kibana/#/discover/Steve-Slow-Train-Analysis-(2080s-and-2083s)?_g=(refreshInterval:(display:Off,section:0,value:0),time:(from:'2016-06-21 17:47:07-0600',mode:absolute,to:'2016-06-21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4" t="str">
        <f t="shared" si="0"/>
        <v>4008</v>
      </c>
    </row>
    <row r="9" spans="1:17" s="2" customFormat="1" x14ac:dyDescent="0.25">
      <c r="A9" s="18">
        <v>42542.732141203705</v>
      </c>
      <c r="B9" s="17" t="s">
        <v>78</v>
      </c>
      <c r="C9" s="17" t="s">
        <v>167</v>
      </c>
      <c r="D9" s="17" t="s">
        <v>55</v>
      </c>
      <c r="E9" s="17" t="s">
        <v>58</v>
      </c>
      <c r="F9" s="17">
        <v>150</v>
      </c>
      <c r="G9" s="17">
        <v>201</v>
      </c>
      <c r="H9" s="17">
        <v>5089</v>
      </c>
      <c r="I9" s="17" t="s">
        <v>59</v>
      </c>
      <c r="J9" s="17">
        <v>0</v>
      </c>
      <c r="K9" s="16" t="s">
        <v>53</v>
      </c>
      <c r="L9" s="16" t="str">
        <f>VLOOKUP(C9,'Trips&amp;Operators'!$C$2:$E$10000,3,FALSE)</f>
        <v>STORY</v>
      </c>
      <c r="M9" s="15" t="s">
        <v>315</v>
      </c>
      <c r="N9" s="16"/>
      <c r="P9" s="56" t="str">
        <f>VLOOKUP(C9,'Train Runs'!$A$13:$V$122,22,0)</f>
        <v>https://search-rtdc-monitor-bjffxe2xuh6vdkpspy63sjmuny.us-east-1.es.amazonaws.com/_plugin/kibana/#/discover/Steve-Slow-Train-Analysis-(2080s-and-2083s)?_g=(refreshInterval:(display:Off,section:0,value:0),time:(from:'2016-06-21 17:27:44-0600',mode:absolute,to:'2016-06-21 17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9" s="14" t="str">
        <f t="shared" si="0"/>
        <v>4007</v>
      </c>
    </row>
    <row r="10" spans="1:17" s="2" customFormat="1" x14ac:dyDescent="0.25">
      <c r="A10" s="18">
        <v>42542.647928240738</v>
      </c>
      <c r="B10" s="17" t="s">
        <v>78</v>
      </c>
      <c r="C10" s="17" t="s">
        <v>287</v>
      </c>
      <c r="D10" s="17" t="s">
        <v>50</v>
      </c>
      <c r="E10" s="17" t="s">
        <v>58</v>
      </c>
      <c r="F10" s="17">
        <v>300</v>
      </c>
      <c r="G10" s="17">
        <v>303</v>
      </c>
      <c r="H10" s="17">
        <v>20341</v>
      </c>
      <c r="I10" s="17" t="s">
        <v>59</v>
      </c>
      <c r="J10" s="17">
        <v>21314</v>
      </c>
      <c r="K10" s="16" t="s">
        <v>53</v>
      </c>
      <c r="L10" s="16" t="str">
        <f>VLOOKUP(C10,'Trips&amp;Operators'!$C$2:$E$10000,3,FALSE)</f>
        <v>STORY</v>
      </c>
      <c r="M10" s="15" t="s">
        <v>315</v>
      </c>
      <c r="N10" s="16"/>
      <c r="P10" s="56" t="str">
        <f>VLOOKUP(C10,'Train Runs'!$A$13:$V$122,22,0)</f>
        <v>https://search-rtdc-monitor-bjffxe2xuh6vdkpspy63sjmuny.us-east-1.es.amazonaws.com/_plugin/kibana/#/discover/Steve-Slow-Train-Analysis-(2080s-and-2083s)?_g=(refreshInterval:(display:Off,section:0,value:0),time:(from:'2016-06-21 15:09:13-0600',mode:absolute,to:'2016-06-21 15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 t="shared" si="0"/>
        <v>4007</v>
      </c>
    </row>
    <row r="11" spans="1:17" s="2" customFormat="1" x14ac:dyDescent="0.25">
      <c r="A11" s="18">
        <v>42542.622152777774</v>
      </c>
      <c r="B11" s="17" t="s">
        <v>76</v>
      </c>
      <c r="C11" s="17" t="s">
        <v>286</v>
      </c>
      <c r="D11" s="17" t="s">
        <v>50</v>
      </c>
      <c r="E11" s="17" t="s">
        <v>58</v>
      </c>
      <c r="F11" s="17">
        <v>300</v>
      </c>
      <c r="G11" s="17">
        <v>354</v>
      </c>
      <c r="H11" s="17">
        <v>42720</v>
      </c>
      <c r="I11" s="17" t="s">
        <v>59</v>
      </c>
      <c r="J11" s="17">
        <v>41797</v>
      </c>
      <c r="K11" s="16" t="s">
        <v>54</v>
      </c>
      <c r="L11" s="16" t="str">
        <f>VLOOKUP(C11,'Trips&amp;Operators'!$C$2:$E$10000,3,FALSE)</f>
        <v>STORY</v>
      </c>
      <c r="M11" s="15" t="s">
        <v>315</v>
      </c>
      <c r="N11" s="16"/>
      <c r="P11" s="56" t="str">
        <f>VLOOKUP(C11,'Train Runs'!$A$13:$V$122,22,0)</f>
        <v>https://search-rtdc-monitor-bjffxe2xuh6vdkpspy63sjmuny.us-east-1.es.amazonaws.com/_plugin/kibana/#/discover/Steve-Slow-Train-Analysis-(2080s-and-2083s)?_g=(refreshInterval:(display:Off,section:0,value:0),time:(from:'2016-06-21 14:45:45-0600',mode:absolute,to:'2016-06-21 15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" s="14" t="str">
        <f t="shared" si="0"/>
        <v>4008</v>
      </c>
    </row>
    <row r="12" spans="1:17" s="2" customFormat="1" x14ac:dyDescent="0.25">
      <c r="A12" s="18">
        <v>42542.607974537037</v>
      </c>
      <c r="B12" s="17" t="s">
        <v>78</v>
      </c>
      <c r="C12" s="17" t="s">
        <v>285</v>
      </c>
      <c r="D12" s="17" t="s">
        <v>50</v>
      </c>
      <c r="E12" s="17" t="s">
        <v>58</v>
      </c>
      <c r="F12" s="17">
        <v>400</v>
      </c>
      <c r="G12" s="17">
        <v>459</v>
      </c>
      <c r="H12" s="17">
        <v>46560</v>
      </c>
      <c r="I12" s="17" t="s">
        <v>59</v>
      </c>
      <c r="J12" s="17">
        <v>47808</v>
      </c>
      <c r="K12" s="16" t="s">
        <v>53</v>
      </c>
      <c r="L12" s="16" t="str">
        <f>VLOOKUP(C12,'Trips&amp;Operators'!$C$2:$E$10000,3,FALSE)</f>
        <v>STORY</v>
      </c>
      <c r="M12" s="15" t="s">
        <v>315</v>
      </c>
      <c r="N12" s="16"/>
      <c r="P12" s="56" t="str">
        <f>VLOOKUP(C12,'Train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2" s="14" t="str">
        <f t="shared" si="0"/>
        <v>4007</v>
      </c>
    </row>
    <row r="13" spans="1:17" s="2" customFormat="1" x14ac:dyDescent="0.25">
      <c r="A13" s="18">
        <v>42542.622141203705</v>
      </c>
      <c r="B13" s="17" t="s">
        <v>78</v>
      </c>
      <c r="C13" s="17" t="s">
        <v>285</v>
      </c>
      <c r="D13" s="17" t="s">
        <v>50</v>
      </c>
      <c r="E13" s="17" t="s">
        <v>58</v>
      </c>
      <c r="F13" s="17">
        <v>300</v>
      </c>
      <c r="G13" s="17">
        <v>357</v>
      </c>
      <c r="H13" s="17">
        <v>42744</v>
      </c>
      <c r="I13" s="17" t="s">
        <v>59</v>
      </c>
      <c r="J13" s="17">
        <v>41797</v>
      </c>
      <c r="K13" s="16" t="s">
        <v>54</v>
      </c>
      <c r="L13" s="16" t="str">
        <f>VLOOKUP(C13,'Trips&amp;Operators'!$C$2:$E$10000,3,FALSE)</f>
        <v>STORY</v>
      </c>
      <c r="M13" s="15" t="s">
        <v>315</v>
      </c>
      <c r="N13" s="16"/>
      <c r="P13" s="56" t="str">
        <f>VLOOKUP(C13,'Train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3" s="14" t="str">
        <f t="shared" ref="Q13:Q35" si="1">MID(B13,13,4)</f>
        <v>4007</v>
      </c>
    </row>
    <row r="14" spans="1:17" s="2" customFormat="1" x14ac:dyDescent="0.25">
      <c r="A14" s="18">
        <v>42542.434513888889</v>
      </c>
      <c r="B14" s="17" t="s">
        <v>78</v>
      </c>
      <c r="C14" s="17" t="s">
        <v>279</v>
      </c>
      <c r="D14" s="17" t="s">
        <v>55</v>
      </c>
      <c r="E14" s="17" t="s">
        <v>58</v>
      </c>
      <c r="F14" s="17">
        <v>500</v>
      </c>
      <c r="G14" s="17">
        <v>554</v>
      </c>
      <c r="H14" s="17">
        <v>16763</v>
      </c>
      <c r="I14" s="17" t="s">
        <v>59</v>
      </c>
      <c r="J14" s="17">
        <v>14402</v>
      </c>
      <c r="K14" s="16" t="s">
        <v>53</v>
      </c>
      <c r="L14" s="16" t="str">
        <f>VLOOKUP(C14,'Trips&amp;Operators'!$C$2:$E$10000,3,FALSE)</f>
        <v>HELVIE</v>
      </c>
      <c r="M14" s="15" t="s">
        <v>315</v>
      </c>
      <c r="N14" s="16"/>
      <c r="P14" s="56" t="str">
        <f>VLOOKUP(C14,'Train Runs'!$A$13:$V$122,22,0)</f>
        <v>https://search-rtdc-monitor-bjffxe2xuh6vdkpspy63sjmuny.us-east-1.es.amazonaws.com/_plugin/kibana/#/discover/Steve-Slow-Train-Analysis-(2080s-and-2083s)?_g=(refreshInterval:(display:Off,section:0,value:0),time:(from:'2016-06-21 10:14:38-0600',mode:absolute,to:'2016-06-21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4" s="14" t="str">
        <f t="shared" si="1"/>
        <v>4007</v>
      </c>
    </row>
    <row r="15" spans="1:17" s="2" customFormat="1" x14ac:dyDescent="0.25">
      <c r="A15" s="18">
        <v>42542.351400462961</v>
      </c>
      <c r="B15" s="17" t="s">
        <v>78</v>
      </c>
      <c r="C15" s="17" t="s">
        <v>275</v>
      </c>
      <c r="D15" s="17" t="s">
        <v>50</v>
      </c>
      <c r="E15" s="17" t="s">
        <v>58</v>
      </c>
      <c r="F15" s="17">
        <v>300</v>
      </c>
      <c r="G15" s="17">
        <v>375</v>
      </c>
      <c r="H15" s="17">
        <v>20418</v>
      </c>
      <c r="I15" s="17" t="s">
        <v>59</v>
      </c>
      <c r="J15" s="17">
        <v>21314</v>
      </c>
      <c r="K15" s="16" t="s">
        <v>53</v>
      </c>
      <c r="L15" s="16" t="str">
        <f>VLOOKUP(C15,'Trips&amp;Operators'!$C$2:$E$10000,3,FALSE)</f>
        <v>HELVIE</v>
      </c>
      <c r="M15" s="15" t="s">
        <v>315</v>
      </c>
      <c r="N15" s="16"/>
      <c r="P15" s="56" t="str">
        <f>VLOOKUP(C15,'Train Runs'!$A$13:$V$122,22,0)</f>
        <v>https://search-rtdc-monitor-bjffxe2xuh6vdkpspy63sjmuny.us-east-1.es.amazonaws.com/_plugin/kibana/#/discover/Steve-Slow-Train-Analysis-(2080s-and-2083s)?_g=(refreshInterval:(display:Off,section:0,value:0),time:(from:'2016-06-21 08:11:53-0600',mode:absolute,to:'2016-06-21 08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5" s="14" t="str">
        <f t="shared" si="1"/>
        <v>4007</v>
      </c>
    </row>
    <row r="16" spans="1:17" s="2" customFormat="1" x14ac:dyDescent="0.25">
      <c r="A16" s="18">
        <v>42542.334178240744</v>
      </c>
      <c r="B16" s="17" t="s">
        <v>79</v>
      </c>
      <c r="C16" s="17" t="s">
        <v>273</v>
      </c>
      <c r="D16" s="17" t="s">
        <v>50</v>
      </c>
      <c r="E16" s="17" t="s">
        <v>58</v>
      </c>
      <c r="F16" s="17">
        <v>150</v>
      </c>
      <c r="G16" s="17">
        <v>458</v>
      </c>
      <c r="H16" s="17">
        <v>55245</v>
      </c>
      <c r="I16" s="17" t="s">
        <v>59</v>
      </c>
      <c r="J16" s="17">
        <v>57008</v>
      </c>
      <c r="K16" s="16" t="s">
        <v>53</v>
      </c>
      <c r="L16" s="16" t="str">
        <f>VLOOKUP(C16,'Trips&amp;Operators'!$C$2:$E$10000,3,FALSE)</f>
        <v>GOODNIGHT</v>
      </c>
      <c r="M16" s="15" t="s">
        <v>315</v>
      </c>
      <c r="N16" s="16"/>
      <c r="P16" s="56" t="str">
        <f>VLOOKUP(C16,'Train Runs'!$A$13:$V$122,22,0)</f>
        <v>https://search-rtdc-monitor-bjffxe2xuh6vdkpspy63sjmuny.us-east-1.es.amazonaws.com/_plugin/kibana/#/discover/Steve-Slow-Train-Analysis-(2080s-and-2083s)?_g=(refreshInterval:(display:Off,section:0,value:0),time:(from:'2016-06-21 07:46:22-0600',mode:absolute,to:'2016-06-21 08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6" s="14" t="str">
        <f t="shared" si="1"/>
        <v>4044</v>
      </c>
    </row>
    <row r="17" spans="1:17" s="2" customFormat="1" x14ac:dyDescent="0.25">
      <c r="A17" s="18">
        <v>42542.266493055555</v>
      </c>
      <c r="B17" s="17" t="s">
        <v>78</v>
      </c>
      <c r="C17" s="17" t="s">
        <v>267</v>
      </c>
      <c r="D17" s="17" t="s">
        <v>55</v>
      </c>
      <c r="E17" s="17" t="s">
        <v>58</v>
      </c>
      <c r="F17" s="17">
        <v>150</v>
      </c>
      <c r="G17" s="17">
        <v>201</v>
      </c>
      <c r="H17" s="17">
        <v>5165</v>
      </c>
      <c r="I17" s="17" t="s">
        <v>59</v>
      </c>
      <c r="J17" s="17">
        <v>574</v>
      </c>
      <c r="K17" s="16" t="s">
        <v>53</v>
      </c>
      <c r="L17" s="16" t="str">
        <f>VLOOKUP(C17,'Trips&amp;Operators'!$C$2:$E$10000,3,FALSE)</f>
        <v>HELVIE</v>
      </c>
      <c r="M17" s="15" t="s">
        <v>315</v>
      </c>
      <c r="N17" s="16"/>
      <c r="P17" s="56" t="str">
        <f>VLOOKUP(C17,'Train Runs'!$A$13:$V$122,22,0)</f>
        <v>https://search-rtdc-monitor-bjffxe2xuh6vdkpspy63sjmuny.us-east-1.es.amazonaws.com/_plugin/kibana/#/discover/Steve-Slow-Train-Analysis-(2080s-and-2083s)?_g=(refreshInterval:(display:Off,section:0,value:0),time:(from:'2016-06-21 06:07:09-0600',mode:absolute,to:'2016-06-21 06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7" s="14" t="str">
        <f t="shared" si="1"/>
        <v>4007</v>
      </c>
    </row>
    <row r="18" spans="1:17" s="2" customFormat="1" x14ac:dyDescent="0.25">
      <c r="A18" s="18">
        <v>42542.272893518515</v>
      </c>
      <c r="B18" s="17" t="s">
        <v>78</v>
      </c>
      <c r="C18" s="17" t="s">
        <v>267</v>
      </c>
      <c r="D18" s="17" t="s">
        <v>50</v>
      </c>
      <c r="E18" s="17" t="s">
        <v>58</v>
      </c>
      <c r="F18" s="17">
        <v>150</v>
      </c>
      <c r="G18" s="17">
        <v>128</v>
      </c>
      <c r="H18" s="17">
        <v>56896</v>
      </c>
      <c r="I18" s="17" t="s">
        <v>59</v>
      </c>
      <c r="J18" s="17">
        <v>57008</v>
      </c>
      <c r="K18" s="16" t="s">
        <v>53</v>
      </c>
      <c r="L18" s="16" t="str">
        <f>VLOOKUP(C18,'Trips&amp;Operators'!$C$2:$E$10000,3,FALSE)</f>
        <v>HELVIE</v>
      </c>
      <c r="M18" s="15" t="s">
        <v>315</v>
      </c>
      <c r="N18" s="16"/>
      <c r="P18" s="56" t="str">
        <f>VLOOKUP(C18,'Train Runs'!$A$13:$V$122,22,0)</f>
        <v>https://search-rtdc-monitor-bjffxe2xuh6vdkpspy63sjmuny.us-east-1.es.amazonaws.com/_plugin/kibana/#/discover/Steve-Slow-Train-Analysis-(2080s-and-2083s)?_g=(refreshInterval:(display:Off,section:0,value:0),time:(from:'2016-06-21 06:07:09-0600',mode:absolute,to:'2016-06-21 06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1"/>
        <v>4007</v>
      </c>
    </row>
    <row r="19" spans="1:17" s="2" customFormat="1" x14ac:dyDescent="0.25">
      <c r="A19" s="18">
        <v>42542.259375000001</v>
      </c>
      <c r="B19" s="17" t="s">
        <v>67</v>
      </c>
      <c r="C19" s="17" t="s">
        <v>266</v>
      </c>
      <c r="D19" s="17" t="s">
        <v>55</v>
      </c>
      <c r="E19" s="17" t="s">
        <v>58</v>
      </c>
      <c r="F19" s="17">
        <v>150</v>
      </c>
      <c r="G19" s="17">
        <v>209</v>
      </c>
      <c r="H19" s="17">
        <v>56946</v>
      </c>
      <c r="I19" s="17" t="s">
        <v>59</v>
      </c>
      <c r="J19" s="17">
        <v>59050</v>
      </c>
      <c r="K19" s="16" t="s">
        <v>54</v>
      </c>
      <c r="L19" s="16" t="str">
        <f>VLOOKUP(C19,'Trips&amp;Operators'!$C$2:$E$10000,3,FALSE)</f>
        <v>GOODNIGHT</v>
      </c>
      <c r="M19" s="15" t="s">
        <v>315</v>
      </c>
      <c r="N19" s="16"/>
      <c r="P19" s="56" t="str">
        <f>VLOOKUP(C19,'Train Runs'!$A$13:$V$122,22,0)</f>
        <v>https://search-rtdc-monitor-bjffxe2xuh6vdkpspy63sjmuny.us-east-1.es.amazonaws.com/_plugin/kibana/#/discover/Steve-Slow-Train-Analysis-(2080s-and-2083s)?_g=(refreshInterval:(display:Off,section:0,value:0),time:(from:'2016-06-21 06:05:33-0600',mode:absolute,to:'2016-06-21 06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9" s="14" t="str">
        <f t="shared" si="1"/>
        <v>4043</v>
      </c>
    </row>
    <row r="20" spans="1:17" s="2" customFormat="1" x14ac:dyDescent="0.25">
      <c r="A20" s="18">
        <v>42542.248888888891</v>
      </c>
      <c r="B20" s="17" t="s">
        <v>79</v>
      </c>
      <c r="C20" s="17" t="s">
        <v>265</v>
      </c>
      <c r="D20" s="17" t="s">
        <v>50</v>
      </c>
      <c r="E20" s="17" t="s">
        <v>58</v>
      </c>
      <c r="F20" s="17">
        <v>600</v>
      </c>
      <c r="G20" s="17">
        <v>651</v>
      </c>
      <c r="H20" s="17">
        <v>29408</v>
      </c>
      <c r="I20" s="17" t="s">
        <v>59</v>
      </c>
      <c r="J20" s="17">
        <v>30784</v>
      </c>
      <c r="K20" s="16" t="s">
        <v>53</v>
      </c>
      <c r="L20" s="16" t="str">
        <f>VLOOKUP(C20,'Trips&amp;Operators'!$C$2:$E$10000,3,FALSE)</f>
        <v>GOODNIGHT</v>
      </c>
      <c r="M20" s="15" t="s">
        <v>315</v>
      </c>
      <c r="N20" s="16"/>
      <c r="P20" s="56" t="str">
        <f>VLOOKUP(C20,'Train Runs'!$A$13:$V$122,22,0)</f>
        <v>https://search-rtdc-monitor-bjffxe2xuh6vdkpspy63sjmuny.us-east-1.es.amazonaws.com/_plugin/kibana/#/discover/Steve-Slow-Train-Analysis-(2080s-and-2083s)?_g=(refreshInterval:(display:Off,section:0,value:0),time:(from:'2016-06-21 05:45:50-0600',mode:absolute,to:'2016-06-21 06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4" t="str">
        <f t="shared" si="1"/>
        <v>4044</v>
      </c>
    </row>
    <row r="21" spans="1:17" s="2" customFormat="1" x14ac:dyDescent="0.25">
      <c r="A21" s="18">
        <v>42542.648645833331</v>
      </c>
      <c r="B21" s="17" t="s">
        <v>78</v>
      </c>
      <c r="C21" s="17" t="s">
        <v>287</v>
      </c>
      <c r="D21" s="17" t="s">
        <v>50</v>
      </c>
      <c r="E21" s="17" t="s">
        <v>56</v>
      </c>
      <c r="F21" s="17">
        <v>0</v>
      </c>
      <c r="G21" s="17">
        <v>174</v>
      </c>
      <c r="H21" s="17">
        <v>22284</v>
      </c>
      <c r="I21" s="17" t="s">
        <v>57</v>
      </c>
      <c r="J21" s="17">
        <v>22314</v>
      </c>
      <c r="K21" s="16" t="s">
        <v>53</v>
      </c>
      <c r="L21" s="16" t="str">
        <f>VLOOKUP(C21,'Trips&amp;Operators'!$C$2:$E$10000,3,FALSE)</f>
        <v>STORY</v>
      </c>
      <c r="M21" s="15" t="s">
        <v>314</v>
      </c>
      <c r="N21" s="16"/>
      <c r="P21" s="56" t="str">
        <f>VLOOKUP(C21,'Train Runs'!$A$13:$V$122,22,0)</f>
        <v>https://search-rtdc-monitor-bjffxe2xuh6vdkpspy63sjmuny.us-east-1.es.amazonaws.com/_plugin/kibana/#/discover/Steve-Slow-Train-Analysis-(2080s-and-2083s)?_g=(refreshInterval:(display:Off,section:0,value:0),time:(from:'2016-06-21 15:09:13-0600',mode:absolute,to:'2016-06-21 15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4" t="str">
        <f t="shared" si="1"/>
        <v>4007</v>
      </c>
    </row>
    <row r="22" spans="1:17" s="2" customFormat="1" x14ac:dyDescent="0.25">
      <c r="A22" s="18">
        <v>42542.776828703703</v>
      </c>
      <c r="B22" s="17" t="s">
        <v>78</v>
      </c>
      <c r="C22" s="17" t="s">
        <v>169</v>
      </c>
      <c r="D22" s="17" t="s">
        <v>50</v>
      </c>
      <c r="E22" s="17" t="s">
        <v>51</v>
      </c>
      <c r="F22" s="17">
        <v>0</v>
      </c>
      <c r="G22" s="17">
        <v>9</v>
      </c>
      <c r="H22" s="17">
        <v>58967</v>
      </c>
      <c r="I22" s="17" t="s">
        <v>52</v>
      </c>
      <c r="J22" s="17">
        <v>59048</v>
      </c>
      <c r="K22" s="16" t="s">
        <v>53</v>
      </c>
      <c r="L22" s="16" t="str">
        <f>VLOOKUP(C22,'Trips&amp;Operators'!$C$2:$E$10000,3,FALSE)</f>
        <v>STORY</v>
      </c>
      <c r="M22" s="15" t="s">
        <v>315</v>
      </c>
      <c r="N22" s="16"/>
      <c r="P22" s="56" t="str">
        <f>VLOOKUP(C22,'Train Runs'!$A$13:$V$122,22,0)</f>
        <v>https://search-rtdc-monitor-bjffxe2xuh6vdkpspy63sjmuny.us-east-1.es.amazonaws.com/_plugin/kibana/#/discover/Steve-Slow-Train-Analysis-(2080s-and-2083s)?_g=(refreshInterval:(display:Off,section:0,value:0),time:(from:'2016-06-21 18:16:18-0600',mode:absolute,to:'2016-06-21 18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2" s="14" t="str">
        <f t="shared" si="1"/>
        <v>4007</v>
      </c>
    </row>
    <row r="23" spans="1:17" s="2" customFormat="1" x14ac:dyDescent="0.25">
      <c r="A23" s="18">
        <v>42542.754050925927</v>
      </c>
      <c r="B23" s="17" t="s">
        <v>76</v>
      </c>
      <c r="C23" s="17" t="s">
        <v>168</v>
      </c>
      <c r="D23" s="17" t="s">
        <v>50</v>
      </c>
      <c r="E23" s="17" t="s">
        <v>51</v>
      </c>
      <c r="F23" s="17">
        <v>0</v>
      </c>
      <c r="G23" s="17">
        <v>82</v>
      </c>
      <c r="H23" s="17">
        <v>314</v>
      </c>
      <c r="I23" s="17" t="s">
        <v>52</v>
      </c>
      <c r="J23" s="17">
        <v>1</v>
      </c>
      <c r="K23" s="16" t="s">
        <v>54</v>
      </c>
      <c r="L23" s="16" t="str">
        <f>VLOOKUP(C23,'Trips&amp;Operators'!$C$2:$E$10000,3,FALSE)</f>
        <v>STORY</v>
      </c>
      <c r="M23" s="15" t="s">
        <v>315</v>
      </c>
      <c r="N23" s="16"/>
      <c r="P23" s="56" t="str">
        <f>VLOOKUP(C23,'Train Runs'!$A$13:$V$122,22,0)</f>
        <v>https://search-rtdc-monitor-bjffxe2xuh6vdkpspy63sjmuny.us-east-1.es.amazonaws.com/_plugin/kibana/#/discover/Steve-Slow-Train-Analysis-(2080s-and-2083s)?_g=(refreshInterval:(display:Off,section:0,value:0),time:(from:'2016-06-21 17:47:07-0600',mode:absolute,to:'2016-06-21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3" s="14" t="str">
        <f t="shared" si="1"/>
        <v>4008</v>
      </c>
    </row>
    <row r="24" spans="1:17" s="2" customFormat="1" x14ac:dyDescent="0.25">
      <c r="A24" s="18">
        <v>42542.754467592589</v>
      </c>
      <c r="B24" s="17" t="s">
        <v>76</v>
      </c>
      <c r="C24" s="17" t="s">
        <v>168</v>
      </c>
      <c r="D24" s="17" t="s">
        <v>50</v>
      </c>
      <c r="E24" s="17" t="s">
        <v>51</v>
      </c>
      <c r="F24" s="17">
        <v>0</v>
      </c>
      <c r="G24" s="17">
        <v>41</v>
      </c>
      <c r="H24" s="17">
        <v>126</v>
      </c>
      <c r="I24" s="17" t="s">
        <v>52</v>
      </c>
      <c r="J24" s="17">
        <v>1</v>
      </c>
      <c r="K24" s="16" t="s">
        <v>54</v>
      </c>
      <c r="L24" s="16" t="str">
        <f>VLOOKUP(C24,'Trips&amp;Operators'!$C$2:$E$10000,3,FALSE)</f>
        <v>STORY</v>
      </c>
      <c r="M24" s="15" t="s">
        <v>315</v>
      </c>
      <c r="N24" s="16"/>
      <c r="P24" s="56" t="str">
        <f>VLOOKUP(C24,'Train Runs'!$A$13:$V$122,22,0)</f>
        <v>https://search-rtdc-monitor-bjffxe2xuh6vdkpspy63sjmuny.us-east-1.es.amazonaws.com/_plugin/kibana/#/discover/Steve-Slow-Train-Analysis-(2080s-and-2083s)?_g=(refreshInterval:(display:Off,section:0,value:0),time:(from:'2016-06-21 17:47:07-0600',mode:absolute,to:'2016-06-21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4" s="14" t="str">
        <f t="shared" si="1"/>
        <v>4008</v>
      </c>
    </row>
    <row r="25" spans="1:17" s="2" customFormat="1" x14ac:dyDescent="0.25">
      <c r="A25" s="18">
        <v>42542.754791666666</v>
      </c>
      <c r="B25" s="17" t="s">
        <v>76</v>
      </c>
      <c r="C25" s="17" t="s">
        <v>168</v>
      </c>
      <c r="D25" s="17" t="s">
        <v>50</v>
      </c>
      <c r="E25" s="17" t="s">
        <v>51</v>
      </c>
      <c r="F25" s="17">
        <v>0</v>
      </c>
      <c r="G25" s="17">
        <v>7</v>
      </c>
      <c r="H25" s="17">
        <v>102</v>
      </c>
      <c r="I25" s="17" t="s">
        <v>52</v>
      </c>
      <c r="J25" s="17">
        <v>1</v>
      </c>
      <c r="K25" s="16" t="s">
        <v>54</v>
      </c>
      <c r="L25" s="16" t="str">
        <f>VLOOKUP(C25,'Trips&amp;Operators'!$C$2:$E$10000,3,FALSE)</f>
        <v>STORY</v>
      </c>
      <c r="M25" s="15" t="s">
        <v>315</v>
      </c>
      <c r="N25" s="16"/>
      <c r="P25" s="56" t="str">
        <f>VLOOKUP(C25,'Train Runs'!$A$13:$V$122,22,0)</f>
        <v>https://search-rtdc-monitor-bjffxe2xuh6vdkpspy63sjmuny.us-east-1.es.amazonaws.com/_plugin/kibana/#/discover/Steve-Slow-Train-Analysis-(2080s-and-2083s)?_g=(refreshInterval:(display:Off,section:0,value:0),time:(from:'2016-06-21 17:47:07-0600',mode:absolute,to:'2016-06-21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5" s="14" t="str">
        <f t="shared" si="1"/>
        <v>4008</v>
      </c>
    </row>
    <row r="26" spans="1:17" s="2" customFormat="1" x14ac:dyDescent="0.25">
      <c r="A26" s="18">
        <v>42542.706793981481</v>
      </c>
      <c r="B26" s="17" t="s">
        <v>78</v>
      </c>
      <c r="C26" s="17" t="s">
        <v>289</v>
      </c>
      <c r="D26" s="17" t="s">
        <v>50</v>
      </c>
      <c r="E26" s="17" t="s">
        <v>51</v>
      </c>
      <c r="F26" s="17">
        <v>0</v>
      </c>
      <c r="G26" s="17">
        <v>101</v>
      </c>
      <c r="H26" s="17">
        <v>58587</v>
      </c>
      <c r="I26" s="17" t="s">
        <v>52</v>
      </c>
      <c r="J26" s="17">
        <v>59048</v>
      </c>
      <c r="K26" s="16" t="s">
        <v>53</v>
      </c>
      <c r="L26" s="16" t="str">
        <f>VLOOKUP(C26,'Trips&amp;Operators'!$C$2:$E$10000,3,FALSE)</f>
        <v>STORY</v>
      </c>
      <c r="M26" s="15" t="s">
        <v>315</v>
      </c>
      <c r="N26" s="16"/>
      <c r="P26" s="56" t="str">
        <f>VLOOKUP(C26,'Train Runs'!$A$13:$V$122,22,0)</f>
        <v>https://search-rtdc-monitor-bjffxe2xuh6vdkpspy63sjmuny.us-east-1.es.amazonaws.com/_plugin/kibana/#/discover/Steve-Slow-Train-Analysis-(2080s-and-2083s)?_g=(refreshInterval:(display:Off,section:0,value:0),time:(from:'2016-06-21 16:19:15-0600',mode:absolute,to:'2016-06-21 17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1"/>
        <v>4007</v>
      </c>
    </row>
    <row r="27" spans="1:17" s="2" customFormat="1" x14ac:dyDescent="0.25">
      <c r="A27" s="18">
        <v>42542.707627314812</v>
      </c>
      <c r="B27" s="17" t="s">
        <v>78</v>
      </c>
      <c r="C27" s="17" t="s">
        <v>289</v>
      </c>
      <c r="D27" s="17" t="s">
        <v>50</v>
      </c>
      <c r="E27" s="17" t="s">
        <v>51</v>
      </c>
      <c r="F27" s="17">
        <v>0</v>
      </c>
      <c r="G27" s="17">
        <v>5</v>
      </c>
      <c r="H27" s="17">
        <v>58980</v>
      </c>
      <c r="I27" s="17" t="s">
        <v>52</v>
      </c>
      <c r="J27" s="17">
        <v>59048</v>
      </c>
      <c r="K27" s="16" t="s">
        <v>53</v>
      </c>
      <c r="L27" s="16" t="str">
        <f>VLOOKUP(C27,'Trips&amp;Operators'!$C$2:$E$10000,3,FALSE)</f>
        <v>STORY</v>
      </c>
      <c r="M27" s="15" t="s">
        <v>315</v>
      </c>
      <c r="N27" s="16"/>
      <c r="P27" s="56" t="str">
        <f>VLOOKUP(C27,'Train Runs'!$A$13:$V$122,22,0)</f>
        <v>https://search-rtdc-monitor-bjffxe2xuh6vdkpspy63sjmuny.us-east-1.es.amazonaws.com/_plugin/kibana/#/discover/Steve-Slow-Train-Analysis-(2080s-and-2083s)?_g=(refreshInterval:(display:Off,section:0,value:0),time:(from:'2016-06-21 16:19:15-0600',mode:absolute,to:'2016-06-21 17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7" s="14" t="str">
        <f t="shared" si="1"/>
        <v>4007</v>
      </c>
    </row>
    <row r="28" spans="1:17" s="2" customFormat="1" x14ac:dyDescent="0.25">
      <c r="A28" s="18">
        <v>42542.631018518521</v>
      </c>
      <c r="B28" s="17" t="s">
        <v>76</v>
      </c>
      <c r="C28" s="17" t="s">
        <v>286</v>
      </c>
      <c r="D28" s="17" t="s">
        <v>50</v>
      </c>
      <c r="E28" s="17" t="s">
        <v>51</v>
      </c>
      <c r="F28" s="17">
        <v>0</v>
      </c>
      <c r="G28" s="17">
        <v>45</v>
      </c>
      <c r="H28" s="17">
        <v>717</v>
      </c>
      <c r="I28" s="17" t="s">
        <v>52</v>
      </c>
      <c r="J28" s="17">
        <v>575</v>
      </c>
      <c r="K28" s="16" t="s">
        <v>54</v>
      </c>
      <c r="L28" s="16" t="str">
        <f>VLOOKUP(C28,'Trips&amp;Operators'!$C$2:$E$10000,3,FALSE)</f>
        <v>STORY</v>
      </c>
      <c r="M28" s="15" t="s">
        <v>315</v>
      </c>
      <c r="N28" s="16"/>
      <c r="P28" s="56" t="str">
        <f>VLOOKUP(C28,'Train Runs'!$A$13:$V$122,22,0)</f>
        <v>https://search-rtdc-monitor-bjffxe2xuh6vdkpspy63sjmuny.us-east-1.es.amazonaws.com/_plugin/kibana/#/discover/Steve-Slow-Train-Analysis-(2080s-and-2083s)?_g=(refreshInterval:(display:Off,section:0,value:0),time:(from:'2016-06-21 14:45:45-0600',mode:absolute,to:'2016-06-21 15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8" s="14" t="str">
        <f t="shared" si="1"/>
        <v>4008</v>
      </c>
    </row>
    <row r="29" spans="1:17" s="2" customFormat="1" x14ac:dyDescent="0.25">
      <c r="A29" s="18">
        <v>42542.612361111111</v>
      </c>
      <c r="B29" s="17" t="s">
        <v>78</v>
      </c>
      <c r="C29" s="17" t="s">
        <v>285</v>
      </c>
      <c r="D29" s="17" t="s">
        <v>50</v>
      </c>
      <c r="E29" s="17" t="s">
        <v>51</v>
      </c>
      <c r="F29" s="17">
        <v>0</v>
      </c>
      <c r="G29" s="17">
        <v>125</v>
      </c>
      <c r="H29" s="17">
        <v>58527</v>
      </c>
      <c r="I29" s="17" t="s">
        <v>52</v>
      </c>
      <c r="J29" s="17">
        <v>59048</v>
      </c>
      <c r="K29" s="16" t="s">
        <v>53</v>
      </c>
      <c r="L29" s="16" t="str">
        <f>VLOOKUP(C29,'Trips&amp;Operators'!$C$2:$E$10000,3,FALSE)</f>
        <v>STORY</v>
      </c>
      <c r="M29" s="15" t="s">
        <v>315</v>
      </c>
      <c r="N29" s="16"/>
      <c r="P29" s="56" t="str">
        <f>VLOOKUP(C29,'Train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1"/>
        <v>4007</v>
      </c>
    </row>
    <row r="30" spans="1:17" s="2" customFormat="1" x14ac:dyDescent="0.25">
      <c r="A30" s="18">
        <v>42542.612939814811</v>
      </c>
      <c r="B30" s="17" t="s">
        <v>78</v>
      </c>
      <c r="C30" s="17" t="s">
        <v>285</v>
      </c>
      <c r="D30" s="17" t="s">
        <v>50</v>
      </c>
      <c r="E30" s="17" t="s">
        <v>51</v>
      </c>
      <c r="F30" s="17">
        <v>0</v>
      </c>
      <c r="G30" s="17">
        <v>57</v>
      </c>
      <c r="H30" s="17">
        <v>58811</v>
      </c>
      <c r="I30" s="17" t="s">
        <v>52</v>
      </c>
      <c r="J30" s="17">
        <v>59048</v>
      </c>
      <c r="K30" s="16" t="s">
        <v>53</v>
      </c>
      <c r="L30" s="16" t="str">
        <f>VLOOKUP(C30,'Trips&amp;Operators'!$C$2:$E$10000,3,FALSE)</f>
        <v>STORY</v>
      </c>
      <c r="M30" s="15" t="s">
        <v>315</v>
      </c>
      <c r="N30" s="16"/>
      <c r="P30" s="56" t="str">
        <f>VLOOKUP(C30,'Train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0" s="14" t="str">
        <f t="shared" si="1"/>
        <v>4007</v>
      </c>
    </row>
    <row r="31" spans="1:17" s="2" customFormat="1" x14ac:dyDescent="0.25">
      <c r="A31" s="18">
        <v>42542.613368055558</v>
      </c>
      <c r="B31" s="17" t="s">
        <v>78</v>
      </c>
      <c r="C31" s="17" t="s">
        <v>285</v>
      </c>
      <c r="D31" s="17" t="s">
        <v>50</v>
      </c>
      <c r="E31" s="17" t="s">
        <v>51</v>
      </c>
      <c r="F31" s="17">
        <v>0</v>
      </c>
      <c r="G31" s="17">
        <v>7</v>
      </c>
      <c r="H31" s="17">
        <v>58848</v>
      </c>
      <c r="I31" s="17" t="s">
        <v>52</v>
      </c>
      <c r="J31" s="17">
        <v>59048</v>
      </c>
      <c r="K31" s="16" t="s">
        <v>53</v>
      </c>
      <c r="L31" s="16" t="str">
        <f>VLOOKUP(C31,'Trips&amp;Operators'!$C$2:$E$10000,3,FALSE)</f>
        <v>STORY</v>
      </c>
      <c r="M31" s="15" t="s">
        <v>315</v>
      </c>
      <c r="N31" s="16"/>
      <c r="P31" s="56" t="str">
        <f>VLOOKUP(C31,'Train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1" s="14" t="str">
        <f t="shared" si="1"/>
        <v>4007</v>
      </c>
    </row>
    <row r="32" spans="1:17" s="2" customFormat="1" x14ac:dyDescent="0.25">
      <c r="A32" s="18">
        <v>42542.613946759258</v>
      </c>
      <c r="B32" s="17" t="s">
        <v>78</v>
      </c>
      <c r="C32" s="17" t="s">
        <v>285</v>
      </c>
      <c r="D32" s="17" t="s">
        <v>50</v>
      </c>
      <c r="E32" s="17" t="s">
        <v>51</v>
      </c>
      <c r="F32" s="17">
        <v>0</v>
      </c>
      <c r="G32" s="17">
        <v>6</v>
      </c>
      <c r="H32" s="17">
        <v>58869</v>
      </c>
      <c r="I32" s="17" t="s">
        <v>52</v>
      </c>
      <c r="J32" s="17">
        <v>59048</v>
      </c>
      <c r="K32" s="16" t="s">
        <v>53</v>
      </c>
      <c r="L32" s="16" t="str">
        <f>VLOOKUP(C32,'Trips&amp;Operators'!$C$2:$E$10000,3,FALSE)</f>
        <v>STORY</v>
      </c>
      <c r="M32" s="15" t="s">
        <v>315</v>
      </c>
      <c r="N32" s="16"/>
      <c r="P32" s="56" t="str">
        <f>VLOOKUP(C32,'Train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2" s="14" t="str">
        <f t="shared" si="1"/>
        <v>4007</v>
      </c>
    </row>
    <row r="33" spans="1:17" s="2" customFormat="1" x14ac:dyDescent="0.25">
      <c r="A33" s="18">
        <v>42542.631018518521</v>
      </c>
      <c r="B33" s="17" t="s">
        <v>78</v>
      </c>
      <c r="C33" s="17" t="s">
        <v>285</v>
      </c>
      <c r="D33" s="17" t="s">
        <v>50</v>
      </c>
      <c r="E33" s="17" t="s">
        <v>51</v>
      </c>
      <c r="F33" s="17">
        <v>0</v>
      </c>
      <c r="G33" s="17">
        <v>45</v>
      </c>
      <c r="H33" s="17">
        <v>717</v>
      </c>
      <c r="I33" s="17" t="s">
        <v>52</v>
      </c>
      <c r="J33" s="17">
        <v>575</v>
      </c>
      <c r="K33" s="16" t="s">
        <v>54</v>
      </c>
      <c r="L33" s="16" t="str">
        <f>VLOOKUP(C33,'Trips&amp;Operators'!$C$2:$E$10000,3,FALSE)</f>
        <v>STORY</v>
      </c>
      <c r="M33" s="15" t="s">
        <v>315</v>
      </c>
      <c r="N33" s="16"/>
      <c r="P33" s="56" t="str">
        <f>VLOOKUP(C33,'Train Runs'!$A$13:$V$122,22,0)</f>
        <v>https://search-rtdc-monitor-bjffxe2xuh6vdkpspy63sjmuny.us-east-1.es.amazonaws.com/_plugin/kibana/#/discover/Steve-Slow-Train-Analysis-(2080s-and-2083s)?_g=(refreshInterval:(display:Off,section:0,value:0),time:(from:'2016-06-21 14:12:28-0600',mode:absolute,to:'2016-06-21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3" s="14" t="str">
        <f t="shared" si="1"/>
        <v>4007</v>
      </c>
    </row>
    <row r="34" spans="1:17" s="2" customFormat="1" x14ac:dyDescent="0.25">
      <c r="A34" s="18">
        <v>42542.35050925926</v>
      </c>
      <c r="B34" s="17" t="s">
        <v>67</v>
      </c>
      <c r="C34" s="17" t="s">
        <v>274</v>
      </c>
      <c r="D34" s="17" t="s">
        <v>50</v>
      </c>
      <c r="E34" s="17" t="s">
        <v>51</v>
      </c>
      <c r="F34" s="17">
        <v>0</v>
      </c>
      <c r="G34" s="17">
        <v>9</v>
      </c>
      <c r="H34" s="17">
        <v>591</v>
      </c>
      <c r="I34" s="17" t="s">
        <v>52</v>
      </c>
      <c r="J34" s="17">
        <v>575</v>
      </c>
      <c r="K34" s="16" t="s">
        <v>54</v>
      </c>
      <c r="L34" s="16" t="str">
        <f>VLOOKUP(C34,'Trips&amp;Operators'!$C$2:$E$10000,3,FALSE)</f>
        <v>GOODNIGHT</v>
      </c>
      <c r="M34" s="15" t="s">
        <v>315</v>
      </c>
      <c r="N34" s="16"/>
      <c r="P34" s="56" t="str">
        <f>VLOOKUP(C34,'Train Runs'!$A$13:$V$122,22,0)</f>
        <v>https://search-rtdc-monitor-bjffxe2xuh6vdkpspy63sjmuny.us-east-1.es.amazonaws.com/_plugin/kibana/#/discover/Steve-Slow-Train-Analysis-(2080s-and-2083s)?_g=(refreshInterval:(display:Off,section:0,value:0),time:(from:'2016-06-21 08:04:50-0600',mode:absolute,to:'2016-06-21 08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4" s="14" t="str">
        <f t="shared" si="1"/>
        <v>4043</v>
      </c>
    </row>
    <row r="35" spans="1:17" s="2" customFormat="1" x14ac:dyDescent="0.25">
      <c r="A35" s="18">
        <v>42542.308657407404</v>
      </c>
      <c r="B35" s="17" t="s">
        <v>67</v>
      </c>
      <c r="C35" s="17" t="s">
        <v>270</v>
      </c>
      <c r="D35" s="17" t="s">
        <v>50</v>
      </c>
      <c r="E35" s="17" t="s">
        <v>51</v>
      </c>
      <c r="F35" s="17">
        <v>0</v>
      </c>
      <c r="G35" s="17">
        <v>25</v>
      </c>
      <c r="H35" s="17">
        <v>621</v>
      </c>
      <c r="I35" s="17" t="s">
        <v>52</v>
      </c>
      <c r="J35" s="17">
        <v>575</v>
      </c>
      <c r="K35" s="16" t="s">
        <v>54</v>
      </c>
      <c r="L35" s="16" t="str">
        <f>VLOOKUP(C35,'Trips&amp;Operators'!$C$2:$E$10000,3,FALSE)</f>
        <v>GOODNIGHT</v>
      </c>
      <c r="M35" s="15" t="s">
        <v>315</v>
      </c>
      <c r="N35" s="16"/>
      <c r="P35" s="56" t="str">
        <f>VLOOKUP(C35,'Train Runs'!$A$13:$V$122,22,0)</f>
        <v>https://search-rtdc-monitor-bjffxe2xuh6vdkpspy63sjmuny.us-east-1.es.amazonaws.com/_plugin/kibana/#/discover/Steve-Slow-Train-Analysis-(2080s-and-2083s)?_g=(refreshInterval:(display:Off,section:0,value:0),time:(from:'2016-06-21 07:04:54-0600',mode:absolute,to:'2016-06-21 07:25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5" s="14" t="str">
        <f t="shared" si="1"/>
        <v>4043</v>
      </c>
    </row>
  </sheetData>
  <autoFilter ref="A6:N35">
    <sortState ref="A7:N35">
      <sortCondition ref="E6:E35"/>
    </sortState>
  </autoFilter>
  <sortState ref="A29:N36">
    <sortCondition ref="N29:N36"/>
  </sortState>
  <mergeCells count="1">
    <mergeCell ref="A5:M5"/>
  </mergeCells>
  <conditionalFormatting sqref="P6 M6:N6 M7:M1048576">
    <cfRule type="cellIs" dxfId="7" priority="10" operator="equal">
      <formula>"Y"</formula>
    </cfRule>
  </conditionalFormatting>
  <conditionalFormatting sqref="A7:N35">
    <cfRule type="expression" dxfId="6" priority="3">
      <formula>$M7="Y"</formula>
    </cfRule>
  </conditionalFormatting>
  <conditionalFormatting sqref="M2:M3">
    <cfRule type="cellIs" dxfId="5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62" bestFit="1" customWidth="1"/>
    <col min="3" max="3" width="7.85546875" style="64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1" t="str">
        <f>"Trips that did not appear in PTC Data "&amp;TEXT(Variables!$A$2,"YYYY-mm-dd")</f>
        <v>Trips that did not appear in PTC Data 2016-06-21</v>
      </c>
      <c r="B1" s="91"/>
      <c r="C1" s="91"/>
      <c r="D1" s="91"/>
      <c r="E1" s="91"/>
    </row>
    <row r="2" spans="1:10" s="54" customFormat="1" ht="45" x14ac:dyDescent="0.25">
      <c r="A2" s="53" t="s">
        <v>86</v>
      </c>
      <c r="B2" s="65" t="s">
        <v>87</v>
      </c>
      <c r="C2" s="63" t="s">
        <v>88</v>
      </c>
      <c r="D2" s="54" t="s">
        <v>84</v>
      </c>
      <c r="E2" s="54" t="s">
        <v>85</v>
      </c>
      <c r="F2" s="54" t="s">
        <v>96</v>
      </c>
      <c r="G2" s="66" t="s">
        <v>97</v>
      </c>
    </row>
    <row r="3" spans="1:10" x14ac:dyDescent="0.25">
      <c r="A3" s="68" t="s">
        <v>290</v>
      </c>
      <c r="B3" s="68"/>
      <c r="C3" s="68"/>
      <c r="D3" s="68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7" t="e">
        <f>VLOOKUP(A3,'Trips&amp;Operators'!$C$1:$H$10000,5,FALSE)</f>
        <v>#N/A</v>
      </c>
      <c r="H3" s="42"/>
      <c r="I3" s="42"/>
      <c r="J3" s="42"/>
    </row>
    <row r="4" spans="1:10" x14ac:dyDescent="0.25">
      <c r="A4" s="68" t="s">
        <v>292</v>
      </c>
      <c r="B4" s="68"/>
      <c r="C4" s="68"/>
      <c r="D4" s="68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7" t="e">
        <f>VLOOKUP(A4,'Trips&amp;Operators'!$C$1:$H$10000,5,FALSE)</f>
        <v>#N/A</v>
      </c>
      <c r="H4" s="42"/>
      <c r="I4" s="42"/>
      <c r="J4" s="42"/>
    </row>
    <row r="5" spans="1:10" x14ac:dyDescent="0.25">
      <c r="A5" s="68" t="s">
        <v>293</v>
      </c>
      <c r="B5" s="68"/>
      <c r="C5" s="68"/>
      <c r="D5" s="68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7" t="e">
        <f>VLOOKUP(A5,'Trips&amp;Operators'!$C$1:$H$10000,5,FALSE)</f>
        <v>#N/A</v>
      </c>
      <c r="H5" s="42"/>
      <c r="I5" s="42"/>
      <c r="J5" s="42"/>
    </row>
    <row r="6" spans="1:10" x14ac:dyDescent="0.25">
      <c r="A6" s="68" t="s">
        <v>294</v>
      </c>
      <c r="B6" s="68"/>
      <c r="C6" s="68"/>
      <c r="D6" s="68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7" t="e">
        <f>VLOOKUP(A6,'Trips&amp;Operators'!$C$1:$H$10000,5,FALSE)</f>
        <v>#N/A</v>
      </c>
      <c r="H6" s="42"/>
      <c r="I6" s="42"/>
      <c r="J6" s="42"/>
    </row>
    <row r="7" spans="1:10" x14ac:dyDescent="0.25">
      <c r="A7" s="68" t="s">
        <v>295</v>
      </c>
      <c r="B7" s="68"/>
      <c r="C7" s="68"/>
      <c r="D7" s="68"/>
      <c r="E7" s="43" t="e">
        <f>VLOOKUP(A7,'Trips&amp;Operators'!$C$2:$E$10000,3,FALSE)</f>
        <v>#N/A</v>
      </c>
      <c r="F7" s="43" t="e">
        <f>VLOOKUP(A7,'Trips&amp;Operators'!$C$1:$F$10000,4,FALSE)</f>
        <v>#N/A</v>
      </c>
      <c r="G7" s="67" t="e">
        <f>VLOOKUP(A7,'Trips&amp;Operators'!$C$1:$H$10000,5,FALSE)</f>
        <v>#N/A</v>
      </c>
      <c r="H7" s="42"/>
      <c r="I7" s="42"/>
      <c r="J7" s="42"/>
    </row>
    <row r="8" spans="1:10" x14ac:dyDescent="0.25">
      <c r="A8" s="68" t="s">
        <v>296</v>
      </c>
      <c r="B8" s="68"/>
      <c r="C8" s="68"/>
      <c r="D8" s="68"/>
      <c r="E8" s="43" t="e">
        <f>VLOOKUP(A8,'Trips&amp;Operators'!$C$2:$E$10000,3,FALSE)</f>
        <v>#N/A</v>
      </c>
      <c r="F8" s="43" t="e">
        <f>VLOOKUP(A8,'Trips&amp;Operators'!$C$1:$F$10000,4,FALSE)</f>
        <v>#N/A</v>
      </c>
      <c r="G8" s="67" t="e">
        <f>VLOOKUP(A8,'Trips&amp;Operators'!$C$1:$H$10000,5,FALSE)</f>
        <v>#N/A</v>
      </c>
      <c r="H8" s="42"/>
      <c r="I8" s="42"/>
      <c r="J8" s="42"/>
    </row>
    <row r="9" spans="1:10" x14ac:dyDescent="0.25">
      <c r="A9" s="68" t="s">
        <v>298</v>
      </c>
      <c r="B9" s="68"/>
      <c r="C9" s="68"/>
      <c r="D9" s="68"/>
      <c r="E9" s="43" t="e">
        <f>VLOOKUP(A9,'Trips&amp;Operators'!$C$2:$E$10000,3,FALSE)</f>
        <v>#N/A</v>
      </c>
      <c r="F9" s="43" t="e">
        <f>VLOOKUP(A9,'Trips&amp;Operators'!$C$1:$F$10000,4,FALSE)</f>
        <v>#N/A</v>
      </c>
      <c r="G9" s="67" t="e">
        <f>VLOOKUP(A9,'Trips&amp;Operators'!$C$1:$H$10000,5,FALSE)</f>
        <v>#N/A</v>
      </c>
      <c r="H9" s="42"/>
      <c r="I9" s="42"/>
      <c r="J9" s="42"/>
    </row>
    <row r="10" spans="1:10" x14ac:dyDescent="0.25">
      <c r="A10" s="68" t="s">
        <v>299</v>
      </c>
      <c r="B10" s="68"/>
      <c r="C10" s="68"/>
      <c r="D10" s="68"/>
      <c r="E10" s="43" t="e">
        <f>VLOOKUP(A10,'Trips&amp;Operators'!$C$2:$E$10000,3,FALSE)</f>
        <v>#N/A</v>
      </c>
      <c r="F10" s="43" t="e">
        <f>VLOOKUP(A10,'Trips&amp;Operators'!$C$1:$F$10000,4,FALSE)</f>
        <v>#N/A</v>
      </c>
      <c r="G10" s="67" t="e">
        <f>VLOOKUP(A10,'Trips&amp;Operators'!$C$1:$H$10000,5,FALSE)</f>
        <v>#N/A</v>
      </c>
      <c r="H10" s="42"/>
      <c r="I10" s="42"/>
      <c r="J10" s="42"/>
    </row>
    <row r="11" spans="1:10" x14ac:dyDescent="0.25">
      <c r="A11" s="54"/>
      <c r="B11" s="73"/>
      <c r="C11" s="45"/>
      <c r="D11" s="46"/>
      <c r="E11" s="45"/>
      <c r="F11" s="45"/>
      <c r="G11" s="74"/>
      <c r="H11" s="42"/>
      <c r="I11" s="42"/>
      <c r="J11" s="42"/>
    </row>
    <row r="12" spans="1:10" x14ac:dyDescent="0.25">
      <c r="A12" s="54"/>
      <c r="B12" s="73"/>
      <c r="C12" s="45"/>
      <c r="D12" s="46"/>
      <c r="E12" s="45"/>
      <c r="F12" s="45"/>
      <c r="G12" s="74"/>
      <c r="H12" s="42"/>
      <c r="I12" s="42"/>
      <c r="J12" s="42"/>
    </row>
    <row r="13" spans="1:10" x14ac:dyDescent="0.25">
      <c r="A13" s="54"/>
      <c r="B13" s="73"/>
      <c r="C13" s="45"/>
      <c r="D13" s="46"/>
      <c r="E13" s="45"/>
      <c r="F13" s="45"/>
      <c r="G13" s="74"/>
      <c r="H13" s="42"/>
      <c r="I13" s="42"/>
      <c r="J13" s="42"/>
    </row>
    <row r="14" spans="1:10" x14ac:dyDescent="0.25">
      <c r="A14" s="54"/>
      <c r="B14" s="73"/>
      <c r="C14" s="45"/>
      <c r="D14" s="46"/>
      <c r="E14" s="45"/>
      <c r="F14" s="45"/>
      <c r="G14" s="7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B132"/>
      <c r="C132"/>
      <c r="H132" s="42"/>
      <c r="I132" s="42"/>
      <c r="J132" s="42"/>
    </row>
    <row r="133" spans="2:10" x14ac:dyDescent="0.25">
      <c r="B133"/>
      <c r="C133"/>
      <c r="H133" s="42"/>
      <c r="I133" s="42"/>
      <c r="J133" s="42"/>
    </row>
    <row r="134" spans="2:10" x14ac:dyDescent="0.25">
      <c r="B134"/>
      <c r="C134"/>
      <c r="H134" s="42"/>
      <c r="I134" s="42"/>
      <c r="J134" s="42"/>
    </row>
    <row r="135" spans="2:10" x14ac:dyDescent="0.25">
      <c r="B135"/>
      <c r="C135"/>
      <c r="H135" s="42"/>
      <c r="I135" s="42"/>
      <c r="J135" s="42"/>
    </row>
    <row r="136" spans="2:10" x14ac:dyDescent="0.25">
      <c r="B136"/>
      <c r="C136"/>
      <c r="H136" s="42"/>
      <c r="I136" s="42"/>
      <c r="J136" s="42"/>
    </row>
    <row r="137" spans="2:10" x14ac:dyDescent="0.25">
      <c r="B137"/>
      <c r="C137"/>
      <c r="H137" s="42"/>
      <c r="I137" s="42"/>
      <c r="J137" s="42"/>
    </row>
    <row r="138" spans="2:10" x14ac:dyDescent="0.25">
      <c r="B138"/>
      <c r="C138"/>
      <c r="H138" s="42"/>
      <c r="I138" s="42"/>
      <c r="J138" s="42"/>
    </row>
    <row r="139" spans="2:10" x14ac:dyDescent="0.25">
      <c r="B139"/>
      <c r="C139"/>
      <c r="H139" s="42"/>
      <c r="I139" s="42"/>
      <c r="J139" s="42"/>
    </row>
    <row r="140" spans="2:10" x14ac:dyDescent="0.25">
      <c r="B140"/>
      <c r="C140"/>
      <c r="H140" s="42"/>
      <c r="I140" s="42"/>
      <c r="J140" s="42"/>
    </row>
    <row r="141" spans="2:10" x14ac:dyDescent="0.25">
      <c r="B141"/>
      <c r="C141"/>
      <c r="H141" s="42"/>
      <c r="I141" s="42"/>
      <c r="J141" s="42"/>
    </row>
    <row r="142" spans="2:10" x14ac:dyDescent="0.25">
      <c r="B142"/>
      <c r="C142"/>
      <c r="H142" s="42"/>
      <c r="I142" s="42"/>
      <c r="J142" s="42"/>
    </row>
    <row r="143" spans="2:10" x14ac:dyDescent="0.25">
      <c r="H143" s="42"/>
      <c r="I143" s="42"/>
      <c r="J143" s="42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4" priority="82">
      <formula>$H139&gt;0</formula>
    </cfRule>
    <cfRule type="expression" dxfId="3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activeCell="G1" sqref="G1:G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42542.427395833336</v>
      </c>
      <c r="B1" s="42" t="s">
        <v>83</v>
      </c>
      <c r="C1" s="42" t="s">
        <v>219</v>
      </c>
      <c r="D1" s="42">
        <v>1260000</v>
      </c>
      <c r="E1" s="42" t="s">
        <v>100</v>
      </c>
      <c r="F1" s="42" t="s">
        <v>83</v>
      </c>
      <c r="G1" s="13">
        <v>42542.427395833336</v>
      </c>
    </row>
    <row r="2" spans="1:7" x14ac:dyDescent="0.25">
      <c r="A2" s="13">
        <v>42542.464444444442</v>
      </c>
      <c r="B2" t="s">
        <v>301</v>
      </c>
      <c r="C2" t="s">
        <v>222</v>
      </c>
      <c r="D2">
        <v>1470000</v>
      </c>
      <c r="E2" t="s">
        <v>302</v>
      </c>
      <c r="F2" s="42" t="s">
        <v>301</v>
      </c>
      <c r="G2" s="13">
        <v>42542.464444444442</v>
      </c>
    </row>
    <row r="3" spans="1:7" x14ac:dyDescent="0.25">
      <c r="A3" s="13">
        <v>42542.587812500002</v>
      </c>
      <c r="B3" t="s">
        <v>94</v>
      </c>
      <c r="C3" t="s">
        <v>243</v>
      </c>
      <c r="D3">
        <v>1990000</v>
      </c>
      <c r="E3" t="s">
        <v>303</v>
      </c>
      <c r="F3" s="42" t="s">
        <v>94</v>
      </c>
      <c r="G3" s="13">
        <v>42542.587812500002</v>
      </c>
    </row>
    <row r="4" spans="1:7" x14ac:dyDescent="0.25">
      <c r="A4" s="13">
        <v>42542.632650462961</v>
      </c>
      <c r="B4" t="s">
        <v>91</v>
      </c>
      <c r="C4" t="s">
        <v>255</v>
      </c>
      <c r="D4">
        <v>1990000</v>
      </c>
      <c r="E4" t="s">
        <v>303</v>
      </c>
      <c r="F4" s="42" t="s">
        <v>91</v>
      </c>
      <c r="G4" s="13">
        <v>42542.632650462961</v>
      </c>
    </row>
    <row r="5" spans="1:7" x14ac:dyDescent="0.25">
      <c r="A5" s="13">
        <v>42542.443541666667</v>
      </c>
      <c r="B5" t="s">
        <v>76</v>
      </c>
      <c r="C5" t="s">
        <v>280</v>
      </c>
      <c r="D5">
        <v>1540000</v>
      </c>
      <c r="E5" t="s">
        <v>106</v>
      </c>
      <c r="F5" s="42" t="s">
        <v>76</v>
      </c>
      <c r="G5" s="13">
        <v>42542.443541666667</v>
      </c>
    </row>
    <row r="6" spans="1:7" x14ac:dyDescent="0.25">
      <c r="A6" s="13">
        <v>42542.296064814815</v>
      </c>
      <c r="B6" t="s">
        <v>94</v>
      </c>
      <c r="C6" t="s">
        <v>191</v>
      </c>
      <c r="D6">
        <v>2030000</v>
      </c>
      <c r="E6" t="s">
        <v>304</v>
      </c>
      <c r="F6" s="42" t="s">
        <v>94</v>
      </c>
      <c r="G6" s="13">
        <v>42542.296064814815</v>
      </c>
    </row>
    <row r="7" spans="1:7" x14ac:dyDescent="0.25">
      <c r="A7" s="13">
        <v>42542.528506944444</v>
      </c>
      <c r="B7" t="s">
        <v>93</v>
      </c>
      <c r="C7" t="s">
        <v>240</v>
      </c>
      <c r="D7">
        <v>1290000</v>
      </c>
      <c r="E7" t="s">
        <v>99</v>
      </c>
      <c r="F7" s="42" t="s">
        <v>93</v>
      </c>
      <c r="G7" s="13">
        <v>42542.528506944444</v>
      </c>
    </row>
    <row r="8" spans="1:7" x14ac:dyDescent="0.25">
      <c r="A8" s="13">
        <v>42542.540983796294</v>
      </c>
      <c r="B8" t="s">
        <v>91</v>
      </c>
      <c r="C8" t="s">
        <v>242</v>
      </c>
      <c r="D8">
        <v>1990000</v>
      </c>
      <c r="E8" t="s">
        <v>303</v>
      </c>
      <c r="F8" s="42" t="s">
        <v>91</v>
      </c>
      <c r="G8" s="13">
        <v>42542.540983796294</v>
      </c>
    </row>
    <row r="9" spans="1:7" ht="15.75" thickBot="1" x14ac:dyDescent="0.3">
      <c r="A9" s="59">
        <v>42542.551215277781</v>
      </c>
      <c r="B9" t="s">
        <v>91</v>
      </c>
      <c r="C9" t="s">
        <v>242</v>
      </c>
      <c r="D9">
        <v>1990000</v>
      </c>
      <c r="E9" t="s">
        <v>303</v>
      </c>
      <c r="F9" s="42" t="s">
        <v>91</v>
      </c>
      <c r="G9" s="59">
        <v>42542.551215277781</v>
      </c>
    </row>
    <row r="10" spans="1:7" x14ac:dyDescent="0.25">
      <c r="A10" s="13">
        <v>42542.567048611112</v>
      </c>
      <c r="B10" t="s">
        <v>76</v>
      </c>
      <c r="C10" t="s">
        <v>284</v>
      </c>
      <c r="D10">
        <v>1540000</v>
      </c>
      <c r="E10" t="s">
        <v>106</v>
      </c>
      <c r="F10" s="42" t="s">
        <v>76</v>
      </c>
      <c r="G10" s="13">
        <v>42542.567048611112</v>
      </c>
    </row>
    <row r="11" spans="1:7" x14ac:dyDescent="0.25">
      <c r="A11" s="13">
        <v>42542.433877314812</v>
      </c>
      <c r="B11" t="s">
        <v>72</v>
      </c>
      <c r="C11" t="s">
        <v>291</v>
      </c>
      <c r="D11">
        <v>900000</v>
      </c>
      <c r="E11" t="s">
        <v>81</v>
      </c>
      <c r="F11" s="42" t="s">
        <v>72</v>
      </c>
      <c r="G11" s="13">
        <v>42542.433877314812</v>
      </c>
    </row>
    <row r="12" spans="1:7" x14ac:dyDescent="0.25">
      <c r="A12" s="13">
        <v>42542.602673611109</v>
      </c>
      <c r="B12" t="s">
        <v>72</v>
      </c>
      <c r="C12" t="s">
        <v>245</v>
      </c>
      <c r="D12">
        <v>1120000</v>
      </c>
      <c r="E12" t="s">
        <v>98</v>
      </c>
      <c r="F12" s="42" t="s">
        <v>72</v>
      </c>
      <c r="G12" s="13">
        <v>42542.602673611109</v>
      </c>
    </row>
    <row r="13" spans="1:7" x14ac:dyDescent="0.25">
      <c r="A13" s="13">
        <v>42542.427916666667</v>
      </c>
      <c r="B13" t="s">
        <v>78</v>
      </c>
      <c r="C13" t="s">
        <v>279</v>
      </c>
      <c r="D13">
        <v>1540000</v>
      </c>
      <c r="E13" t="s">
        <v>106</v>
      </c>
      <c r="F13" s="42" t="s">
        <v>78</v>
      </c>
      <c r="G13" s="13">
        <v>42542.427916666667</v>
      </c>
    </row>
    <row r="14" spans="1:7" x14ac:dyDescent="0.25">
      <c r="A14" s="13">
        <v>42542.673668981479</v>
      </c>
      <c r="B14" t="s">
        <v>94</v>
      </c>
      <c r="C14" t="s">
        <v>256</v>
      </c>
      <c r="D14">
        <v>1990000</v>
      </c>
      <c r="E14" t="s">
        <v>303</v>
      </c>
      <c r="F14" s="42" t="s">
        <v>94</v>
      </c>
      <c r="G14" s="13">
        <v>42542.673668981479</v>
      </c>
    </row>
    <row r="15" spans="1:7" x14ac:dyDescent="0.25">
      <c r="A15" s="13">
        <v>42542.404409722221</v>
      </c>
      <c r="B15" t="s">
        <v>71</v>
      </c>
      <c r="C15" t="s">
        <v>211</v>
      </c>
      <c r="D15">
        <v>2000000</v>
      </c>
      <c r="E15" t="s">
        <v>108</v>
      </c>
      <c r="F15" s="42" t="s">
        <v>71</v>
      </c>
      <c r="G15" s="13">
        <v>42542.404409722221</v>
      </c>
    </row>
    <row r="16" spans="1:7" x14ac:dyDescent="0.25">
      <c r="A16" s="13">
        <v>42542.683715277781</v>
      </c>
      <c r="B16" t="s">
        <v>72</v>
      </c>
      <c r="C16" t="s">
        <v>258</v>
      </c>
      <c r="D16">
        <v>1120000</v>
      </c>
      <c r="E16" t="s">
        <v>98</v>
      </c>
      <c r="F16" s="42" t="s">
        <v>72</v>
      </c>
      <c r="G16" s="13">
        <v>42542.683715277781</v>
      </c>
    </row>
    <row r="17" spans="1:7" x14ac:dyDescent="0.25">
      <c r="A17" s="13">
        <v>42542.371006944442</v>
      </c>
      <c r="B17" s="42" t="s">
        <v>68</v>
      </c>
      <c r="C17" t="s">
        <v>205</v>
      </c>
      <c r="D17">
        <v>2030000</v>
      </c>
      <c r="E17" t="s">
        <v>304</v>
      </c>
      <c r="F17" s="42" t="s">
        <v>68</v>
      </c>
      <c r="G17" s="13">
        <v>42542.371006944442</v>
      </c>
    </row>
    <row r="18" spans="1:7" x14ac:dyDescent="0.25">
      <c r="A18" s="13">
        <v>42542.317881944444</v>
      </c>
      <c r="B18" t="s">
        <v>75</v>
      </c>
      <c r="C18" t="s">
        <v>202</v>
      </c>
      <c r="D18">
        <v>900000</v>
      </c>
      <c r="E18" t="s">
        <v>81</v>
      </c>
      <c r="F18" s="42" t="s">
        <v>75</v>
      </c>
      <c r="G18" s="13">
        <v>42542.317881944444</v>
      </c>
    </row>
    <row r="19" spans="1:7" x14ac:dyDescent="0.25">
      <c r="A19" s="13">
        <v>42542.277858796297</v>
      </c>
      <c r="B19" t="s">
        <v>83</v>
      </c>
      <c r="C19" t="s">
        <v>192</v>
      </c>
      <c r="D19">
        <v>1260000</v>
      </c>
      <c r="E19" t="s">
        <v>100</v>
      </c>
      <c r="F19" s="42" t="s">
        <v>83</v>
      </c>
      <c r="G19" s="13">
        <v>42542.277858796297</v>
      </c>
    </row>
    <row r="20" spans="1:7" x14ac:dyDescent="0.25">
      <c r="A20" s="13">
        <v>42542.359733796293</v>
      </c>
      <c r="B20" t="s">
        <v>76</v>
      </c>
      <c r="C20" t="s">
        <v>276</v>
      </c>
      <c r="D20">
        <v>1540000</v>
      </c>
      <c r="E20" t="s">
        <v>106</v>
      </c>
      <c r="F20" s="42" t="s">
        <v>76</v>
      </c>
      <c r="G20" s="13">
        <v>42542.359733796293</v>
      </c>
    </row>
    <row r="21" spans="1:7" x14ac:dyDescent="0.25">
      <c r="A21" s="13">
        <v>42542.275879629633</v>
      </c>
      <c r="B21" t="s">
        <v>76</v>
      </c>
      <c r="C21" t="s">
        <v>268</v>
      </c>
      <c r="D21">
        <v>1540000</v>
      </c>
      <c r="E21" t="s">
        <v>106</v>
      </c>
      <c r="F21" s="42" t="s">
        <v>76</v>
      </c>
      <c r="G21" s="13">
        <v>42542.275879629633</v>
      </c>
    </row>
    <row r="22" spans="1:7" x14ac:dyDescent="0.25">
      <c r="A22" s="61">
        <v>42542.36478009259</v>
      </c>
      <c r="B22" t="s">
        <v>70</v>
      </c>
      <c r="C22" t="s">
        <v>210</v>
      </c>
      <c r="D22">
        <v>2000000</v>
      </c>
      <c r="E22" t="s">
        <v>108</v>
      </c>
      <c r="F22" s="42" t="s">
        <v>70</v>
      </c>
      <c r="G22" s="61">
        <v>42542.36478009259</v>
      </c>
    </row>
    <row r="23" spans="1:7" x14ac:dyDescent="0.25">
      <c r="A23" s="13">
        <v>42542.256168981483</v>
      </c>
      <c r="B23" t="s">
        <v>71</v>
      </c>
      <c r="C23" t="s">
        <v>183</v>
      </c>
      <c r="D23">
        <v>2000000</v>
      </c>
      <c r="E23" t="s">
        <v>108</v>
      </c>
      <c r="F23" s="42" t="s">
        <v>71</v>
      </c>
      <c r="G23" s="13">
        <v>42542.256168981483</v>
      </c>
    </row>
    <row r="24" spans="1:7" x14ac:dyDescent="0.25">
      <c r="A24" s="13">
        <v>42542.404826388891</v>
      </c>
      <c r="B24" t="s">
        <v>69</v>
      </c>
      <c r="C24" t="s">
        <v>217</v>
      </c>
      <c r="D24">
        <v>2030000</v>
      </c>
      <c r="E24" t="s">
        <v>304</v>
      </c>
      <c r="F24" s="42" t="s">
        <v>69</v>
      </c>
      <c r="G24" s="13">
        <v>42542.404826388891</v>
      </c>
    </row>
    <row r="25" spans="1:7" x14ac:dyDescent="0.25">
      <c r="A25" s="13">
        <v>42542.233587962961</v>
      </c>
      <c r="B25" t="s">
        <v>77</v>
      </c>
      <c r="C25" t="s">
        <v>180</v>
      </c>
      <c r="D25">
        <v>1260000</v>
      </c>
      <c r="E25" t="s">
        <v>100</v>
      </c>
      <c r="F25" s="42" t="s">
        <v>77</v>
      </c>
      <c r="G25" s="13">
        <v>42542.233587962961</v>
      </c>
    </row>
    <row r="26" spans="1:7" x14ac:dyDescent="0.25">
      <c r="A26" s="13">
        <v>42542.413217592592</v>
      </c>
      <c r="B26" t="s">
        <v>65</v>
      </c>
      <c r="C26" t="s">
        <v>213</v>
      </c>
      <c r="D26">
        <v>1090000</v>
      </c>
      <c r="E26" t="s">
        <v>107</v>
      </c>
      <c r="F26" s="42" t="s">
        <v>65</v>
      </c>
      <c r="G26" s="13">
        <v>42542.413217592592</v>
      </c>
    </row>
    <row r="27" spans="1:7" x14ac:dyDescent="0.25">
      <c r="A27" s="13">
        <v>42542.170844907407</v>
      </c>
      <c r="B27" t="s">
        <v>75</v>
      </c>
      <c r="C27" t="s">
        <v>175</v>
      </c>
      <c r="D27">
        <v>900000</v>
      </c>
      <c r="E27" t="s">
        <v>81</v>
      </c>
      <c r="F27" s="42" t="s">
        <v>75</v>
      </c>
      <c r="G27" s="13">
        <v>42542.170844907407</v>
      </c>
    </row>
    <row r="28" spans="1:7" x14ac:dyDescent="0.25">
      <c r="A28" s="13">
        <v>42542.420694444445</v>
      </c>
      <c r="B28" s="42" t="s">
        <v>83</v>
      </c>
      <c r="C28" t="s">
        <v>207</v>
      </c>
      <c r="D28">
        <v>1260000</v>
      </c>
      <c r="E28" t="s">
        <v>100</v>
      </c>
      <c r="F28" s="42" t="s">
        <v>83</v>
      </c>
      <c r="G28" s="13">
        <v>42542.420694444445</v>
      </c>
    </row>
    <row r="29" spans="1:7" x14ac:dyDescent="0.25">
      <c r="A29" s="13">
        <v>42542.209502314814</v>
      </c>
      <c r="B29" t="s">
        <v>67</v>
      </c>
      <c r="C29" t="s">
        <v>264</v>
      </c>
      <c r="D29">
        <v>1500000</v>
      </c>
      <c r="E29" t="s">
        <v>82</v>
      </c>
      <c r="F29" s="42" t="s">
        <v>67</v>
      </c>
      <c r="G29" s="13">
        <v>42542.209502314814</v>
      </c>
    </row>
    <row r="30" spans="1:7" x14ac:dyDescent="0.25">
      <c r="A30" s="13">
        <v>42542.45349537037</v>
      </c>
      <c r="B30" t="s">
        <v>77</v>
      </c>
      <c r="C30" t="s">
        <v>220</v>
      </c>
      <c r="D30">
        <v>1260000</v>
      </c>
      <c r="E30" t="s">
        <v>100</v>
      </c>
      <c r="F30" s="42" t="s">
        <v>77</v>
      </c>
      <c r="G30" s="13">
        <v>42542.45349537037</v>
      </c>
    </row>
    <row r="31" spans="1:7" x14ac:dyDescent="0.25">
      <c r="A31" s="13">
        <v>42542.183333333334</v>
      </c>
      <c r="B31" t="s">
        <v>71</v>
      </c>
      <c r="C31" t="s">
        <v>172</v>
      </c>
      <c r="D31">
        <v>1480000</v>
      </c>
      <c r="E31" t="s">
        <v>101</v>
      </c>
      <c r="F31" s="42" t="s">
        <v>71</v>
      </c>
      <c r="G31" s="13">
        <v>42542.183333333334</v>
      </c>
    </row>
    <row r="32" spans="1:7" x14ac:dyDescent="0.25">
      <c r="A32" s="13">
        <v>42542.481886574074</v>
      </c>
      <c r="B32" t="s">
        <v>65</v>
      </c>
      <c r="C32" t="s">
        <v>225</v>
      </c>
      <c r="D32">
        <v>1750000</v>
      </c>
      <c r="E32" t="s">
        <v>104</v>
      </c>
      <c r="F32" s="42" t="s">
        <v>65</v>
      </c>
      <c r="G32" s="13">
        <v>42542.481886574074</v>
      </c>
    </row>
    <row r="33" spans="1:7" x14ac:dyDescent="0.25">
      <c r="A33" s="13">
        <v>42542.149224537039</v>
      </c>
      <c r="B33" t="s">
        <v>80</v>
      </c>
      <c r="C33" t="s">
        <v>173</v>
      </c>
      <c r="D33">
        <v>1110000</v>
      </c>
      <c r="E33" t="s">
        <v>305</v>
      </c>
      <c r="F33" s="42" t="s">
        <v>80</v>
      </c>
      <c r="G33" s="13">
        <v>42542.149224537039</v>
      </c>
    </row>
    <row r="34" spans="1:7" x14ac:dyDescent="0.25">
      <c r="A34" s="13">
        <v>42542.539814814816</v>
      </c>
      <c r="B34" t="s">
        <v>91</v>
      </c>
      <c r="C34" t="s">
        <v>242</v>
      </c>
      <c r="D34">
        <v>1990000</v>
      </c>
      <c r="E34" t="s">
        <v>303</v>
      </c>
      <c r="F34" s="42" t="s">
        <v>91</v>
      </c>
      <c r="G34" s="13">
        <v>42542.539814814816</v>
      </c>
    </row>
    <row r="35" spans="1:7" x14ac:dyDescent="0.25">
      <c r="A35" s="13">
        <v>42542.802893518521</v>
      </c>
      <c r="B35" t="s">
        <v>68</v>
      </c>
      <c r="C35" t="s">
        <v>142</v>
      </c>
      <c r="D35">
        <v>1810000</v>
      </c>
      <c r="E35" t="s">
        <v>306</v>
      </c>
      <c r="F35" s="42" t="s">
        <v>68</v>
      </c>
      <c r="G35" s="13">
        <v>42542.802893518521</v>
      </c>
    </row>
    <row r="36" spans="1:7" x14ac:dyDescent="0.25">
      <c r="A36" s="13">
        <v>42542.7421412037</v>
      </c>
      <c r="B36" t="s">
        <v>76</v>
      </c>
      <c r="C36" t="s">
        <v>168</v>
      </c>
      <c r="D36">
        <v>1740000</v>
      </c>
      <c r="E36" t="s">
        <v>74</v>
      </c>
      <c r="F36" s="42" t="s">
        <v>76</v>
      </c>
      <c r="G36" s="13">
        <v>42542.7421412037</v>
      </c>
    </row>
    <row r="37" spans="1:7" x14ac:dyDescent="0.25">
      <c r="A37" s="13">
        <v>42542.786597222221</v>
      </c>
      <c r="B37" t="s">
        <v>301</v>
      </c>
      <c r="C37" t="s">
        <v>138</v>
      </c>
      <c r="D37">
        <v>1780000</v>
      </c>
      <c r="E37" t="s">
        <v>105</v>
      </c>
      <c r="F37" s="42" t="s">
        <v>301</v>
      </c>
      <c r="G37" s="13">
        <v>42542.786597222221</v>
      </c>
    </row>
    <row r="38" spans="1:7" x14ac:dyDescent="0.25">
      <c r="A38" s="13">
        <v>42542.762511574074</v>
      </c>
      <c r="B38" t="s">
        <v>78</v>
      </c>
      <c r="C38" t="s">
        <v>169</v>
      </c>
      <c r="D38">
        <v>1740000</v>
      </c>
      <c r="E38" t="s">
        <v>74</v>
      </c>
      <c r="F38" s="42" t="s">
        <v>78</v>
      </c>
      <c r="G38" s="13">
        <v>42542.762511574074</v>
      </c>
    </row>
    <row r="39" spans="1:7" x14ac:dyDescent="0.25">
      <c r="A39" s="13">
        <v>42542.956388888888</v>
      </c>
      <c r="B39" t="s">
        <v>90</v>
      </c>
      <c r="C39" t="s">
        <v>155</v>
      </c>
      <c r="D39">
        <v>1820000</v>
      </c>
      <c r="E39" t="s">
        <v>307</v>
      </c>
      <c r="F39" s="42" t="s">
        <v>90</v>
      </c>
      <c r="G39" s="13">
        <v>42542.956388888888</v>
      </c>
    </row>
    <row r="40" spans="1:7" x14ac:dyDescent="0.25">
      <c r="A40" s="13">
        <v>42542.765763888892</v>
      </c>
      <c r="B40" s="60" t="s">
        <v>72</v>
      </c>
      <c r="C40" t="s">
        <v>134</v>
      </c>
      <c r="D40">
        <v>1120000</v>
      </c>
      <c r="E40" t="s">
        <v>98</v>
      </c>
      <c r="F40" s="60" t="s">
        <v>72</v>
      </c>
      <c r="G40" s="13">
        <v>42542.765763888892</v>
      </c>
    </row>
    <row r="41" spans="1:7" x14ac:dyDescent="0.25">
      <c r="A41" s="13">
        <v>42542.761030092595</v>
      </c>
      <c r="B41" t="s">
        <v>70</v>
      </c>
      <c r="C41" t="s">
        <v>139</v>
      </c>
      <c r="D41">
        <v>1820000</v>
      </c>
      <c r="E41" t="s">
        <v>307</v>
      </c>
      <c r="F41" s="42" t="s">
        <v>70</v>
      </c>
      <c r="G41" s="13">
        <v>42542.761030092595</v>
      </c>
    </row>
    <row r="42" spans="1:7" x14ac:dyDescent="0.25">
      <c r="A42" s="13">
        <v>42542.767106481479</v>
      </c>
      <c r="B42" t="s">
        <v>70</v>
      </c>
      <c r="C42" t="s">
        <v>139</v>
      </c>
      <c r="D42">
        <v>1820000</v>
      </c>
      <c r="E42" t="s">
        <v>307</v>
      </c>
      <c r="F42" s="42" t="s">
        <v>70</v>
      </c>
      <c r="G42" s="13">
        <v>42542.767106481479</v>
      </c>
    </row>
    <row r="43" spans="1:7" x14ac:dyDescent="0.25">
      <c r="A43" s="13">
        <v>42542.824629629627</v>
      </c>
      <c r="B43" s="42" t="s">
        <v>92</v>
      </c>
      <c r="C43" t="s">
        <v>144</v>
      </c>
      <c r="D43">
        <v>1180000</v>
      </c>
      <c r="E43" t="s">
        <v>308</v>
      </c>
      <c r="F43" s="42" t="s">
        <v>92</v>
      </c>
      <c r="G43" s="13">
        <v>42542.824629629627</v>
      </c>
    </row>
    <row r="44" spans="1:7" x14ac:dyDescent="0.25">
      <c r="A44" s="13">
        <v>42542.78402777778</v>
      </c>
      <c r="B44" t="s">
        <v>93</v>
      </c>
      <c r="C44" t="s">
        <v>143</v>
      </c>
      <c r="D44">
        <v>1180000</v>
      </c>
      <c r="E44" t="s">
        <v>308</v>
      </c>
      <c r="F44" s="42" t="s">
        <v>93</v>
      </c>
      <c r="G44" s="13">
        <v>42542.78402777778</v>
      </c>
    </row>
    <row r="45" spans="1:7" x14ac:dyDescent="0.25">
      <c r="A45" s="13">
        <v>42542.777939814812</v>
      </c>
      <c r="B45" t="s">
        <v>76</v>
      </c>
      <c r="C45" t="s">
        <v>170</v>
      </c>
      <c r="D45">
        <v>1740000</v>
      </c>
      <c r="E45" t="s">
        <v>74</v>
      </c>
      <c r="F45" s="42" t="s">
        <v>76</v>
      </c>
      <c r="G45" s="13">
        <v>42542.777939814812</v>
      </c>
    </row>
    <row r="46" spans="1:7" x14ac:dyDescent="0.25">
      <c r="A46" s="13">
        <v>42542.800717592596</v>
      </c>
      <c r="B46" t="s">
        <v>71</v>
      </c>
      <c r="C46" t="s">
        <v>140</v>
      </c>
      <c r="D46">
        <v>1820000</v>
      </c>
      <c r="E46" t="s">
        <v>307</v>
      </c>
      <c r="F46" s="42" t="s">
        <v>71</v>
      </c>
      <c r="G46" s="13">
        <v>42542.800717592596</v>
      </c>
    </row>
    <row r="47" spans="1:7" x14ac:dyDescent="0.25">
      <c r="A47" s="13">
        <v>42542.733275462961</v>
      </c>
      <c r="B47" s="42" t="s">
        <v>83</v>
      </c>
      <c r="C47" t="s">
        <v>135</v>
      </c>
      <c r="D47">
        <v>2010000</v>
      </c>
      <c r="E47" t="s">
        <v>95</v>
      </c>
      <c r="F47" s="42" t="s">
        <v>83</v>
      </c>
      <c r="G47" s="13">
        <v>42542.733275462961</v>
      </c>
    </row>
    <row r="48" spans="1:7" x14ac:dyDescent="0.25">
      <c r="A48" s="13">
        <v>42542.850231481483</v>
      </c>
      <c r="B48" t="s">
        <v>77</v>
      </c>
      <c r="C48" t="s">
        <v>146</v>
      </c>
      <c r="D48">
        <v>2010000</v>
      </c>
      <c r="E48" t="s">
        <v>95</v>
      </c>
      <c r="F48" s="42" t="s">
        <v>77</v>
      </c>
      <c r="G48" s="13">
        <v>42542.850231481483</v>
      </c>
    </row>
    <row r="49" spans="1:7" x14ac:dyDescent="0.25">
      <c r="A49" s="13">
        <v>42542.708229166667</v>
      </c>
      <c r="B49" t="s">
        <v>93</v>
      </c>
      <c r="C49" t="s">
        <v>129</v>
      </c>
      <c r="D49">
        <v>750000</v>
      </c>
      <c r="E49" t="s">
        <v>309</v>
      </c>
      <c r="F49" s="42" t="s">
        <v>93</v>
      </c>
      <c r="G49" s="13">
        <v>42542.708229166667</v>
      </c>
    </row>
    <row r="50" spans="1:7" x14ac:dyDescent="0.25">
      <c r="A50" s="13">
        <v>42542.953263888892</v>
      </c>
      <c r="B50" t="s">
        <v>90</v>
      </c>
      <c r="C50" t="s">
        <v>155</v>
      </c>
      <c r="D50">
        <v>1820000</v>
      </c>
      <c r="E50" t="s">
        <v>307</v>
      </c>
      <c r="F50" s="42" t="s">
        <v>90</v>
      </c>
      <c r="G50" s="13">
        <v>42542.953263888892</v>
      </c>
    </row>
    <row r="51" spans="1:7" x14ac:dyDescent="0.25">
      <c r="A51" s="13">
        <v>42542.688344907408</v>
      </c>
      <c r="B51" t="s">
        <v>69</v>
      </c>
      <c r="C51" t="s">
        <v>263</v>
      </c>
      <c r="D51">
        <v>1750000</v>
      </c>
      <c r="E51" t="s">
        <v>104</v>
      </c>
      <c r="F51" s="42" t="s">
        <v>69</v>
      </c>
      <c r="G51" s="13">
        <v>42542.688344907408</v>
      </c>
    </row>
    <row r="52" spans="1:7" x14ac:dyDescent="0.25">
      <c r="A52" s="13">
        <v>42542.756689814814</v>
      </c>
      <c r="B52" t="s">
        <v>94</v>
      </c>
      <c r="C52" t="s">
        <v>132</v>
      </c>
      <c r="D52">
        <v>1990000</v>
      </c>
      <c r="E52" t="s">
        <v>303</v>
      </c>
      <c r="F52" s="42" t="s">
        <v>94</v>
      </c>
      <c r="G52" s="13">
        <v>42542.756689814814</v>
      </c>
    </row>
    <row r="53" spans="1:7" x14ac:dyDescent="0.25">
      <c r="A53" s="13">
        <v>42542.679537037038</v>
      </c>
      <c r="B53" t="s">
        <v>78</v>
      </c>
      <c r="C53" t="s">
        <v>289</v>
      </c>
      <c r="D53">
        <v>1740000</v>
      </c>
      <c r="E53" t="s">
        <v>74</v>
      </c>
      <c r="F53" s="42" t="s">
        <v>78</v>
      </c>
      <c r="G53" s="13">
        <v>42542.679537037038</v>
      </c>
    </row>
    <row r="54" spans="1:7" x14ac:dyDescent="0.25">
      <c r="A54" s="13">
        <v>42542.835648148146</v>
      </c>
      <c r="B54" t="s">
        <v>70</v>
      </c>
      <c r="C54" t="s">
        <v>147</v>
      </c>
      <c r="D54">
        <v>1820000</v>
      </c>
      <c r="E54" t="s">
        <v>307</v>
      </c>
      <c r="F54" s="42" t="s">
        <v>70</v>
      </c>
      <c r="G54" s="13">
        <v>42542.835648148146</v>
      </c>
    </row>
    <row r="55" spans="1:7" x14ac:dyDescent="0.25">
      <c r="A55" s="13">
        <v>42542.89166666667</v>
      </c>
      <c r="B55" t="s">
        <v>83</v>
      </c>
      <c r="C55" t="s">
        <v>153</v>
      </c>
      <c r="D55">
        <v>2010000</v>
      </c>
      <c r="E55" t="s">
        <v>95</v>
      </c>
      <c r="F55" s="42" t="s">
        <v>83</v>
      </c>
      <c r="G55" s="13">
        <v>42542.89166666667</v>
      </c>
    </row>
    <row r="56" spans="1:7" x14ac:dyDescent="0.25">
      <c r="A56" s="13">
        <v>42542.967395833337</v>
      </c>
      <c r="B56" t="s">
        <v>68</v>
      </c>
      <c r="C56" t="s">
        <v>157</v>
      </c>
      <c r="D56">
        <v>1810000</v>
      </c>
      <c r="E56" t="s">
        <v>306</v>
      </c>
      <c r="F56" s="42" t="s">
        <v>68</v>
      </c>
      <c r="G56" s="13">
        <v>42542.967395833337</v>
      </c>
    </row>
    <row r="57" spans="1:7" x14ac:dyDescent="0.25">
      <c r="A57" s="13">
        <v>42542.932303240741</v>
      </c>
      <c r="B57" t="s">
        <v>77</v>
      </c>
      <c r="C57" t="s">
        <v>300</v>
      </c>
      <c r="D57">
        <v>2010000</v>
      </c>
      <c r="E57" t="s">
        <v>95</v>
      </c>
      <c r="F57" s="42" t="s">
        <v>77</v>
      </c>
      <c r="G57" s="13">
        <v>42542.932303240741</v>
      </c>
    </row>
    <row r="58" spans="1:7" x14ac:dyDescent="0.25">
      <c r="A58" s="13">
        <v>42542.128576388888</v>
      </c>
      <c r="B58" t="s">
        <v>310</v>
      </c>
      <c r="C58" t="s">
        <v>171</v>
      </c>
      <c r="D58">
        <v>1480000</v>
      </c>
      <c r="E58" t="s">
        <v>101</v>
      </c>
      <c r="F58" s="42" t="s">
        <v>310</v>
      </c>
      <c r="G58" s="13">
        <v>42542.128576388888</v>
      </c>
    </row>
    <row r="59" spans="1:7" x14ac:dyDescent="0.25">
      <c r="A59" s="13">
        <v>42542.768854166665</v>
      </c>
      <c r="B59" t="s">
        <v>70</v>
      </c>
      <c r="C59" t="s">
        <v>139</v>
      </c>
      <c r="D59">
        <v>1820000</v>
      </c>
      <c r="E59" t="s">
        <v>307</v>
      </c>
      <c r="F59" s="42" t="s">
        <v>70</v>
      </c>
      <c r="G59" s="13">
        <v>42542.768854166665</v>
      </c>
    </row>
    <row r="60" spans="1:7" x14ac:dyDescent="0.25">
      <c r="A60" s="13">
        <v>42542.193194444444</v>
      </c>
      <c r="B60" t="s">
        <v>83</v>
      </c>
      <c r="C60" t="s">
        <v>179</v>
      </c>
      <c r="D60">
        <v>1260000</v>
      </c>
      <c r="E60" t="s">
        <v>100</v>
      </c>
      <c r="F60" s="42" t="s">
        <v>83</v>
      </c>
      <c r="G60" s="13">
        <v>42542.193194444444</v>
      </c>
    </row>
    <row r="61" spans="1:7" x14ac:dyDescent="0.25">
      <c r="A61" s="13">
        <v>42542.956099537034</v>
      </c>
      <c r="B61" t="s">
        <v>93</v>
      </c>
      <c r="C61" t="s">
        <v>158</v>
      </c>
      <c r="D61">
        <v>1180000</v>
      </c>
      <c r="E61" t="s">
        <v>308</v>
      </c>
      <c r="F61" s="42" t="s">
        <v>93</v>
      </c>
      <c r="G61" s="13">
        <v>42542.956099537034</v>
      </c>
    </row>
    <row r="62" spans="1:7" x14ac:dyDescent="0.25">
      <c r="A62" s="13">
        <v>42542.194456018522</v>
      </c>
      <c r="B62" t="s">
        <v>83</v>
      </c>
      <c r="C62" t="s">
        <v>179</v>
      </c>
      <c r="D62">
        <v>1260000</v>
      </c>
      <c r="E62" t="s">
        <v>100</v>
      </c>
      <c r="F62" s="42" t="s">
        <v>83</v>
      </c>
      <c r="G62" s="13">
        <v>42542.194456018522</v>
      </c>
    </row>
    <row r="63" spans="1:7" x14ac:dyDescent="0.25">
      <c r="A63" s="13">
        <v>42542.717083333337</v>
      </c>
      <c r="B63" t="s">
        <v>301</v>
      </c>
      <c r="C63" t="s">
        <v>126</v>
      </c>
      <c r="D63">
        <v>1470000</v>
      </c>
      <c r="E63" t="s">
        <v>302</v>
      </c>
      <c r="F63" s="42" t="s">
        <v>301</v>
      </c>
      <c r="G63" s="13">
        <v>42542.717083333337</v>
      </c>
    </row>
    <row r="64" spans="1:7" x14ac:dyDescent="0.25">
      <c r="A64" s="61">
        <v>42542.203402777777</v>
      </c>
      <c r="B64" t="s">
        <v>92</v>
      </c>
      <c r="C64" t="s">
        <v>174</v>
      </c>
      <c r="D64">
        <v>1110000</v>
      </c>
      <c r="E64" t="s">
        <v>305</v>
      </c>
      <c r="F64" s="42" t="s">
        <v>92</v>
      </c>
      <c r="G64" s="61">
        <v>42542.203402777777</v>
      </c>
    </row>
    <row r="65" spans="1:7" x14ac:dyDescent="0.25">
      <c r="A65" s="13">
        <v>42542.582662037035</v>
      </c>
      <c r="B65" t="s">
        <v>83</v>
      </c>
      <c r="C65" t="s">
        <v>246</v>
      </c>
      <c r="D65">
        <v>2040000</v>
      </c>
      <c r="E65" t="s">
        <v>103</v>
      </c>
      <c r="F65" s="42" t="s">
        <v>83</v>
      </c>
      <c r="G65" s="13">
        <v>42542.582662037035</v>
      </c>
    </row>
    <row r="66" spans="1:7" x14ac:dyDescent="0.25">
      <c r="A66" s="13">
        <v>42542.228807870371</v>
      </c>
      <c r="B66" t="s">
        <v>94</v>
      </c>
      <c r="C66" t="s">
        <v>176</v>
      </c>
      <c r="D66">
        <v>900000</v>
      </c>
      <c r="E66" t="s">
        <v>81</v>
      </c>
      <c r="F66" s="42" t="s">
        <v>94</v>
      </c>
      <c r="G66" s="13">
        <v>42542.228807870371</v>
      </c>
    </row>
    <row r="67" spans="1:7" x14ac:dyDescent="0.25">
      <c r="A67" s="13">
        <v>42542.553854166668</v>
      </c>
      <c r="B67" t="s">
        <v>75</v>
      </c>
      <c r="C67" t="s">
        <v>244</v>
      </c>
      <c r="D67">
        <v>1120000</v>
      </c>
      <c r="E67" t="s">
        <v>98</v>
      </c>
      <c r="F67" s="42" t="s">
        <v>75</v>
      </c>
      <c r="G67" s="13">
        <v>42542.553854166668</v>
      </c>
    </row>
    <row r="68" spans="1:7" x14ac:dyDescent="0.25">
      <c r="A68" s="13">
        <v>42542.256874999999</v>
      </c>
      <c r="B68" t="s">
        <v>78</v>
      </c>
      <c r="C68" t="s">
        <v>267</v>
      </c>
      <c r="D68">
        <v>1540000</v>
      </c>
      <c r="E68" t="s">
        <v>106</v>
      </c>
      <c r="F68" s="42" t="s">
        <v>78</v>
      </c>
      <c r="G68" s="13">
        <v>42542.256874999999</v>
      </c>
    </row>
    <row r="69" spans="1:7" x14ac:dyDescent="0.25">
      <c r="A69" s="13">
        <v>42542.552476851852</v>
      </c>
      <c r="B69" t="s">
        <v>78</v>
      </c>
      <c r="C69" t="s">
        <v>283</v>
      </c>
      <c r="D69">
        <v>1540000</v>
      </c>
      <c r="E69" t="s">
        <v>106</v>
      </c>
      <c r="F69" s="42" t="s">
        <v>78</v>
      </c>
      <c r="G69" s="13">
        <v>42542.552476851852</v>
      </c>
    </row>
    <row r="70" spans="1:7" x14ac:dyDescent="0.25">
      <c r="A70" s="13">
        <v>42542.277349537035</v>
      </c>
      <c r="B70" t="s">
        <v>92</v>
      </c>
      <c r="C70" t="s">
        <v>187</v>
      </c>
      <c r="D70">
        <v>1110000</v>
      </c>
      <c r="E70" t="s">
        <v>305</v>
      </c>
      <c r="F70" s="42" t="s">
        <v>92</v>
      </c>
      <c r="G70" s="13">
        <v>42542.277349537035</v>
      </c>
    </row>
    <row r="71" spans="1:7" x14ac:dyDescent="0.25">
      <c r="A71" s="13">
        <v>42542.547430555554</v>
      </c>
      <c r="B71" t="s">
        <v>71</v>
      </c>
      <c r="C71" t="s">
        <v>237</v>
      </c>
      <c r="D71">
        <v>1140000</v>
      </c>
      <c r="E71" t="s">
        <v>73</v>
      </c>
      <c r="F71" s="42" t="s">
        <v>71</v>
      </c>
      <c r="G71" s="13">
        <v>42542.547430555554</v>
      </c>
    </row>
    <row r="72" spans="1:7" x14ac:dyDescent="0.25">
      <c r="A72" s="13">
        <v>42542.282685185186</v>
      </c>
      <c r="B72" t="s">
        <v>79</v>
      </c>
      <c r="C72" t="s">
        <v>269</v>
      </c>
      <c r="D72">
        <v>1500000</v>
      </c>
      <c r="E72" t="s">
        <v>82</v>
      </c>
      <c r="F72" s="42" t="s">
        <v>79</v>
      </c>
      <c r="G72" s="13">
        <v>42542.282685185186</v>
      </c>
    </row>
    <row r="73" spans="1:7" x14ac:dyDescent="0.25">
      <c r="A73" s="13">
        <v>42542.537199074075</v>
      </c>
      <c r="B73" t="s">
        <v>301</v>
      </c>
      <c r="C73" t="s">
        <v>235</v>
      </c>
      <c r="D73">
        <v>1470000</v>
      </c>
      <c r="E73" t="s">
        <v>302</v>
      </c>
      <c r="F73" s="42" t="s">
        <v>301</v>
      </c>
      <c r="G73" s="13">
        <v>42542.537199074075</v>
      </c>
    </row>
    <row r="74" spans="1:7" x14ac:dyDescent="0.25">
      <c r="A74" s="13">
        <v>42542.287418981483</v>
      </c>
      <c r="B74" t="s">
        <v>72</v>
      </c>
      <c r="C74" t="s">
        <v>189</v>
      </c>
      <c r="D74">
        <v>900000</v>
      </c>
      <c r="E74" t="s">
        <v>81</v>
      </c>
      <c r="F74" s="42" t="s">
        <v>72</v>
      </c>
      <c r="G74" s="13">
        <v>42542.287418981483</v>
      </c>
    </row>
    <row r="75" spans="1:7" x14ac:dyDescent="0.25">
      <c r="A75" s="13">
        <v>42542.529861111114</v>
      </c>
      <c r="B75" t="s">
        <v>76</v>
      </c>
      <c r="C75" t="s">
        <v>282</v>
      </c>
      <c r="D75">
        <v>1540000</v>
      </c>
      <c r="E75" t="s">
        <v>106</v>
      </c>
      <c r="F75" s="42" t="s">
        <v>76</v>
      </c>
      <c r="G75" s="13">
        <v>42542.529861111114</v>
      </c>
    </row>
    <row r="76" spans="1:7" x14ac:dyDescent="0.25">
      <c r="A76" s="13">
        <v>42542.289143518516</v>
      </c>
      <c r="B76" t="s">
        <v>70</v>
      </c>
      <c r="C76" t="s">
        <v>196</v>
      </c>
      <c r="D76">
        <v>2000000</v>
      </c>
      <c r="E76" t="s">
        <v>108</v>
      </c>
      <c r="F76" s="42" t="s">
        <v>70</v>
      </c>
      <c r="G76" s="13">
        <v>42542.289143518516</v>
      </c>
    </row>
    <row r="77" spans="1:7" x14ac:dyDescent="0.25">
      <c r="A77" s="13">
        <v>42542.518877314818</v>
      </c>
      <c r="B77" t="s">
        <v>68</v>
      </c>
      <c r="C77" t="s">
        <v>231</v>
      </c>
      <c r="D77">
        <v>1120000</v>
      </c>
      <c r="E77" t="s">
        <v>98</v>
      </c>
      <c r="F77" s="42" t="s">
        <v>68</v>
      </c>
      <c r="G77" s="13">
        <v>42542.518877314818</v>
      </c>
    </row>
    <row r="78" spans="1:7" x14ac:dyDescent="0.25">
      <c r="A78" s="13">
        <v>42542.343402777777</v>
      </c>
      <c r="B78" t="s">
        <v>83</v>
      </c>
      <c r="C78" t="s">
        <v>206</v>
      </c>
      <c r="D78">
        <v>1260000</v>
      </c>
      <c r="E78" t="s">
        <v>100</v>
      </c>
      <c r="F78" s="42" t="s">
        <v>83</v>
      </c>
      <c r="G78" s="13">
        <v>42542.343402777777</v>
      </c>
    </row>
    <row r="79" spans="1:7" x14ac:dyDescent="0.25">
      <c r="A79" s="13">
        <v>42542.491979166669</v>
      </c>
      <c r="B79" t="s">
        <v>92</v>
      </c>
      <c r="C79" t="s">
        <v>227</v>
      </c>
      <c r="D79">
        <v>1090000</v>
      </c>
      <c r="E79" t="s">
        <v>107</v>
      </c>
      <c r="F79" s="42" t="s">
        <v>92</v>
      </c>
      <c r="G79" s="13">
        <v>42542.491979166669</v>
      </c>
    </row>
    <row r="80" spans="1:7" x14ac:dyDescent="0.25">
      <c r="A80" s="13">
        <v>42542.384791666664</v>
      </c>
      <c r="B80" t="s">
        <v>93</v>
      </c>
      <c r="C80" t="s">
        <v>214</v>
      </c>
      <c r="D80">
        <v>1110000</v>
      </c>
      <c r="E80" t="s">
        <v>305</v>
      </c>
      <c r="F80" s="42" t="s">
        <v>93</v>
      </c>
      <c r="G80" s="13">
        <v>42542.384791666664</v>
      </c>
    </row>
    <row r="81" spans="1:7" x14ac:dyDescent="0.25">
      <c r="A81" s="13">
        <v>42542.474641203706</v>
      </c>
      <c r="B81" t="s">
        <v>69</v>
      </c>
      <c r="C81" t="s">
        <v>230</v>
      </c>
      <c r="D81">
        <v>1120000</v>
      </c>
      <c r="E81" t="s">
        <v>98</v>
      </c>
      <c r="F81" s="42" t="s">
        <v>69</v>
      </c>
      <c r="G81" s="13">
        <v>42542.474641203706</v>
      </c>
    </row>
    <row r="82" spans="1:7" x14ac:dyDescent="0.25">
      <c r="A82" s="13">
        <v>42542.423101851855</v>
      </c>
      <c r="B82" t="s">
        <v>83</v>
      </c>
      <c r="C82" t="s">
        <v>219</v>
      </c>
      <c r="D82">
        <v>1260000</v>
      </c>
      <c r="E82" t="s">
        <v>100</v>
      </c>
      <c r="F82" s="42" t="s">
        <v>83</v>
      </c>
      <c r="G82" s="13">
        <v>42542.423101851855</v>
      </c>
    </row>
    <row r="83" spans="1:7" x14ac:dyDescent="0.25">
      <c r="A83" s="13">
        <v>42542.469155092593</v>
      </c>
      <c r="B83" t="s">
        <v>91</v>
      </c>
      <c r="C83" t="s">
        <v>228</v>
      </c>
      <c r="D83">
        <v>1990000</v>
      </c>
      <c r="E83" t="s">
        <v>303</v>
      </c>
      <c r="F83" s="42" t="s">
        <v>91</v>
      </c>
      <c r="G83" s="13">
        <v>42542.469155092593</v>
      </c>
    </row>
    <row r="84" spans="1:7" x14ac:dyDescent="0.25">
      <c r="A84" s="13">
        <v>42542.443182870367</v>
      </c>
      <c r="B84" t="s">
        <v>68</v>
      </c>
      <c r="C84" t="s">
        <v>218</v>
      </c>
      <c r="D84">
        <v>2030000</v>
      </c>
      <c r="E84" t="s">
        <v>304</v>
      </c>
      <c r="F84" s="42" t="s">
        <v>68</v>
      </c>
      <c r="G84" s="13">
        <v>42542.443182870367</v>
      </c>
    </row>
    <row r="85" spans="1:7" x14ac:dyDescent="0.25">
      <c r="A85" s="13">
        <v>42542.377754629626</v>
      </c>
      <c r="B85" t="s">
        <v>80</v>
      </c>
      <c r="C85" t="s">
        <v>212</v>
      </c>
      <c r="D85">
        <v>1090000</v>
      </c>
      <c r="E85" t="s">
        <v>107</v>
      </c>
      <c r="F85" s="42" t="s">
        <v>80</v>
      </c>
      <c r="G85" s="13">
        <v>42542.377754629626</v>
      </c>
    </row>
    <row r="86" spans="1:7" x14ac:dyDescent="0.25">
      <c r="A86" s="13">
        <v>42542.516944444447</v>
      </c>
      <c r="B86" t="s">
        <v>68</v>
      </c>
      <c r="C86" t="s">
        <v>231</v>
      </c>
      <c r="D86">
        <v>1120000</v>
      </c>
      <c r="E86" t="s">
        <v>98</v>
      </c>
      <c r="F86" s="42" t="s">
        <v>68</v>
      </c>
      <c r="G86" s="13">
        <v>42542.516944444447</v>
      </c>
    </row>
    <row r="87" spans="1:7" x14ac:dyDescent="0.25">
      <c r="A87" s="13">
        <v>42542.349502314813</v>
      </c>
      <c r="B87" t="s">
        <v>92</v>
      </c>
      <c r="C87" t="s">
        <v>201</v>
      </c>
      <c r="D87">
        <v>1110000</v>
      </c>
      <c r="E87" t="s">
        <v>305</v>
      </c>
      <c r="F87" s="42" t="s">
        <v>92</v>
      </c>
      <c r="G87" s="13">
        <v>42542.349502314813</v>
      </c>
    </row>
    <row r="88" spans="1:7" x14ac:dyDescent="0.25">
      <c r="A88" s="13">
        <v>42542.51767361111</v>
      </c>
      <c r="B88" t="s">
        <v>68</v>
      </c>
      <c r="C88" t="s">
        <v>231</v>
      </c>
      <c r="D88">
        <v>1120000</v>
      </c>
      <c r="E88" t="s">
        <v>98</v>
      </c>
      <c r="F88" s="42" t="s">
        <v>68</v>
      </c>
      <c r="G88" s="13">
        <v>42542.51767361111</v>
      </c>
    </row>
    <row r="89" spans="1:7" x14ac:dyDescent="0.25">
      <c r="A89" s="13">
        <v>42542.342847222222</v>
      </c>
      <c r="B89" t="s">
        <v>78</v>
      </c>
      <c r="C89" t="s">
        <v>275</v>
      </c>
      <c r="D89">
        <v>1540000</v>
      </c>
      <c r="E89" t="s">
        <v>106</v>
      </c>
      <c r="F89" s="42" t="s">
        <v>78</v>
      </c>
      <c r="G89" s="13">
        <v>42542.342847222222</v>
      </c>
    </row>
    <row r="90" spans="1:7" x14ac:dyDescent="0.25">
      <c r="A90" s="13">
        <v>42542.526909722219</v>
      </c>
      <c r="B90" t="s">
        <v>77</v>
      </c>
      <c r="C90" t="s">
        <v>233</v>
      </c>
      <c r="D90">
        <v>2040000</v>
      </c>
      <c r="E90" t="s">
        <v>103</v>
      </c>
      <c r="F90" s="42" t="s">
        <v>77</v>
      </c>
      <c r="G90" s="13">
        <v>42542.526909722219</v>
      </c>
    </row>
    <row r="91" spans="1:7" x14ac:dyDescent="0.25">
      <c r="A91" s="13">
        <v>42542.316724537035</v>
      </c>
      <c r="B91" t="s">
        <v>76</v>
      </c>
      <c r="C91" t="s">
        <v>272</v>
      </c>
      <c r="D91">
        <v>1540000</v>
      </c>
      <c r="E91" t="s">
        <v>106</v>
      </c>
      <c r="F91" s="42" t="s">
        <v>76</v>
      </c>
      <c r="G91" s="13">
        <v>42542.316724537035</v>
      </c>
    </row>
    <row r="92" spans="1:7" x14ac:dyDescent="0.25">
      <c r="A92" s="13">
        <v>42542.552430555559</v>
      </c>
      <c r="B92" t="s">
        <v>65</v>
      </c>
      <c r="C92" t="s">
        <v>239</v>
      </c>
      <c r="D92">
        <v>940000</v>
      </c>
      <c r="E92" t="s">
        <v>311</v>
      </c>
      <c r="F92" s="42" t="s">
        <v>65</v>
      </c>
      <c r="G92" s="13">
        <v>42542.552430555559</v>
      </c>
    </row>
    <row r="93" spans="1:7" x14ac:dyDescent="0.25">
      <c r="A93" s="13">
        <v>42542.300162037034</v>
      </c>
      <c r="B93" t="s">
        <v>78</v>
      </c>
      <c r="C93" t="s">
        <v>271</v>
      </c>
      <c r="D93">
        <v>1540000</v>
      </c>
      <c r="E93" t="s">
        <v>106</v>
      </c>
      <c r="F93" s="42" t="s">
        <v>78</v>
      </c>
      <c r="G93" s="13">
        <v>42542.300162037034</v>
      </c>
    </row>
    <row r="94" spans="1:7" x14ac:dyDescent="0.25">
      <c r="A94" s="13">
        <v>42542.616388888891</v>
      </c>
      <c r="B94" t="s">
        <v>76</v>
      </c>
      <c r="C94" t="s">
        <v>286</v>
      </c>
      <c r="D94">
        <v>1740000</v>
      </c>
      <c r="E94" t="s">
        <v>74</v>
      </c>
      <c r="F94" s="42" t="s">
        <v>76</v>
      </c>
      <c r="G94" s="13">
        <v>42542.616388888891</v>
      </c>
    </row>
    <row r="95" spans="1:7" x14ac:dyDescent="0.25">
      <c r="A95" s="13">
        <v>42542.298576388886</v>
      </c>
      <c r="B95" t="s">
        <v>80</v>
      </c>
      <c r="C95" t="s">
        <v>198</v>
      </c>
      <c r="D95">
        <v>1090000</v>
      </c>
      <c r="E95" t="s">
        <v>107</v>
      </c>
      <c r="F95" s="42" t="s">
        <v>80</v>
      </c>
      <c r="G95" s="13">
        <v>42542.298576388886</v>
      </c>
    </row>
    <row r="96" spans="1:7" x14ac:dyDescent="0.25">
      <c r="A96" s="13">
        <v>42542.620196759257</v>
      </c>
      <c r="B96" t="s">
        <v>80</v>
      </c>
      <c r="C96" t="s">
        <v>252</v>
      </c>
      <c r="D96">
        <v>940000</v>
      </c>
      <c r="E96" t="s">
        <v>311</v>
      </c>
      <c r="F96" s="42" t="s">
        <v>80</v>
      </c>
      <c r="G96" s="13">
        <v>42542.620196759257</v>
      </c>
    </row>
    <row r="97" spans="1:7" x14ac:dyDescent="0.25">
      <c r="A97" s="13">
        <v>42542.296168981484</v>
      </c>
      <c r="B97" t="s">
        <v>67</v>
      </c>
      <c r="C97" t="s">
        <v>270</v>
      </c>
      <c r="D97">
        <v>1500000</v>
      </c>
      <c r="E97" t="s">
        <v>82</v>
      </c>
      <c r="F97" s="42" t="s">
        <v>67</v>
      </c>
      <c r="G97" s="13">
        <v>42542.296168981484</v>
      </c>
    </row>
    <row r="98" spans="1:7" x14ac:dyDescent="0.25">
      <c r="A98" s="13">
        <v>42542.636342592596</v>
      </c>
      <c r="B98" t="s">
        <v>301</v>
      </c>
      <c r="C98" t="s">
        <v>250</v>
      </c>
      <c r="D98">
        <v>1470000</v>
      </c>
      <c r="E98" t="s">
        <v>302</v>
      </c>
      <c r="F98" s="42" t="s">
        <v>301</v>
      </c>
      <c r="G98" s="13">
        <v>42542.636342592596</v>
      </c>
    </row>
    <row r="99" spans="1:7" x14ac:dyDescent="0.25">
      <c r="A99" s="13">
        <v>42542.276805555557</v>
      </c>
      <c r="B99" t="s">
        <v>92</v>
      </c>
      <c r="C99" t="s">
        <v>200</v>
      </c>
      <c r="D99">
        <v>1110000</v>
      </c>
      <c r="E99" t="s">
        <v>305</v>
      </c>
      <c r="F99" s="42" t="s">
        <v>92</v>
      </c>
      <c r="G99" s="13">
        <v>42542.276805555557</v>
      </c>
    </row>
    <row r="100" spans="1:7" x14ac:dyDescent="0.25">
      <c r="A100" s="13">
        <v>42542.644270833334</v>
      </c>
      <c r="B100" t="s">
        <v>75</v>
      </c>
      <c r="C100" t="s">
        <v>257</v>
      </c>
      <c r="D100">
        <v>1120000</v>
      </c>
      <c r="E100" t="s">
        <v>98</v>
      </c>
      <c r="F100" s="42" t="s">
        <v>75</v>
      </c>
      <c r="G100" s="13">
        <v>42542.644270833334</v>
      </c>
    </row>
    <row r="101" spans="1:7" x14ac:dyDescent="0.25">
      <c r="A101" s="13">
        <v>42542.269189814811</v>
      </c>
      <c r="B101" t="s">
        <v>83</v>
      </c>
      <c r="C101" t="s">
        <v>192</v>
      </c>
      <c r="D101">
        <v>1260000</v>
      </c>
      <c r="E101" t="s">
        <v>100</v>
      </c>
      <c r="F101" s="42" t="s">
        <v>83</v>
      </c>
      <c r="G101" s="13">
        <v>42542.269189814811</v>
      </c>
    </row>
    <row r="102" spans="1:7" x14ac:dyDescent="0.25">
      <c r="A102" s="13">
        <v>42542.646041666667</v>
      </c>
      <c r="B102" t="s">
        <v>71</v>
      </c>
      <c r="C102" t="s">
        <v>251</v>
      </c>
      <c r="D102">
        <v>1140000</v>
      </c>
      <c r="E102" t="s">
        <v>73</v>
      </c>
      <c r="F102" s="42" t="s">
        <v>71</v>
      </c>
      <c r="G102" s="13">
        <v>42542.646041666667</v>
      </c>
    </row>
    <row r="103" spans="1:7" x14ac:dyDescent="0.25">
      <c r="A103" s="13">
        <v>42542.26803240741</v>
      </c>
      <c r="B103" t="s">
        <v>83</v>
      </c>
      <c r="C103" t="s">
        <v>192</v>
      </c>
      <c r="D103">
        <v>1260000</v>
      </c>
      <c r="E103" t="s">
        <v>100</v>
      </c>
      <c r="F103" s="42" t="s">
        <v>83</v>
      </c>
      <c r="G103" s="13">
        <v>42542.26803240741</v>
      </c>
    </row>
    <row r="104" spans="1:7" x14ac:dyDescent="0.25">
      <c r="A104" s="13">
        <v>42542.65552083333</v>
      </c>
      <c r="B104" t="s">
        <v>83</v>
      </c>
      <c r="C104" t="s">
        <v>259</v>
      </c>
      <c r="D104">
        <v>2040000</v>
      </c>
      <c r="E104" t="s">
        <v>103</v>
      </c>
      <c r="F104" s="42" t="s">
        <v>83</v>
      </c>
      <c r="G104" s="13">
        <v>42542.65552083333</v>
      </c>
    </row>
    <row r="105" spans="1:7" x14ac:dyDescent="0.25">
      <c r="A105" s="13">
        <v>42542.266724537039</v>
      </c>
      <c r="B105" t="s">
        <v>65</v>
      </c>
      <c r="C105" t="s">
        <v>185</v>
      </c>
      <c r="D105">
        <v>1090000</v>
      </c>
      <c r="E105" t="s">
        <v>107</v>
      </c>
      <c r="F105" s="42" t="s">
        <v>65</v>
      </c>
      <c r="G105" s="13">
        <v>42542.266724537039</v>
      </c>
    </row>
    <row r="106" spans="1:7" x14ac:dyDescent="0.25">
      <c r="A106" s="13">
        <v>42542.657673611109</v>
      </c>
      <c r="B106" t="s">
        <v>76</v>
      </c>
      <c r="C106" t="s">
        <v>288</v>
      </c>
      <c r="D106">
        <v>1740000</v>
      </c>
      <c r="E106" t="s">
        <v>74</v>
      </c>
      <c r="F106" s="42" t="s">
        <v>76</v>
      </c>
      <c r="G106" s="13">
        <v>42542.657673611109</v>
      </c>
    </row>
    <row r="107" spans="1:7" x14ac:dyDescent="0.25">
      <c r="A107" s="13">
        <v>42542.257974537039</v>
      </c>
      <c r="B107" t="s">
        <v>91</v>
      </c>
      <c r="C107" t="s">
        <v>190</v>
      </c>
      <c r="D107">
        <v>2030000</v>
      </c>
      <c r="E107" t="s">
        <v>304</v>
      </c>
      <c r="F107" s="42" t="s">
        <v>91</v>
      </c>
      <c r="G107" s="13">
        <v>42542.257974537039</v>
      </c>
    </row>
    <row r="108" spans="1:7" x14ac:dyDescent="0.25">
      <c r="A108" s="13">
        <v>42542.696261574078</v>
      </c>
      <c r="B108" t="s">
        <v>78</v>
      </c>
      <c r="C108" t="s">
        <v>289</v>
      </c>
      <c r="D108">
        <v>1740000</v>
      </c>
      <c r="E108" t="s">
        <v>74</v>
      </c>
      <c r="F108" s="42" t="s">
        <v>78</v>
      </c>
      <c r="G108" s="13">
        <v>42542.696261574078</v>
      </c>
    </row>
    <row r="109" spans="1:7" x14ac:dyDescent="0.25">
      <c r="A109" s="13">
        <v>42542.257071759261</v>
      </c>
      <c r="B109" t="s">
        <v>91</v>
      </c>
      <c r="C109" t="s">
        <v>190</v>
      </c>
      <c r="D109">
        <v>2030000</v>
      </c>
      <c r="E109" t="s">
        <v>304</v>
      </c>
      <c r="F109" s="42" t="s">
        <v>91</v>
      </c>
      <c r="G109" s="13">
        <v>42542.257071759261</v>
      </c>
    </row>
    <row r="110" spans="1:7" x14ac:dyDescent="0.25">
      <c r="A110" s="13">
        <v>42542.712673611109</v>
      </c>
      <c r="B110" t="s">
        <v>76</v>
      </c>
      <c r="C110" t="s">
        <v>166</v>
      </c>
      <c r="D110">
        <v>1740000</v>
      </c>
      <c r="E110" t="s">
        <v>74</v>
      </c>
      <c r="F110" s="42" t="s">
        <v>76</v>
      </c>
      <c r="G110" s="13">
        <v>42542.712673611109</v>
      </c>
    </row>
    <row r="111" spans="1:7" x14ac:dyDescent="0.25">
      <c r="A111" s="13">
        <v>42542.24795138889</v>
      </c>
      <c r="B111" t="s">
        <v>301</v>
      </c>
      <c r="C111" t="s">
        <v>181</v>
      </c>
      <c r="D111">
        <v>1100000</v>
      </c>
      <c r="E111" t="s">
        <v>312</v>
      </c>
      <c r="F111" s="42" t="s">
        <v>301</v>
      </c>
      <c r="G111" s="13">
        <v>42542.24795138889</v>
      </c>
    </row>
    <row r="112" spans="1:7" x14ac:dyDescent="0.25">
      <c r="A112" s="13">
        <v>42542.71466435185</v>
      </c>
      <c r="B112" t="s">
        <v>76</v>
      </c>
      <c r="C112" t="s">
        <v>166</v>
      </c>
      <c r="D112">
        <v>1740000</v>
      </c>
      <c r="E112" t="s">
        <v>74</v>
      </c>
      <c r="F112" s="42" t="s">
        <v>76</v>
      </c>
      <c r="G112" s="13">
        <v>42542.71466435185</v>
      </c>
    </row>
    <row r="113" spans="1:7" x14ac:dyDescent="0.25">
      <c r="A113" s="13">
        <v>42542.241493055553</v>
      </c>
      <c r="B113" t="s">
        <v>79</v>
      </c>
      <c r="C113" t="s">
        <v>265</v>
      </c>
      <c r="D113">
        <v>1500000</v>
      </c>
      <c r="E113" t="s">
        <v>82</v>
      </c>
      <c r="F113" s="42" t="s">
        <v>79</v>
      </c>
      <c r="G113" s="13">
        <v>42542.241493055553</v>
      </c>
    </row>
    <row r="114" spans="1:7" x14ac:dyDescent="0.25">
      <c r="A114" s="13">
        <v>42542.715891203705</v>
      </c>
      <c r="B114" t="s">
        <v>301</v>
      </c>
      <c r="C114" t="s">
        <v>126</v>
      </c>
      <c r="D114">
        <v>1470000</v>
      </c>
      <c r="E114" t="s">
        <v>302</v>
      </c>
      <c r="F114" s="42" t="s">
        <v>301</v>
      </c>
      <c r="G114" s="13">
        <v>42542.715891203705</v>
      </c>
    </row>
    <row r="115" spans="1:7" x14ac:dyDescent="0.25">
      <c r="A115" s="13">
        <v>42542.23369212963</v>
      </c>
      <c r="B115" t="s">
        <v>68</v>
      </c>
      <c r="C115" t="s">
        <v>178</v>
      </c>
      <c r="D115">
        <v>2030000</v>
      </c>
      <c r="E115" t="s">
        <v>304</v>
      </c>
      <c r="F115" s="42" t="s">
        <v>68</v>
      </c>
      <c r="G115" s="13">
        <v>42542.23369212963</v>
      </c>
    </row>
    <row r="116" spans="1:7" x14ac:dyDescent="0.25">
      <c r="A116" s="13">
        <v>42542.718136574076</v>
      </c>
      <c r="B116" t="s">
        <v>93</v>
      </c>
      <c r="C116" t="s">
        <v>129</v>
      </c>
      <c r="D116">
        <v>1180000</v>
      </c>
      <c r="E116" t="s">
        <v>308</v>
      </c>
      <c r="F116" s="42" t="s">
        <v>93</v>
      </c>
      <c r="G116" s="13">
        <v>42542.718136574076</v>
      </c>
    </row>
    <row r="117" spans="1:7" x14ac:dyDescent="0.25">
      <c r="A117" s="13">
        <v>42542.224166666667</v>
      </c>
      <c r="B117" t="s">
        <v>68</v>
      </c>
      <c r="C117" t="s">
        <v>178</v>
      </c>
      <c r="D117">
        <v>2030000</v>
      </c>
      <c r="E117" t="s">
        <v>304</v>
      </c>
      <c r="F117" s="42" t="s">
        <v>68</v>
      </c>
      <c r="G117" s="13">
        <v>42542.224166666667</v>
      </c>
    </row>
    <row r="118" spans="1:7" x14ac:dyDescent="0.25">
      <c r="A118" s="13">
        <v>42542.726030092592</v>
      </c>
      <c r="B118" t="s">
        <v>71</v>
      </c>
      <c r="C118" t="s">
        <v>127</v>
      </c>
      <c r="D118">
        <v>740000</v>
      </c>
      <c r="E118" t="s">
        <v>313</v>
      </c>
      <c r="F118" s="42" t="s">
        <v>71</v>
      </c>
      <c r="G118" s="13">
        <v>42542.726030092592</v>
      </c>
    </row>
    <row r="119" spans="1:7" x14ac:dyDescent="0.25">
      <c r="A119" s="13">
        <v>42542.177951388891</v>
      </c>
      <c r="B119" t="s">
        <v>69</v>
      </c>
      <c r="C119" t="s">
        <v>177</v>
      </c>
      <c r="D119">
        <v>2030000</v>
      </c>
      <c r="E119" t="s">
        <v>304</v>
      </c>
      <c r="F119" s="42" t="s">
        <v>69</v>
      </c>
      <c r="G119" s="13">
        <v>42542.177951388891</v>
      </c>
    </row>
    <row r="120" spans="1:7" x14ac:dyDescent="0.25">
      <c r="A120" s="13">
        <v>42542.751701388886</v>
      </c>
      <c r="B120" t="s">
        <v>310</v>
      </c>
      <c r="C120" t="s">
        <v>137</v>
      </c>
      <c r="D120">
        <v>1780000</v>
      </c>
      <c r="E120" t="s">
        <v>105</v>
      </c>
      <c r="F120" s="42" t="s">
        <v>310</v>
      </c>
      <c r="G120" s="13">
        <v>42542.751701388886</v>
      </c>
    </row>
    <row r="121" spans="1:7" x14ac:dyDescent="0.25">
      <c r="A121" s="13">
        <v>42542.171956018516</v>
      </c>
      <c r="B121" t="s">
        <v>71</v>
      </c>
      <c r="C121" t="s">
        <v>172</v>
      </c>
      <c r="D121">
        <v>1480000</v>
      </c>
      <c r="E121" t="s">
        <v>101</v>
      </c>
      <c r="F121" s="42" t="s">
        <v>71</v>
      </c>
      <c r="G121" s="13">
        <v>42542.171956018516</v>
      </c>
    </row>
    <row r="122" spans="1:7" x14ac:dyDescent="0.25">
      <c r="A122" s="13">
        <v>42542.762962962966</v>
      </c>
      <c r="B122" s="60" t="s">
        <v>70</v>
      </c>
      <c r="C122" t="s">
        <v>139</v>
      </c>
      <c r="D122">
        <v>1820000</v>
      </c>
      <c r="E122" t="s">
        <v>307</v>
      </c>
      <c r="F122" s="60" t="s">
        <v>70</v>
      </c>
      <c r="G122" s="13">
        <v>42542.762962962966</v>
      </c>
    </row>
    <row r="123" spans="1:7" x14ac:dyDescent="0.25">
      <c r="A123" s="13">
        <v>42542.869837962964</v>
      </c>
      <c r="B123" t="s">
        <v>93</v>
      </c>
      <c r="C123" t="s">
        <v>151</v>
      </c>
      <c r="D123">
        <v>1180000</v>
      </c>
      <c r="E123" t="s">
        <v>308</v>
      </c>
      <c r="F123" s="42" t="s">
        <v>93</v>
      </c>
      <c r="G123" s="13">
        <v>42542.869837962964</v>
      </c>
    </row>
    <row r="124" spans="1:7" x14ac:dyDescent="0.25">
      <c r="A124" s="13">
        <v>42542.766550925924</v>
      </c>
      <c r="B124" t="s">
        <v>72</v>
      </c>
      <c r="C124" t="s">
        <v>134</v>
      </c>
      <c r="D124">
        <v>1120000</v>
      </c>
      <c r="E124" t="s">
        <v>98</v>
      </c>
      <c r="F124" s="42" t="s">
        <v>72</v>
      </c>
      <c r="G124" s="13">
        <v>42542.766550925924</v>
      </c>
    </row>
    <row r="125" spans="1:7" x14ac:dyDescent="0.25">
      <c r="A125" s="13">
        <v>42542.851574074077</v>
      </c>
      <c r="B125" t="s">
        <v>77</v>
      </c>
      <c r="C125" t="s">
        <v>146</v>
      </c>
      <c r="D125">
        <v>2010000</v>
      </c>
      <c r="E125" t="s">
        <v>95</v>
      </c>
      <c r="F125" s="42" t="s">
        <v>77</v>
      </c>
      <c r="G125" s="13">
        <v>42542.851574074077</v>
      </c>
    </row>
    <row r="126" spans="1:7" x14ac:dyDescent="0.25">
      <c r="A126" s="13">
        <v>42542.849641203706</v>
      </c>
      <c r="B126" t="s">
        <v>69</v>
      </c>
      <c r="C126" t="s">
        <v>149</v>
      </c>
      <c r="D126">
        <v>1810000</v>
      </c>
      <c r="E126" t="s">
        <v>306</v>
      </c>
      <c r="F126" s="42" t="s">
        <v>69</v>
      </c>
      <c r="G126" s="13">
        <v>42542.849641203706</v>
      </c>
    </row>
    <row r="127" spans="1:7" x14ac:dyDescent="0.25">
      <c r="A127" s="13">
        <v>42542.79960648148</v>
      </c>
      <c r="B127" t="s">
        <v>71</v>
      </c>
      <c r="C127" t="s">
        <v>140</v>
      </c>
      <c r="D127">
        <v>1820000</v>
      </c>
      <c r="E127" t="s">
        <v>307</v>
      </c>
      <c r="F127" s="42" t="s">
        <v>71</v>
      </c>
      <c r="G127" s="13">
        <v>42542.79960648148</v>
      </c>
    </row>
    <row r="128" spans="1:7" x14ac:dyDescent="0.25">
      <c r="A128" s="13">
        <v>42542.874039351853</v>
      </c>
      <c r="B128" t="s">
        <v>71</v>
      </c>
      <c r="C128" t="s">
        <v>148</v>
      </c>
      <c r="D128">
        <v>1820000</v>
      </c>
      <c r="E128" t="s">
        <v>307</v>
      </c>
      <c r="F128" s="42" t="s">
        <v>71</v>
      </c>
      <c r="G128" s="13">
        <v>42542.874039351853</v>
      </c>
    </row>
    <row r="129" spans="1:7" x14ac:dyDescent="0.25">
      <c r="A129" s="13">
        <v>42542.716956018521</v>
      </c>
      <c r="B129" t="s">
        <v>91</v>
      </c>
      <c r="C129" t="s">
        <v>131</v>
      </c>
      <c r="D129">
        <v>1990000</v>
      </c>
      <c r="E129" t="s">
        <v>303</v>
      </c>
      <c r="F129" s="42" t="s">
        <v>91</v>
      </c>
      <c r="G129" s="13">
        <v>42542.716956018521</v>
      </c>
    </row>
    <row r="130" spans="1:7" x14ac:dyDescent="0.25">
      <c r="A130" s="13">
        <v>42542.875092592592</v>
      </c>
      <c r="B130" t="s">
        <v>71</v>
      </c>
      <c r="C130" t="s">
        <v>148</v>
      </c>
      <c r="D130">
        <v>1820000</v>
      </c>
      <c r="E130" t="s">
        <v>307</v>
      </c>
      <c r="F130" s="42" t="s">
        <v>71</v>
      </c>
      <c r="G130" s="13">
        <v>42542.875092592592</v>
      </c>
    </row>
    <row r="131" spans="1:7" x14ac:dyDescent="0.25">
      <c r="A131" s="13">
        <v>42543.015208333331</v>
      </c>
      <c r="B131" t="s">
        <v>69</v>
      </c>
      <c r="C131" t="s">
        <v>164</v>
      </c>
      <c r="D131">
        <v>1810000</v>
      </c>
      <c r="E131" t="s">
        <v>306</v>
      </c>
      <c r="F131" s="42" t="s">
        <v>69</v>
      </c>
      <c r="G131" s="13">
        <v>42543.015208333331</v>
      </c>
    </row>
    <row r="132" spans="1:7" x14ac:dyDescent="0.25">
      <c r="A132" s="13">
        <v>42542.90766203704</v>
      </c>
      <c r="B132" t="s">
        <v>92</v>
      </c>
      <c r="C132" t="s">
        <v>152</v>
      </c>
      <c r="D132">
        <v>1180000</v>
      </c>
      <c r="E132" t="s">
        <v>308</v>
      </c>
      <c r="F132" s="42" t="s">
        <v>92</v>
      </c>
      <c r="G132" s="13">
        <v>42542.90766203704</v>
      </c>
    </row>
    <row r="133" spans="1:7" x14ac:dyDescent="0.25">
      <c r="A133" s="13">
        <v>42542.93310185185</v>
      </c>
      <c r="B133" t="s">
        <v>77</v>
      </c>
      <c r="C133" t="s">
        <v>300</v>
      </c>
      <c r="D133">
        <v>2010000</v>
      </c>
      <c r="E133" t="s">
        <v>95</v>
      </c>
      <c r="F133" s="42" t="s">
        <v>77</v>
      </c>
      <c r="G133" s="13">
        <v>42542.93310185185</v>
      </c>
    </row>
    <row r="134" spans="1:7" x14ac:dyDescent="0.25">
      <c r="A134" s="13">
        <v>42542.909189814818</v>
      </c>
      <c r="B134" t="s">
        <v>92</v>
      </c>
      <c r="C134" t="s">
        <v>152</v>
      </c>
      <c r="D134">
        <v>1180000</v>
      </c>
      <c r="E134" t="s">
        <v>308</v>
      </c>
      <c r="F134" s="42" t="s">
        <v>92</v>
      </c>
      <c r="G134" s="13">
        <v>42542.909189814818</v>
      </c>
    </row>
    <row r="135" spans="1:7" x14ac:dyDescent="0.25">
      <c r="A135" s="13">
        <v>42542.774895833332</v>
      </c>
      <c r="B135" t="s">
        <v>77</v>
      </c>
      <c r="C135" t="s">
        <v>136</v>
      </c>
      <c r="D135">
        <v>2010000</v>
      </c>
      <c r="E135" t="s">
        <v>95</v>
      </c>
      <c r="F135" s="42" t="s">
        <v>77</v>
      </c>
      <c r="G135" s="13">
        <v>42542.774895833332</v>
      </c>
    </row>
    <row r="136" spans="1:7" x14ac:dyDescent="0.25">
      <c r="A136" s="13">
        <v>42542.914652777778</v>
      </c>
      <c r="B136" t="s">
        <v>89</v>
      </c>
      <c r="C136" t="s">
        <v>154</v>
      </c>
      <c r="D136">
        <v>1820000</v>
      </c>
      <c r="E136" t="s">
        <v>307</v>
      </c>
      <c r="F136" s="42" t="s">
        <v>89</v>
      </c>
      <c r="G136" s="13">
        <v>42542.914652777778</v>
      </c>
    </row>
    <row r="137" spans="1:7" x14ac:dyDescent="0.25">
      <c r="A137" s="13">
        <v>42542.728715277779</v>
      </c>
      <c r="B137" t="s">
        <v>78</v>
      </c>
      <c r="C137" t="s">
        <v>167</v>
      </c>
      <c r="D137">
        <v>1740000</v>
      </c>
      <c r="E137" t="s">
        <v>74</v>
      </c>
      <c r="F137" s="42" t="s">
        <v>78</v>
      </c>
      <c r="G137" s="13">
        <v>42542.728715277779</v>
      </c>
    </row>
    <row r="138" spans="1:7" x14ac:dyDescent="0.25">
      <c r="A138" s="13">
        <v>42542.991331018522</v>
      </c>
      <c r="B138" t="s">
        <v>92</v>
      </c>
      <c r="C138" t="s">
        <v>159</v>
      </c>
      <c r="D138">
        <v>1180000</v>
      </c>
      <c r="E138" t="s">
        <v>308</v>
      </c>
      <c r="F138" s="42" t="s">
        <v>92</v>
      </c>
      <c r="G138" s="13">
        <v>42542.991331018522</v>
      </c>
    </row>
    <row r="139" spans="1:7" x14ac:dyDescent="0.25">
      <c r="A139" s="13">
        <v>42542.71197916667</v>
      </c>
      <c r="B139" t="s">
        <v>93</v>
      </c>
      <c r="C139" t="s">
        <v>129</v>
      </c>
      <c r="D139">
        <v>1180000</v>
      </c>
      <c r="E139" t="s">
        <v>308</v>
      </c>
      <c r="F139" s="42" t="s">
        <v>93</v>
      </c>
      <c r="G139" s="13">
        <v>42542.71197916667</v>
      </c>
    </row>
    <row r="140" spans="1:7" x14ac:dyDescent="0.25">
      <c r="A140" s="13">
        <v>42543.016180555554</v>
      </c>
      <c r="B140" t="s">
        <v>77</v>
      </c>
      <c r="C140" t="s">
        <v>161</v>
      </c>
      <c r="D140">
        <v>2010000</v>
      </c>
      <c r="E140" t="s">
        <v>95</v>
      </c>
      <c r="F140" s="42" t="s">
        <v>77</v>
      </c>
      <c r="G140" s="13">
        <v>42543.016180555554</v>
      </c>
    </row>
    <row r="141" spans="1:7" x14ac:dyDescent="0.25">
      <c r="A141" s="13">
        <v>42543.055833333332</v>
      </c>
      <c r="B141" s="42" t="s">
        <v>68</v>
      </c>
      <c r="C141" t="s">
        <v>165</v>
      </c>
      <c r="D141">
        <v>1810000</v>
      </c>
      <c r="E141" t="s">
        <v>306</v>
      </c>
      <c r="F141" s="42" t="s">
        <v>68</v>
      </c>
      <c r="G141" s="13">
        <v>42543.055833333332</v>
      </c>
    </row>
    <row r="142" spans="1:7" x14ac:dyDescent="0.25">
      <c r="A142" s="13">
        <v>42542.307638888888</v>
      </c>
      <c r="B142" s="42" t="s">
        <v>77</v>
      </c>
      <c r="C142" t="s">
        <v>193</v>
      </c>
      <c r="D142">
        <v>1260000</v>
      </c>
      <c r="E142" t="s">
        <v>100</v>
      </c>
      <c r="F142" s="42" t="s">
        <v>77</v>
      </c>
      <c r="G142" s="13">
        <v>42542.307638888888</v>
      </c>
    </row>
    <row r="143" spans="1:7" x14ac:dyDescent="0.25">
      <c r="A143" s="13">
        <v>42542.710289351853</v>
      </c>
      <c r="B143" t="s">
        <v>76</v>
      </c>
      <c r="C143" t="s">
        <v>166</v>
      </c>
      <c r="D143">
        <v>1740000</v>
      </c>
      <c r="E143" t="s">
        <v>74</v>
      </c>
      <c r="F143" s="42" t="s">
        <v>76</v>
      </c>
      <c r="G143" s="13">
        <v>42542.710289351853</v>
      </c>
    </row>
    <row r="144" spans="1:7" x14ac:dyDescent="0.25">
      <c r="A144" s="13">
        <v>42542.510057870371</v>
      </c>
      <c r="B144" t="s">
        <v>70</v>
      </c>
      <c r="C144" t="s">
        <v>236</v>
      </c>
      <c r="D144">
        <v>1140000</v>
      </c>
      <c r="E144" t="s">
        <v>73</v>
      </c>
      <c r="F144" s="42" t="s">
        <v>70</v>
      </c>
      <c r="G144" s="13">
        <v>42542.510057870371</v>
      </c>
    </row>
    <row r="145" spans="1:7" x14ac:dyDescent="0.25">
      <c r="A145" s="13">
        <v>42542.775891203702</v>
      </c>
      <c r="B145" t="s">
        <v>77</v>
      </c>
      <c r="C145" t="s">
        <v>136</v>
      </c>
      <c r="D145">
        <v>2010000</v>
      </c>
      <c r="E145" t="s">
        <v>95</v>
      </c>
      <c r="F145" s="42" t="s">
        <v>77</v>
      </c>
      <c r="G145" s="13">
        <v>42542.775891203702</v>
      </c>
    </row>
    <row r="146" spans="1:7" x14ac:dyDescent="0.25">
      <c r="A146" s="13">
        <v>42542.572893518518</v>
      </c>
      <c r="B146" t="s">
        <v>83</v>
      </c>
      <c r="C146" t="s">
        <v>246</v>
      </c>
      <c r="D146">
        <v>2040000</v>
      </c>
      <c r="E146" t="s">
        <v>103</v>
      </c>
      <c r="F146" s="42" t="s">
        <v>83</v>
      </c>
      <c r="G146" s="13">
        <v>42542.572893518518</v>
      </c>
    </row>
    <row r="147" spans="1:7" x14ac:dyDescent="0.25">
      <c r="A147" s="13">
        <v>42542.848449074074</v>
      </c>
      <c r="B147" t="s">
        <v>77</v>
      </c>
      <c r="C147" t="s">
        <v>146</v>
      </c>
      <c r="D147">
        <v>2010000</v>
      </c>
      <c r="E147" t="s">
        <v>95</v>
      </c>
      <c r="F147" s="42" t="s">
        <v>77</v>
      </c>
      <c r="G147" s="13">
        <v>42542.848449074074</v>
      </c>
    </row>
    <row r="148" spans="1:7" x14ac:dyDescent="0.25">
      <c r="A148" s="13">
        <v>42542.888483796298</v>
      </c>
      <c r="B148" t="s">
        <v>68</v>
      </c>
      <c r="C148" t="s">
        <v>150</v>
      </c>
      <c r="D148">
        <v>1810000</v>
      </c>
      <c r="E148" t="s">
        <v>306</v>
      </c>
      <c r="F148" s="42" t="s">
        <v>68</v>
      </c>
      <c r="G148" s="13">
        <v>42542.888483796298</v>
      </c>
    </row>
    <row r="149" spans="1:7" x14ac:dyDescent="0.25">
      <c r="A149" s="13">
        <v>42542.809224537035</v>
      </c>
      <c r="B149" t="s">
        <v>83</v>
      </c>
      <c r="C149" t="s">
        <v>145</v>
      </c>
      <c r="D149">
        <v>2010000</v>
      </c>
      <c r="E149" t="s">
        <v>95</v>
      </c>
      <c r="F149" s="42" t="s">
        <v>83</v>
      </c>
      <c r="G149" s="13">
        <v>42542.809224537035</v>
      </c>
    </row>
    <row r="150" spans="1:7" x14ac:dyDescent="0.25">
      <c r="A150" s="13">
        <v>42542.258564814816</v>
      </c>
      <c r="B150" t="s">
        <v>91</v>
      </c>
      <c r="C150" t="s">
        <v>190</v>
      </c>
      <c r="D150">
        <v>2030000</v>
      </c>
      <c r="E150" t="s">
        <v>304</v>
      </c>
      <c r="F150" s="42" t="s">
        <v>91</v>
      </c>
      <c r="G150" s="13">
        <v>42542.258564814816</v>
      </c>
    </row>
    <row r="151" spans="1:7" x14ac:dyDescent="0.25">
      <c r="A151" s="13">
        <v>42542.798402777778</v>
      </c>
      <c r="B151" t="s">
        <v>71</v>
      </c>
      <c r="C151" t="s">
        <v>140</v>
      </c>
      <c r="D151">
        <v>1820000</v>
      </c>
      <c r="E151" t="s">
        <v>307</v>
      </c>
      <c r="F151" s="42" t="s">
        <v>71</v>
      </c>
      <c r="G151" s="13">
        <v>42542.798402777778</v>
      </c>
    </row>
    <row r="152" spans="1:7" x14ac:dyDescent="0.25">
      <c r="A152" s="13">
        <v>42542.381840277776</v>
      </c>
      <c r="B152" t="s">
        <v>77</v>
      </c>
      <c r="C152" t="s">
        <v>206</v>
      </c>
      <c r="D152">
        <v>1260000</v>
      </c>
      <c r="E152" t="s">
        <v>100</v>
      </c>
      <c r="F152" s="42" t="s">
        <v>77</v>
      </c>
      <c r="G152" s="13">
        <v>42542.381840277776</v>
      </c>
    </row>
    <row r="153" spans="1:7" x14ac:dyDescent="0.25">
      <c r="A153" s="13">
        <v>42542.681076388886</v>
      </c>
      <c r="B153" t="s">
        <v>78</v>
      </c>
      <c r="C153" t="s">
        <v>289</v>
      </c>
      <c r="D153">
        <v>1740000</v>
      </c>
      <c r="E153" t="s">
        <v>74</v>
      </c>
      <c r="F153" s="42" t="s">
        <v>78</v>
      </c>
      <c r="G153" s="13">
        <v>42542.681076388886</v>
      </c>
    </row>
    <row r="154" spans="1:7" x14ac:dyDescent="0.25">
      <c r="A154" s="13">
        <v>42542.389733796299</v>
      </c>
      <c r="B154" t="s">
        <v>310</v>
      </c>
      <c r="C154" t="s">
        <v>208</v>
      </c>
      <c r="D154">
        <v>1100000</v>
      </c>
      <c r="E154" t="s">
        <v>312</v>
      </c>
      <c r="F154" s="42" t="s">
        <v>310</v>
      </c>
      <c r="G154" s="13">
        <v>42542.389733796299</v>
      </c>
    </row>
    <row r="155" spans="1:7" x14ac:dyDescent="0.25">
      <c r="A155" s="13">
        <v>42542.976331018515</v>
      </c>
      <c r="B155" t="s">
        <v>83</v>
      </c>
      <c r="C155" t="s">
        <v>160</v>
      </c>
      <c r="D155">
        <v>2010000</v>
      </c>
      <c r="E155" t="s">
        <v>95</v>
      </c>
      <c r="F155" s="42" t="s">
        <v>83</v>
      </c>
      <c r="G155" s="13">
        <v>42542.976331018515</v>
      </c>
    </row>
    <row r="156" spans="1:7" x14ac:dyDescent="0.25">
      <c r="A156" s="13">
        <v>42542.447476851848</v>
      </c>
      <c r="B156" t="s">
        <v>80</v>
      </c>
      <c r="C156" t="s">
        <v>224</v>
      </c>
      <c r="D156">
        <v>1750000</v>
      </c>
      <c r="E156" t="s">
        <v>104</v>
      </c>
      <c r="F156" s="42" t="s">
        <v>80</v>
      </c>
      <c r="G156" s="13">
        <v>42542.447476851848</v>
      </c>
    </row>
    <row r="157" spans="1:7" x14ac:dyDescent="0.25">
      <c r="A157" s="13">
        <v>42542.954687500001</v>
      </c>
      <c r="B157" t="s">
        <v>93</v>
      </c>
      <c r="C157" t="s">
        <v>158</v>
      </c>
      <c r="D157">
        <v>1180000</v>
      </c>
      <c r="E157" t="s">
        <v>308</v>
      </c>
      <c r="F157" s="42" t="s">
        <v>93</v>
      </c>
      <c r="G157" s="13">
        <v>42542.954687500001</v>
      </c>
    </row>
    <row r="158" spans="1:7" x14ac:dyDescent="0.25">
      <c r="A158" s="13">
        <v>42542.635138888887</v>
      </c>
      <c r="B158" t="s">
        <v>301</v>
      </c>
      <c r="C158" t="s">
        <v>250</v>
      </c>
      <c r="D158">
        <v>1470000</v>
      </c>
      <c r="E158" t="s">
        <v>302</v>
      </c>
      <c r="F158" s="42" t="s">
        <v>301</v>
      </c>
      <c r="G158" s="13">
        <v>42542.635138888887</v>
      </c>
    </row>
    <row r="159" spans="1:7" x14ac:dyDescent="0.25">
      <c r="A159" s="13">
        <v>42542.92355324074</v>
      </c>
      <c r="B159" t="s">
        <v>69</v>
      </c>
      <c r="C159" t="s">
        <v>156</v>
      </c>
      <c r="D159">
        <v>1810000</v>
      </c>
      <c r="E159" t="s">
        <v>306</v>
      </c>
      <c r="F159" s="42" t="s">
        <v>69</v>
      </c>
      <c r="G159" s="13">
        <v>42542.92355324074</v>
      </c>
    </row>
    <row r="160" spans="1:7" x14ac:dyDescent="0.25">
      <c r="A160" s="13">
        <v>42542.67627314815</v>
      </c>
      <c r="B160" t="s">
        <v>310</v>
      </c>
      <c r="C160" t="s">
        <v>261</v>
      </c>
      <c r="D160">
        <v>1470000</v>
      </c>
      <c r="E160" t="s">
        <v>302</v>
      </c>
      <c r="F160" s="42" t="s">
        <v>310</v>
      </c>
      <c r="G160" s="13">
        <v>42542.67627314815</v>
      </c>
    </row>
    <row r="161" spans="1:7" x14ac:dyDescent="0.25">
      <c r="A161" s="13">
        <v>42542.889826388891</v>
      </c>
      <c r="B161" t="s">
        <v>68</v>
      </c>
      <c r="C161" t="s">
        <v>150</v>
      </c>
      <c r="D161">
        <v>1810000</v>
      </c>
      <c r="E161" t="s">
        <v>306</v>
      </c>
      <c r="F161" s="42" t="s">
        <v>68</v>
      </c>
      <c r="G161" s="13">
        <v>42542.889826388891</v>
      </c>
    </row>
    <row r="162" spans="1:7" x14ac:dyDescent="0.25">
      <c r="A162" s="13">
        <v>42542.725462962961</v>
      </c>
      <c r="B162" t="s">
        <v>75</v>
      </c>
      <c r="C162" t="s">
        <v>133</v>
      </c>
      <c r="D162">
        <v>1120000</v>
      </c>
      <c r="E162" t="s">
        <v>98</v>
      </c>
      <c r="F162" s="42" t="s">
        <v>75</v>
      </c>
      <c r="G162" s="13">
        <v>42542.725462962961</v>
      </c>
    </row>
    <row r="163" spans="1:7" x14ac:dyDescent="0.25">
      <c r="A163" s="13">
        <v>42542.687615740739</v>
      </c>
      <c r="B163" t="s">
        <v>70</v>
      </c>
      <c r="C163" t="s">
        <v>262</v>
      </c>
      <c r="D163">
        <v>740000</v>
      </c>
      <c r="E163" t="s">
        <v>313</v>
      </c>
      <c r="F163" s="42" t="s">
        <v>70</v>
      </c>
      <c r="G163" s="13">
        <v>42542.687615740739</v>
      </c>
    </row>
    <row r="164" spans="1:7" x14ac:dyDescent="0.25">
      <c r="A164" s="13">
        <v>42542.237662037034</v>
      </c>
      <c r="B164" t="s">
        <v>93</v>
      </c>
      <c r="C164" t="s">
        <v>186</v>
      </c>
      <c r="D164">
        <v>1110000</v>
      </c>
      <c r="E164" t="s">
        <v>305</v>
      </c>
      <c r="F164" s="42" t="s">
        <v>93</v>
      </c>
      <c r="G164" s="13">
        <v>42542.237662037034</v>
      </c>
    </row>
    <row r="165" spans="1:7" x14ac:dyDescent="0.25">
      <c r="A165" s="13">
        <v>42542.431979166664</v>
      </c>
      <c r="B165" t="s">
        <v>310</v>
      </c>
      <c r="C165" t="s">
        <v>221</v>
      </c>
      <c r="D165">
        <v>1470000</v>
      </c>
      <c r="E165" t="s">
        <v>302</v>
      </c>
      <c r="F165" s="42" t="s">
        <v>310</v>
      </c>
      <c r="G165" s="13">
        <v>42542.431979166664</v>
      </c>
    </row>
    <row r="166" spans="1:7" x14ac:dyDescent="0.25">
      <c r="A166" s="13">
        <v>42542.249942129631</v>
      </c>
      <c r="B166" t="s">
        <v>75</v>
      </c>
      <c r="C166" t="s">
        <v>188</v>
      </c>
      <c r="D166">
        <v>900000</v>
      </c>
      <c r="E166" t="s">
        <v>81</v>
      </c>
      <c r="F166" s="42" t="s">
        <v>75</v>
      </c>
      <c r="G166" s="13">
        <v>42542.249942129631</v>
      </c>
    </row>
    <row r="167" spans="1:7" x14ac:dyDescent="0.25">
      <c r="A167" s="13">
        <v>42542.371759259258</v>
      </c>
      <c r="B167" t="s">
        <v>68</v>
      </c>
      <c r="C167" t="s">
        <v>205</v>
      </c>
      <c r="D167">
        <v>2030000</v>
      </c>
      <c r="E167" t="s">
        <v>304</v>
      </c>
      <c r="F167" s="42" t="s">
        <v>68</v>
      </c>
      <c r="G167" s="13">
        <v>42542.371759259258</v>
      </c>
    </row>
    <row r="168" spans="1:7" x14ac:dyDescent="0.25">
      <c r="A168" s="13">
        <v>42542.326990740738</v>
      </c>
      <c r="B168" t="s">
        <v>71</v>
      </c>
      <c r="C168" t="s">
        <v>197</v>
      </c>
      <c r="D168">
        <v>2000000</v>
      </c>
      <c r="E168" t="s">
        <v>108</v>
      </c>
      <c r="F168" s="42" t="s">
        <v>71</v>
      </c>
      <c r="G168" s="13">
        <v>42542.326990740738</v>
      </c>
    </row>
    <row r="169" spans="1:7" x14ac:dyDescent="0.25">
      <c r="A169" s="13">
        <v>42542.341331018521</v>
      </c>
      <c r="B169" t="s">
        <v>83</v>
      </c>
      <c r="C169" t="s">
        <v>206</v>
      </c>
      <c r="D169">
        <v>1260000</v>
      </c>
      <c r="E169" t="s">
        <v>100</v>
      </c>
      <c r="F169" s="42" t="s">
        <v>83</v>
      </c>
      <c r="G169" s="13">
        <v>42542.341331018521</v>
      </c>
    </row>
    <row r="170" spans="1:7" x14ac:dyDescent="0.25">
      <c r="A170" s="13">
        <v>42542.570173611108</v>
      </c>
      <c r="B170" t="s">
        <v>92</v>
      </c>
      <c r="C170" t="s">
        <v>241</v>
      </c>
      <c r="D170">
        <v>1290000</v>
      </c>
      <c r="E170" t="s">
        <v>99</v>
      </c>
      <c r="F170" s="42" t="s">
        <v>92</v>
      </c>
      <c r="G170" s="13">
        <v>42542.570173611108</v>
      </c>
    </row>
    <row r="171" spans="1:7" x14ac:dyDescent="0.25">
      <c r="A171" s="13">
        <v>42542.324918981481</v>
      </c>
      <c r="B171" t="s">
        <v>79</v>
      </c>
      <c r="C171" t="s">
        <v>273</v>
      </c>
      <c r="D171">
        <v>1500000</v>
      </c>
      <c r="E171" t="s">
        <v>82</v>
      </c>
      <c r="F171" s="42" t="s">
        <v>79</v>
      </c>
      <c r="G171" s="13">
        <v>42542.324918981481</v>
      </c>
    </row>
    <row r="172" spans="1:7" x14ac:dyDescent="0.25">
      <c r="A172" s="13">
        <v>42542.954976851855</v>
      </c>
      <c r="B172" t="s">
        <v>90</v>
      </c>
      <c r="C172" t="s">
        <v>155</v>
      </c>
      <c r="D172">
        <v>1820000</v>
      </c>
      <c r="E172" t="s">
        <v>307</v>
      </c>
      <c r="F172" s="42" t="s">
        <v>90</v>
      </c>
      <c r="G172" s="13">
        <v>42542.954976851855</v>
      </c>
    </row>
    <row r="173" spans="1:7" x14ac:dyDescent="0.25">
      <c r="A173" s="13">
        <v>42542.230798611112</v>
      </c>
      <c r="B173" t="s">
        <v>80</v>
      </c>
      <c r="C173" t="s">
        <v>184</v>
      </c>
      <c r="D173">
        <v>1090000</v>
      </c>
      <c r="E173" t="s">
        <v>107</v>
      </c>
      <c r="F173" s="42" t="s">
        <v>80</v>
      </c>
      <c r="G173" s="13">
        <v>42542.230798611112</v>
      </c>
    </row>
    <row r="174" spans="1:7" x14ac:dyDescent="0.25">
      <c r="A174" s="13">
        <v>42542.3359375</v>
      </c>
      <c r="B174" t="s">
        <v>65</v>
      </c>
      <c r="C174" t="s">
        <v>199</v>
      </c>
      <c r="D174">
        <v>1090000</v>
      </c>
      <c r="E174" t="s">
        <v>107</v>
      </c>
      <c r="F174" s="42" t="s">
        <v>65</v>
      </c>
      <c r="G174" s="13">
        <v>42542.3359375</v>
      </c>
    </row>
    <row r="175" spans="1:7" x14ac:dyDescent="0.25">
      <c r="A175" s="13">
        <v>42542.225185185183</v>
      </c>
      <c r="B175" t="s">
        <v>94</v>
      </c>
      <c r="C175" t="s">
        <v>176</v>
      </c>
      <c r="D175">
        <v>900000</v>
      </c>
      <c r="E175" t="s">
        <v>81</v>
      </c>
      <c r="F175" s="42" t="s">
        <v>94</v>
      </c>
      <c r="G175" s="13">
        <v>42542.225185185183</v>
      </c>
    </row>
    <row r="176" spans="1:7" x14ac:dyDescent="0.25">
      <c r="A176" s="13">
        <v>42542.337766203702</v>
      </c>
      <c r="B176" t="s">
        <v>67</v>
      </c>
      <c r="C176" t="s">
        <v>274</v>
      </c>
      <c r="D176">
        <v>1500000</v>
      </c>
      <c r="E176" t="s">
        <v>82</v>
      </c>
      <c r="F176" s="42" t="s">
        <v>67</v>
      </c>
      <c r="G176" s="13">
        <v>42542.337766203702</v>
      </c>
    </row>
    <row r="177" spans="1:7" x14ac:dyDescent="0.25">
      <c r="A177" s="13">
        <v>42542.455416666664</v>
      </c>
      <c r="B177" t="s">
        <v>93</v>
      </c>
      <c r="C177" t="s">
        <v>226</v>
      </c>
      <c r="D177">
        <v>1090000</v>
      </c>
      <c r="E177" t="s">
        <v>107</v>
      </c>
      <c r="F177" s="42" t="s">
        <v>93</v>
      </c>
      <c r="G177" s="13">
        <v>42542.455416666664</v>
      </c>
    </row>
    <row r="178" spans="1:7" x14ac:dyDescent="0.25">
      <c r="A178" s="13">
        <v>42542.352581018517</v>
      </c>
      <c r="B178" t="s">
        <v>310</v>
      </c>
      <c r="C178" t="s">
        <v>208</v>
      </c>
      <c r="D178">
        <v>1100000</v>
      </c>
      <c r="E178" t="s">
        <v>312</v>
      </c>
      <c r="F178" s="42" t="s">
        <v>310</v>
      </c>
      <c r="G178" s="13">
        <v>42542.352581018517</v>
      </c>
    </row>
    <row r="179" spans="1:7" x14ac:dyDescent="0.25">
      <c r="A179" s="13">
        <v>42542.384722222225</v>
      </c>
      <c r="B179" t="s">
        <v>78</v>
      </c>
      <c r="C179" t="s">
        <v>277</v>
      </c>
      <c r="D179">
        <v>1540000</v>
      </c>
      <c r="E179" t="s">
        <v>106</v>
      </c>
      <c r="F179" s="42" t="s">
        <v>78</v>
      </c>
      <c r="G179" s="13">
        <v>42542.384722222225</v>
      </c>
    </row>
    <row r="180" spans="1:7" x14ac:dyDescent="0.25">
      <c r="A180" s="13">
        <v>42542.59302083333</v>
      </c>
      <c r="B180" t="s">
        <v>310</v>
      </c>
      <c r="C180" t="s">
        <v>249</v>
      </c>
      <c r="D180">
        <v>1470000</v>
      </c>
      <c r="E180" t="s">
        <v>302</v>
      </c>
      <c r="F180" s="42" t="s">
        <v>310</v>
      </c>
      <c r="G180" s="13">
        <v>42542.59302083333</v>
      </c>
    </row>
    <row r="181" spans="1:7" x14ac:dyDescent="0.25">
      <c r="A181" s="13">
        <v>42542.361273148148</v>
      </c>
      <c r="B181" t="s">
        <v>72</v>
      </c>
      <c r="C181" t="s">
        <v>203</v>
      </c>
      <c r="D181">
        <v>900000</v>
      </c>
      <c r="E181" t="s">
        <v>81</v>
      </c>
      <c r="F181" s="42" t="s">
        <v>72</v>
      </c>
      <c r="G181" s="13">
        <v>42542.361273148148</v>
      </c>
    </row>
    <row r="182" spans="1:7" x14ac:dyDescent="0.25">
      <c r="A182" s="13">
        <v>42542.65347222222</v>
      </c>
      <c r="B182" t="s">
        <v>65</v>
      </c>
      <c r="C182" t="s">
        <v>297</v>
      </c>
      <c r="D182">
        <v>940000</v>
      </c>
      <c r="E182" t="s">
        <v>311</v>
      </c>
      <c r="F182" s="42" t="s">
        <v>65</v>
      </c>
      <c r="G182" s="13">
        <v>42542.65347222222</v>
      </c>
    </row>
    <row r="183" spans="1:7" x14ac:dyDescent="0.25">
      <c r="A183" s="13">
        <v>42542.518182870372</v>
      </c>
      <c r="B183" t="s">
        <v>78</v>
      </c>
      <c r="C183" t="s">
        <v>281</v>
      </c>
      <c r="D183">
        <v>1540000</v>
      </c>
      <c r="E183" t="s">
        <v>106</v>
      </c>
      <c r="F183" s="42" t="s">
        <v>78</v>
      </c>
      <c r="G183" s="13">
        <v>42542.518182870372</v>
      </c>
    </row>
    <row r="184" spans="1:7" x14ac:dyDescent="0.25">
      <c r="A184" s="13">
        <v>42542.730856481481</v>
      </c>
      <c r="B184" t="s">
        <v>68</v>
      </c>
      <c r="C184" t="s">
        <v>128</v>
      </c>
      <c r="D184">
        <v>1750000</v>
      </c>
      <c r="E184" t="s">
        <v>104</v>
      </c>
      <c r="F184" s="42" t="s">
        <v>68</v>
      </c>
      <c r="G184" s="13">
        <v>42542.730856481481</v>
      </c>
    </row>
    <row r="185" spans="1:7" x14ac:dyDescent="0.25">
      <c r="A185" s="13">
        <v>42542.315949074073</v>
      </c>
      <c r="B185" t="s">
        <v>301</v>
      </c>
      <c r="C185" t="s">
        <v>195</v>
      </c>
      <c r="D185">
        <v>1100000</v>
      </c>
      <c r="E185" t="s">
        <v>312</v>
      </c>
      <c r="F185" s="42" t="s">
        <v>301</v>
      </c>
      <c r="G185" s="13">
        <v>42542.315949074073</v>
      </c>
    </row>
    <row r="186" spans="1:7" x14ac:dyDescent="0.25">
      <c r="A186" s="13">
        <v>42542.74627314815</v>
      </c>
      <c r="B186" t="s">
        <v>92</v>
      </c>
      <c r="C186" t="s">
        <v>130</v>
      </c>
      <c r="D186">
        <v>1180000</v>
      </c>
      <c r="E186" t="s">
        <v>308</v>
      </c>
      <c r="F186" s="42" t="s">
        <v>92</v>
      </c>
      <c r="G186" s="13">
        <v>42542.74627314815</v>
      </c>
    </row>
    <row r="187" spans="1:7" x14ac:dyDescent="0.25">
      <c r="A187" s="13">
        <v>42542.48846064815</v>
      </c>
      <c r="B187" t="s">
        <v>83</v>
      </c>
      <c r="C187" t="s">
        <v>232</v>
      </c>
      <c r="D187">
        <v>2040000</v>
      </c>
      <c r="E187" t="s">
        <v>103</v>
      </c>
      <c r="F187" s="42" t="s">
        <v>83</v>
      </c>
      <c r="G187" s="13">
        <v>42542.48846064815</v>
      </c>
    </row>
    <row r="188" spans="1:7" x14ac:dyDescent="0.25">
      <c r="A188" s="13">
        <v>42543.037407407406</v>
      </c>
      <c r="B188" t="s">
        <v>90</v>
      </c>
      <c r="C188" t="s">
        <v>163</v>
      </c>
      <c r="D188">
        <v>1820000</v>
      </c>
      <c r="E188" t="s">
        <v>307</v>
      </c>
      <c r="F188" s="42" t="s">
        <v>90</v>
      </c>
      <c r="G188" s="13">
        <v>42543.037407407406</v>
      </c>
    </row>
    <row r="189" spans="1:7" x14ac:dyDescent="0.25">
      <c r="A189" s="13">
        <v>42542.383090277777</v>
      </c>
      <c r="B189" t="s">
        <v>77</v>
      </c>
      <c r="C189" t="s">
        <v>207</v>
      </c>
      <c r="D189">
        <v>1260000</v>
      </c>
      <c r="E189" t="s">
        <v>100</v>
      </c>
      <c r="F189" s="42" t="s">
        <v>77</v>
      </c>
      <c r="G189" s="13">
        <v>42542.383090277777</v>
      </c>
    </row>
    <row r="190" spans="1:7" x14ac:dyDescent="0.25">
      <c r="A190" s="13">
        <v>42542.210486111115</v>
      </c>
      <c r="B190" t="s">
        <v>70</v>
      </c>
      <c r="C190" t="s">
        <v>182</v>
      </c>
      <c r="D190">
        <v>2000000</v>
      </c>
      <c r="E190" t="s">
        <v>108</v>
      </c>
      <c r="F190" s="42" t="s">
        <v>70</v>
      </c>
      <c r="G190" s="13">
        <v>42542.210486111115</v>
      </c>
    </row>
    <row r="191" spans="1:7" x14ac:dyDescent="0.25">
      <c r="A191" s="13">
        <v>42542.33090277778</v>
      </c>
      <c r="B191" t="s">
        <v>69</v>
      </c>
      <c r="C191" t="s">
        <v>204</v>
      </c>
      <c r="D191">
        <v>2030000</v>
      </c>
      <c r="E191" t="s">
        <v>304</v>
      </c>
      <c r="F191" s="42" t="s">
        <v>69</v>
      </c>
      <c r="G191" s="13">
        <v>42542.33090277778</v>
      </c>
    </row>
    <row r="192" spans="1:7" x14ac:dyDescent="0.25">
      <c r="A192" s="13">
        <v>42542.312013888892</v>
      </c>
      <c r="B192" t="s">
        <v>93</v>
      </c>
      <c r="C192" t="s">
        <v>200</v>
      </c>
      <c r="D192">
        <v>1110000</v>
      </c>
      <c r="E192" t="s">
        <v>305</v>
      </c>
      <c r="F192" s="42" t="s">
        <v>93</v>
      </c>
      <c r="G192" s="13">
        <v>42542.312013888892</v>
      </c>
    </row>
    <row r="193" spans="1:7" x14ac:dyDescent="0.25">
      <c r="A193" s="13">
        <v>42542.254884259259</v>
      </c>
      <c r="B193" t="s">
        <v>67</v>
      </c>
      <c r="C193" t="s">
        <v>266</v>
      </c>
      <c r="D193">
        <v>1500000</v>
      </c>
      <c r="E193" t="s">
        <v>82</v>
      </c>
      <c r="F193" s="42" t="s">
        <v>67</v>
      </c>
      <c r="G193" s="13">
        <v>42542.254884259259</v>
      </c>
    </row>
    <row r="194" spans="1:7" x14ac:dyDescent="0.25">
      <c r="A194" s="13">
        <v>42542.487511574072</v>
      </c>
      <c r="B194" t="s">
        <v>83</v>
      </c>
      <c r="C194" t="s">
        <v>232</v>
      </c>
      <c r="D194">
        <v>2040000</v>
      </c>
      <c r="E194" t="s">
        <v>103</v>
      </c>
      <c r="F194" s="42" t="s">
        <v>83</v>
      </c>
      <c r="G194" s="13">
        <v>42542.487511574072</v>
      </c>
    </row>
    <row r="195" spans="1:7" x14ac:dyDescent="0.25">
      <c r="A195" s="13">
        <v>42542.65215277778</v>
      </c>
      <c r="B195" t="s">
        <v>65</v>
      </c>
      <c r="C195" t="s">
        <v>297</v>
      </c>
      <c r="D195">
        <v>940000</v>
      </c>
      <c r="E195" t="s">
        <v>311</v>
      </c>
      <c r="F195" s="42" t="s">
        <v>65</v>
      </c>
      <c r="G195" s="13">
        <v>42542.65215277778</v>
      </c>
    </row>
    <row r="196" spans="1:7" x14ac:dyDescent="0.25">
      <c r="A196" s="13">
        <v>42542.507523148146</v>
      </c>
      <c r="B196" t="s">
        <v>94</v>
      </c>
      <c r="C196" t="s">
        <v>229</v>
      </c>
      <c r="D196">
        <v>1990000</v>
      </c>
      <c r="E196" t="s">
        <v>303</v>
      </c>
      <c r="F196" s="42" t="s">
        <v>94</v>
      </c>
      <c r="G196" s="13">
        <v>42542.507523148146</v>
      </c>
    </row>
    <row r="197" spans="1:7" x14ac:dyDescent="0.25">
      <c r="A197" s="13">
        <v>42542.644618055558</v>
      </c>
      <c r="B197" t="s">
        <v>71</v>
      </c>
      <c r="C197" t="s">
        <v>251</v>
      </c>
      <c r="D197">
        <v>1140000</v>
      </c>
      <c r="E197" t="s">
        <v>73</v>
      </c>
      <c r="F197" s="42" t="s">
        <v>71</v>
      </c>
      <c r="G197" s="13">
        <v>42542.644618055558</v>
      </c>
    </row>
    <row r="198" spans="1:7" x14ac:dyDescent="0.25">
      <c r="A198" s="13">
        <v>42542.601817129631</v>
      </c>
      <c r="B198" t="s">
        <v>72</v>
      </c>
      <c r="C198" t="s">
        <v>245</v>
      </c>
      <c r="D198">
        <v>1120000</v>
      </c>
      <c r="E198" t="s">
        <v>98</v>
      </c>
      <c r="F198" s="42" t="s">
        <v>72</v>
      </c>
      <c r="G198" s="13">
        <v>42542.601817129631</v>
      </c>
    </row>
    <row r="199" spans="1:7" x14ac:dyDescent="0.25">
      <c r="A199" s="13">
        <v>42542.633263888885</v>
      </c>
      <c r="B199" t="s">
        <v>78</v>
      </c>
      <c r="C199" t="s">
        <v>287</v>
      </c>
      <c r="D199">
        <v>1740000</v>
      </c>
      <c r="E199" t="s">
        <v>74</v>
      </c>
      <c r="F199" s="42" t="s">
        <v>78</v>
      </c>
      <c r="G199" s="13">
        <v>42542.633263888885</v>
      </c>
    </row>
    <row r="200" spans="1:7" x14ac:dyDescent="0.25">
      <c r="A200" s="13">
        <v>42542.662581018521</v>
      </c>
      <c r="B200" t="s">
        <v>92</v>
      </c>
      <c r="C200" t="s">
        <v>254</v>
      </c>
      <c r="D200">
        <v>1290000</v>
      </c>
      <c r="E200" t="s">
        <v>99</v>
      </c>
      <c r="F200" s="42" t="s">
        <v>92</v>
      </c>
      <c r="G200" s="13">
        <v>42542.662581018521</v>
      </c>
    </row>
    <row r="201" spans="1:7" x14ac:dyDescent="0.25">
      <c r="A201" s="13">
        <v>42542.621145833335</v>
      </c>
      <c r="B201" t="s">
        <v>93</v>
      </c>
      <c r="C201" t="s">
        <v>253</v>
      </c>
      <c r="D201">
        <v>1290000</v>
      </c>
      <c r="E201" t="s">
        <v>99</v>
      </c>
      <c r="F201" s="42" t="s">
        <v>93</v>
      </c>
      <c r="G201" s="13">
        <v>42542.621145833335</v>
      </c>
    </row>
    <row r="202" spans="1:7" x14ac:dyDescent="0.25">
      <c r="A202" s="61">
        <v>42542.678599537037</v>
      </c>
      <c r="B202" t="s">
        <v>78</v>
      </c>
      <c r="C202" t="s">
        <v>289</v>
      </c>
      <c r="D202">
        <v>1740000</v>
      </c>
      <c r="E202" t="s">
        <v>74</v>
      </c>
      <c r="F202" s="42" t="s">
        <v>78</v>
      </c>
      <c r="G202" s="61">
        <v>42542.678599537037</v>
      </c>
    </row>
    <row r="203" spans="1:7" x14ac:dyDescent="0.25">
      <c r="A203" s="13">
        <v>42542.613229166665</v>
      </c>
      <c r="B203" t="s">
        <v>77</v>
      </c>
      <c r="C203" t="s">
        <v>247</v>
      </c>
      <c r="D203">
        <v>2040000</v>
      </c>
      <c r="E203" t="s">
        <v>103</v>
      </c>
      <c r="F203" s="42" t="s">
        <v>77</v>
      </c>
      <c r="G203" s="13">
        <v>42542.613229166665</v>
      </c>
    </row>
    <row r="204" spans="1:7" x14ac:dyDescent="0.25">
      <c r="A204" s="13">
        <v>42542.768877314818</v>
      </c>
      <c r="B204" t="s">
        <v>69</v>
      </c>
      <c r="C204" t="s">
        <v>141</v>
      </c>
      <c r="D204">
        <v>1810000</v>
      </c>
      <c r="E204" t="s">
        <v>306</v>
      </c>
      <c r="F204" s="42" t="s">
        <v>69</v>
      </c>
      <c r="G204" s="13">
        <v>42542.768877314818</v>
      </c>
    </row>
    <row r="205" spans="1:7" x14ac:dyDescent="0.25">
      <c r="A205" s="13">
        <v>42542.607870370368</v>
      </c>
      <c r="B205" t="s">
        <v>80</v>
      </c>
      <c r="C205" t="s">
        <v>252</v>
      </c>
      <c r="D205">
        <v>940000</v>
      </c>
      <c r="E205" t="s">
        <v>311</v>
      </c>
      <c r="F205" s="42" t="s">
        <v>80</v>
      </c>
      <c r="G205" s="13">
        <v>42542.607870370368</v>
      </c>
    </row>
    <row r="206" spans="1:7" x14ac:dyDescent="0.25">
      <c r="A206" s="13">
        <v>42542.801747685182</v>
      </c>
      <c r="B206" t="s">
        <v>68</v>
      </c>
      <c r="C206" t="s">
        <v>142</v>
      </c>
      <c r="D206">
        <v>1810000</v>
      </c>
      <c r="E206" t="s">
        <v>306</v>
      </c>
      <c r="F206" s="42" t="s">
        <v>68</v>
      </c>
      <c r="G206" s="13">
        <v>42542.801747685182</v>
      </c>
    </row>
    <row r="207" spans="1:7" x14ac:dyDescent="0.25">
      <c r="A207" s="13">
        <v>42542.59547453704</v>
      </c>
      <c r="B207" t="s">
        <v>310</v>
      </c>
      <c r="C207" t="s">
        <v>249</v>
      </c>
      <c r="D207">
        <v>1470000</v>
      </c>
      <c r="E207" t="s">
        <v>302</v>
      </c>
      <c r="F207" s="42" t="s">
        <v>310</v>
      </c>
      <c r="G207" s="13">
        <v>42542.59547453704</v>
      </c>
    </row>
    <row r="208" spans="1:7" x14ac:dyDescent="0.25">
      <c r="A208" s="13">
        <v>42542.996886574074</v>
      </c>
      <c r="B208" t="s">
        <v>89</v>
      </c>
      <c r="C208" t="s">
        <v>162</v>
      </c>
      <c r="D208">
        <v>1820000</v>
      </c>
      <c r="E208" t="s">
        <v>307</v>
      </c>
      <c r="F208" s="42" t="s">
        <v>89</v>
      </c>
      <c r="G208" s="13">
        <v>42542.996886574074</v>
      </c>
    </row>
    <row r="209" spans="1:7" x14ac:dyDescent="0.25">
      <c r="A209" s="13">
        <v>42542.593414351853</v>
      </c>
      <c r="B209" t="s">
        <v>78</v>
      </c>
      <c r="C209" t="s">
        <v>285</v>
      </c>
      <c r="D209">
        <v>1740000</v>
      </c>
      <c r="E209" t="s">
        <v>74</v>
      </c>
      <c r="F209" s="42" t="s">
        <v>78</v>
      </c>
      <c r="G209" s="13">
        <v>42542.593414351853</v>
      </c>
    </row>
    <row r="210" spans="1:7" x14ac:dyDescent="0.25">
      <c r="A210" s="13">
        <v>42542.192337962966</v>
      </c>
      <c r="B210" t="s">
        <v>83</v>
      </c>
      <c r="C210" t="s">
        <v>179</v>
      </c>
      <c r="D210">
        <v>1260000</v>
      </c>
      <c r="E210" t="s">
        <v>100</v>
      </c>
      <c r="F210" s="42" t="s">
        <v>83</v>
      </c>
      <c r="G210" s="13">
        <v>42542.192337962966</v>
      </c>
    </row>
    <row r="211" spans="1:7" x14ac:dyDescent="0.25">
      <c r="A211" s="13">
        <v>42542.571956018517</v>
      </c>
      <c r="B211" t="s">
        <v>83</v>
      </c>
      <c r="C211" t="s">
        <v>246</v>
      </c>
      <c r="D211">
        <v>2040000</v>
      </c>
      <c r="E211" t="s">
        <v>103</v>
      </c>
      <c r="F211" s="42" t="s">
        <v>83</v>
      </c>
      <c r="G211" s="13">
        <v>42542.571956018517</v>
      </c>
    </row>
    <row r="212" spans="1:7" x14ac:dyDescent="0.25">
      <c r="A212" s="13">
        <v>42542.399884259263</v>
      </c>
      <c r="B212" t="s">
        <v>76</v>
      </c>
      <c r="C212" t="s">
        <v>278</v>
      </c>
      <c r="D212">
        <v>1540000</v>
      </c>
      <c r="E212" t="s">
        <v>106</v>
      </c>
      <c r="F212" s="42" t="s">
        <v>76</v>
      </c>
      <c r="G212" s="13">
        <v>42542.399884259263</v>
      </c>
    </row>
    <row r="213" spans="1:7" x14ac:dyDescent="0.25">
      <c r="A213" s="13">
        <v>42542.495127314818</v>
      </c>
      <c r="B213" t="s">
        <v>310</v>
      </c>
      <c r="C213" t="s">
        <v>234</v>
      </c>
      <c r="D213">
        <v>1470000</v>
      </c>
      <c r="E213" t="s">
        <v>302</v>
      </c>
      <c r="F213" s="42" t="s">
        <v>310</v>
      </c>
      <c r="G213" s="13">
        <v>42542.495127314818</v>
      </c>
    </row>
    <row r="214" spans="1:7" x14ac:dyDescent="0.25">
      <c r="A214" s="13">
        <v>42542.423252314817</v>
      </c>
      <c r="B214" t="s">
        <v>92</v>
      </c>
      <c r="C214" t="s">
        <v>215</v>
      </c>
      <c r="D214">
        <v>1110000</v>
      </c>
      <c r="E214" t="s">
        <v>305</v>
      </c>
      <c r="F214" s="42" t="s">
        <v>92</v>
      </c>
      <c r="G214" s="13">
        <v>42542.423252314817</v>
      </c>
    </row>
    <row r="215" spans="1:7" x14ac:dyDescent="0.25">
      <c r="A215" s="13">
        <v>42542.473101851851</v>
      </c>
      <c r="B215" t="s">
        <v>71</v>
      </c>
      <c r="C215" t="s">
        <v>223</v>
      </c>
      <c r="D215">
        <v>1100000</v>
      </c>
      <c r="E215" t="s">
        <v>312</v>
      </c>
      <c r="F215" s="42" t="s">
        <v>71</v>
      </c>
      <c r="G215" s="13">
        <v>42542.473101851851</v>
      </c>
    </row>
    <row r="216" spans="1:7" x14ac:dyDescent="0.25">
      <c r="A216" s="13">
        <v>42542.517488425925</v>
      </c>
      <c r="B216" t="s">
        <v>80</v>
      </c>
      <c r="C216" t="s">
        <v>238</v>
      </c>
      <c r="D216">
        <v>940000</v>
      </c>
      <c r="E216" t="s">
        <v>311</v>
      </c>
      <c r="F216" s="42" t="s">
        <v>80</v>
      </c>
      <c r="G216" s="13">
        <v>42542.517488425925</v>
      </c>
    </row>
    <row r="217" spans="1:7" x14ac:dyDescent="0.25">
      <c r="A217" s="13">
        <v>42542.443831018521</v>
      </c>
      <c r="B217" t="s">
        <v>68</v>
      </c>
      <c r="C217" t="s">
        <v>218</v>
      </c>
      <c r="D217">
        <v>2030000</v>
      </c>
      <c r="E217" t="s">
        <v>304</v>
      </c>
      <c r="F217" s="42" t="s">
        <v>68</v>
      </c>
      <c r="G217" s="13">
        <v>42542.443831018521</v>
      </c>
    </row>
    <row r="218" spans="1:7" x14ac:dyDescent="0.25">
      <c r="A218" s="13">
        <v>42542.59746527778</v>
      </c>
      <c r="B218" t="s">
        <v>70</v>
      </c>
      <c r="C218" t="s">
        <v>248</v>
      </c>
      <c r="D218">
        <v>1140000</v>
      </c>
      <c r="E218" t="s">
        <v>73</v>
      </c>
      <c r="F218" s="42" t="s">
        <v>70</v>
      </c>
      <c r="G218" s="13">
        <v>42542.59746527778</v>
      </c>
    </row>
    <row r="219" spans="1:7" x14ac:dyDescent="0.25">
      <c r="A219" s="13">
        <v>42542.394502314812</v>
      </c>
      <c r="B219" t="s">
        <v>75</v>
      </c>
      <c r="C219" t="s">
        <v>216</v>
      </c>
      <c r="D219">
        <v>900000</v>
      </c>
      <c r="E219" t="s">
        <v>81</v>
      </c>
      <c r="F219" s="42" t="s">
        <v>75</v>
      </c>
      <c r="G219" s="13">
        <v>42542.394502314812</v>
      </c>
    </row>
    <row r="220" spans="1:7" x14ac:dyDescent="0.25">
      <c r="A220" s="13">
        <v>42542.694560185184</v>
      </c>
      <c r="B220" t="s">
        <v>77</v>
      </c>
      <c r="C220" t="s">
        <v>260</v>
      </c>
      <c r="D220">
        <v>2040000</v>
      </c>
      <c r="E220" t="s">
        <v>103</v>
      </c>
      <c r="F220" s="42" t="s">
        <v>77</v>
      </c>
      <c r="G220" s="13">
        <v>42542.694560185184</v>
      </c>
    </row>
    <row r="221" spans="1:7" x14ac:dyDescent="0.25">
      <c r="A221" s="13">
        <v>42542.390706018516</v>
      </c>
      <c r="B221" t="s">
        <v>301</v>
      </c>
      <c r="C221" t="s">
        <v>209</v>
      </c>
      <c r="D221">
        <v>1100000</v>
      </c>
      <c r="E221" t="s">
        <v>312</v>
      </c>
      <c r="F221" s="42" t="s">
        <v>301</v>
      </c>
      <c r="G221" s="13">
        <v>42542.390706018516</v>
      </c>
    </row>
    <row r="222" spans="1:7" x14ac:dyDescent="0.25">
      <c r="A222" s="13">
        <v>42542.80976851852</v>
      </c>
      <c r="B222" t="s">
        <v>71</v>
      </c>
      <c r="C222" t="s">
        <v>140</v>
      </c>
      <c r="D222">
        <v>1820000</v>
      </c>
      <c r="E222" t="s">
        <v>307</v>
      </c>
      <c r="F222" s="42" t="s">
        <v>71</v>
      </c>
      <c r="G222" s="13">
        <v>42542.80976851852</v>
      </c>
    </row>
    <row r="223" spans="1:7" x14ac:dyDescent="0.25">
      <c r="A223" s="13">
        <v>42542.278032407405</v>
      </c>
      <c r="B223" t="s">
        <v>310</v>
      </c>
      <c r="C223" t="s">
        <v>194</v>
      </c>
      <c r="D223">
        <v>1100000</v>
      </c>
      <c r="E223" t="s">
        <v>312</v>
      </c>
      <c r="F223" s="42" t="s">
        <v>310</v>
      </c>
      <c r="G223" s="13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N21" sqref="N21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9" t="s">
        <v>111</v>
      </c>
      <c r="K1" s="69" t="s">
        <v>112</v>
      </c>
      <c r="L1" s="69" t="s">
        <v>113</v>
      </c>
      <c r="M1" s="42"/>
    </row>
    <row r="2" spans="1:13" ht="15.75" thickBot="1" x14ac:dyDescent="0.3">
      <c r="A2" s="24">
        <v>42542</v>
      </c>
      <c r="B2" s="9"/>
      <c r="C2" s="30">
        <v>50</v>
      </c>
      <c r="F2" t="s">
        <v>61</v>
      </c>
      <c r="J2" s="69" t="s">
        <v>111</v>
      </c>
      <c r="K2" s="69" t="s">
        <v>112</v>
      </c>
      <c r="L2" s="69" t="s">
        <v>113</v>
      </c>
      <c r="M2" s="42"/>
    </row>
    <row r="3" spans="1:13" x14ac:dyDescent="0.25">
      <c r="F3" t="s">
        <v>62</v>
      </c>
      <c r="J3" s="70" t="s">
        <v>114</v>
      </c>
      <c r="K3" s="71">
        <v>2.7052</v>
      </c>
      <c r="L3" s="71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70" t="s">
        <v>115</v>
      </c>
      <c r="K4" s="71">
        <v>3.0830000000000002</v>
      </c>
      <c r="L4" s="71">
        <v>3.097</v>
      </c>
      <c r="M4" s="42">
        <f t="shared" si="0"/>
        <v>3.09</v>
      </c>
    </row>
    <row r="5" spans="1:13" x14ac:dyDescent="0.25">
      <c r="J5" s="70" t="s">
        <v>116</v>
      </c>
      <c r="K5" s="71">
        <v>3.3136000000000001</v>
      </c>
      <c r="L5" s="71">
        <v>3.3256999999999999</v>
      </c>
      <c r="M5" s="42">
        <f t="shared" si="0"/>
        <v>3.3196500000000002</v>
      </c>
    </row>
    <row r="6" spans="1:13" x14ac:dyDescent="0.25">
      <c r="J6" s="70" t="s">
        <v>117</v>
      </c>
      <c r="K6" s="71">
        <v>4.2778999999999998</v>
      </c>
      <c r="L6" s="71">
        <v>4.2961</v>
      </c>
      <c r="M6" s="42">
        <f t="shared" si="0"/>
        <v>4.2869999999999999</v>
      </c>
    </row>
    <row r="7" spans="1:13" x14ac:dyDescent="0.25">
      <c r="J7" s="70" t="s">
        <v>118</v>
      </c>
      <c r="K7" s="71">
        <v>4.7865000000000002</v>
      </c>
      <c r="L7" s="71">
        <v>4.8048000000000002</v>
      </c>
      <c r="M7" s="42">
        <f t="shared" si="0"/>
        <v>4.7956500000000002</v>
      </c>
    </row>
    <row r="8" spans="1:13" x14ac:dyDescent="0.25">
      <c r="J8" s="70" t="s">
        <v>119</v>
      </c>
      <c r="K8" s="71">
        <v>5.3155000000000001</v>
      </c>
      <c r="L8" s="71">
        <v>5.3277000000000001</v>
      </c>
      <c r="M8" s="42">
        <f t="shared" si="0"/>
        <v>5.3216000000000001</v>
      </c>
    </row>
    <row r="9" spans="1:13" x14ac:dyDescent="0.25">
      <c r="J9" s="70" t="s">
        <v>120</v>
      </c>
      <c r="K9" s="71">
        <v>5.8117000000000001</v>
      </c>
      <c r="L9" s="71">
        <v>5.8300999999999998</v>
      </c>
      <c r="M9" s="42">
        <f t="shared" si="0"/>
        <v>5.8209</v>
      </c>
    </row>
    <row r="10" spans="1:13" x14ac:dyDescent="0.25">
      <c r="J10" s="70" t="s">
        <v>121</v>
      </c>
      <c r="K10" s="71">
        <v>5.8783000000000003</v>
      </c>
      <c r="L10" s="71">
        <v>5.8903999999999996</v>
      </c>
      <c r="M10" s="42">
        <f t="shared" si="0"/>
        <v>5.8843499999999995</v>
      </c>
    </row>
    <row r="11" spans="1:13" x14ac:dyDescent="0.25">
      <c r="J11" s="70" t="s">
        <v>122</v>
      </c>
      <c r="K11" s="71">
        <v>6.3068</v>
      </c>
      <c r="L11" s="71">
        <v>6.3308999999999997</v>
      </c>
      <c r="M11" s="42">
        <f t="shared" si="0"/>
        <v>6.3188499999999994</v>
      </c>
    </row>
    <row r="12" spans="1:13" x14ac:dyDescent="0.25">
      <c r="J12" s="70" t="s">
        <v>123</v>
      </c>
      <c r="K12" s="71">
        <v>7.8349000000000002</v>
      </c>
      <c r="L12" s="71">
        <v>7.8468999999999998</v>
      </c>
      <c r="M12" s="42">
        <f t="shared" si="0"/>
        <v>7.8408999999999995</v>
      </c>
    </row>
    <row r="13" spans="1:13" x14ac:dyDescent="0.25">
      <c r="J13" s="70" t="s">
        <v>124</v>
      </c>
      <c r="K13" s="71">
        <v>10.373799999999999</v>
      </c>
      <c r="L13" s="71">
        <v>10.38</v>
      </c>
      <c r="M13" s="42">
        <f t="shared" si="0"/>
        <v>10.376899999999999</v>
      </c>
    </row>
    <row r="14" spans="1:13" x14ac:dyDescent="0.25">
      <c r="J14" s="70" t="s">
        <v>125</v>
      </c>
      <c r="K14" s="71">
        <v>10.8954</v>
      </c>
      <c r="L14" s="71">
        <v>10.913500000000001</v>
      </c>
      <c r="M14" s="42">
        <f t="shared" si="0"/>
        <v>10.904450000000001</v>
      </c>
    </row>
    <row r="15" spans="1:13" x14ac:dyDescent="0.25">
      <c r="J15" s="70"/>
      <c r="K15" s="71"/>
      <c r="L15" s="71"/>
      <c r="M15" s="42"/>
    </row>
    <row r="16" spans="1:13" x14ac:dyDescent="0.25">
      <c r="J16" s="70"/>
      <c r="K16" s="71"/>
      <c r="L16" s="71"/>
      <c r="M16" s="42"/>
    </row>
    <row r="17" spans="10:13" x14ac:dyDescent="0.25">
      <c r="J17" s="70"/>
      <c r="K17" s="71"/>
      <c r="L17" s="71"/>
      <c r="M17" s="42"/>
    </row>
    <row r="18" spans="10:13" x14ac:dyDescent="0.25">
      <c r="J18" s="70"/>
      <c r="K18" s="71"/>
      <c r="L18" s="71"/>
      <c r="M18" s="42"/>
    </row>
    <row r="19" spans="10:13" x14ac:dyDescent="0.25">
      <c r="J19" s="70"/>
      <c r="K19" s="71"/>
      <c r="L19" s="71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2016-06-22T20:04:18Z</dcterms:modified>
</cp:coreProperties>
</file>