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Enforcements!$A$2:$N$40</definedName>
    <definedName name="_xlnm._FilterDatabase" localSheetId="0" hidden="1">'Train Runs'!$A$2:$AA$156</definedName>
    <definedName name="Denver_Train_Runs_04122016" localSheetId="0">'Train Runs'!$A$2:$J$161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4" i="1" l="1"/>
  <c r="T83" i="1" l="1"/>
  <c r="T149" i="1"/>
  <c r="V149" i="1"/>
  <c r="W149" i="1"/>
  <c r="X149" i="1"/>
  <c r="Z149" i="1"/>
  <c r="AA149" i="1"/>
  <c r="T150" i="1"/>
  <c r="V150" i="1"/>
  <c r="W150" i="1"/>
  <c r="X150" i="1"/>
  <c r="Z150" i="1"/>
  <c r="AA150" i="1"/>
  <c r="T151" i="1"/>
  <c r="V151" i="1"/>
  <c r="W151" i="1"/>
  <c r="X151" i="1"/>
  <c r="Z151" i="1"/>
  <c r="AA151" i="1"/>
  <c r="T152" i="1"/>
  <c r="V152" i="1"/>
  <c r="W152" i="1"/>
  <c r="X152" i="1"/>
  <c r="Z152" i="1"/>
  <c r="AA152" i="1"/>
  <c r="T153" i="1"/>
  <c r="V153" i="1"/>
  <c r="W153" i="1"/>
  <c r="X153" i="1"/>
  <c r="Z153" i="1"/>
  <c r="AA153" i="1"/>
  <c r="T154" i="1"/>
  <c r="V154" i="1"/>
  <c r="W154" i="1"/>
  <c r="X154" i="1"/>
  <c r="Z154" i="1"/>
  <c r="AA154" i="1"/>
  <c r="T155" i="1"/>
  <c r="V155" i="1"/>
  <c r="W155" i="1"/>
  <c r="X155" i="1"/>
  <c r="Z155" i="1"/>
  <c r="AA155" i="1"/>
  <c r="T156" i="1"/>
  <c r="V156" i="1"/>
  <c r="W156" i="1"/>
  <c r="X156" i="1"/>
  <c r="Z156" i="1"/>
  <c r="AA156" i="1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P13" i="1" s="1"/>
  <c r="T13" i="1"/>
  <c r="V13" i="1"/>
  <c r="W13" i="1"/>
  <c r="X13" i="1"/>
  <c r="Z13" i="1"/>
  <c r="AA13" i="1"/>
  <c r="K14" i="1"/>
  <c r="L14" i="1"/>
  <c r="M14" i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Y27" i="1" s="1"/>
  <c r="U27" i="1" s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Y31" i="1" s="1"/>
  <c r="U31" i="1" s="1"/>
  <c r="Z31" i="1"/>
  <c r="AA31" i="1"/>
  <c r="K32" i="1"/>
  <c r="L32" i="1"/>
  <c r="M32" i="1"/>
  <c r="T32" i="1"/>
  <c r="V32" i="1"/>
  <c r="W32" i="1"/>
  <c r="X32" i="1"/>
  <c r="Z32" i="1"/>
  <c r="AA32" i="1"/>
  <c r="K33" i="1"/>
  <c r="L33" i="1"/>
  <c r="M33" i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Y39" i="1" s="1"/>
  <c r="U39" i="1" s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T43" i="1"/>
  <c r="V43" i="1"/>
  <c r="W43" i="1"/>
  <c r="X43" i="1"/>
  <c r="Z43" i="1"/>
  <c r="AA43" i="1"/>
  <c r="K44" i="1"/>
  <c r="L44" i="1"/>
  <c r="M44" i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Y55" i="1" s="1"/>
  <c r="U55" i="1" s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Y58" i="1" s="1"/>
  <c r="U58" i="1" s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T66" i="1"/>
  <c r="V66" i="1"/>
  <c r="W66" i="1"/>
  <c r="X66" i="1"/>
  <c r="Y66" i="1" s="1"/>
  <c r="U66" i="1" s="1"/>
  <c r="Z66" i="1"/>
  <c r="AA66" i="1"/>
  <c r="K67" i="1"/>
  <c r="L67" i="1"/>
  <c r="M67" i="1"/>
  <c r="T67" i="1"/>
  <c r="V67" i="1"/>
  <c r="W67" i="1"/>
  <c r="X67" i="1"/>
  <c r="Z67" i="1"/>
  <c r="AA67" i="1"/>
  <c r="K68" i="1"/>
  <c r="L68" i="1"/>
  <c r="M68" i="1"/>
  <c r="T68" i="1"/>
  <c r="V68" i="1"/>
  <c r="W68" i="1"/>
  <c r="X68" i="1"/>
  <c r="Z68" i="1"/>
  <c r="AA68" i="1"/>
  <c r="K69" i="1"/>
  <c r="L69" i="1"/>
  <c r="M69" i="1"/>
  <c r="T69" i="1"/>
  <c r="V69" i="1"/>
  <c r="W69" i="1"/>
  <c r="X69" i="1"/>
  <c r="Y69" i="1"/>
  <c r="U69" i="1" s="1"/>
  <c r="Z69" i="1"/>
  <c r="AA69" i="1"/>
  <c r="K70" i="1"/>
  <c r="L70" i="1"/>
  <c r="M70" i="1"/>
  <c r="T70" i="1"/>
  <c r="V70" i="1"/>
  <c r="W70" i="1"/>
  <c r="X70" i="1"/>
  <c r="Z70" i="1"/>
  <c r="AA70" i="1"/>
  <c r="K71" i="1"/>
  <c r="L71" i="1"/>
  <c r="M71" i="1"/>
  <c r="T71" i="1"/>
  <c r="V71" i="1"/>
  <c r="W71" i="1"/>
  <c r="X71" i="1"/>
  <c r="Z71" i="1"/>
  <c r="AA71" i="1"/>
  <c r="K72" i="1"/>
  <c r="L72" i="1"/>
  <c r="M72" i="1"/>
  <c r="P72" i="1" s="1"/>
  <c r="T72" i="1"/>
  <c r="V72" i="1"/>
  <c r="W72" i="1"/>
  <c r="X72" i="1"/>
  <c r="Y72" i="1" s="1"/>
  <c r="U72" i="1" s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T74" i="1"/>
  <c r="V74" i="1"/>
  <c r="W74" i="1"/>
  <c r="X74" i="1"/>
  <c r="Z74" i="1"/>
  <c r="AA74" i="1"/>
  <c r="K75" i="1"/>
  <c r="L75" i="1"/>
  <c r="M75" i="1"/>
  <c r="P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Y76" i="1" s="1"/>
  <c r="U76" i="1" s="1"/>
  <c r="Z76" i="1"/>
  <c r="AA76" i="1"/>
  <c r="K77" i="1"/>
  <c r="L77" i="1"/>
  <c r="M77" i="1"/>
  <c r="N77" i="1" s="1"/>
  <c r="T77" i="1"/>
  <c r="V77" i="1"/>
  <c r="W77" i="1"/>
  <c r="X77" i="1"/>
  <c r="Y77" i="1" s="1"/>
  <c r="U77" i="1" s="1"/>
  <c r="Z77" i="1"/>
  <c r="AA77" i="1"/>
  <c r="K78" i="1"/>
  <c r="L78" i="1"/>
  <c r="M78" i="1"/>
  <c r="T78" i="1"/>
  <c r="V78" i="1"/>
  <c r="W78" i="1"/>
  <c r="X78" i="1"/>
  <c r="Z78" i="1"/>
  <c r="AA78" i="1"/>
  <c r="K79" i="1"/>
  <c r="L79" i="1"/>
  <c r="M79" i="1"/>
  <c r="T79" i="1"/>
  <c r="V79" i="1"/>
  <c r="W79" i="1"/>
  <c r="X79" i="1"/>
  <c r="Z79" i="1"/>
  <c r="AA79" i="1"/>
  <c r="K80" i="1"/>
  <c r="L80" i="1"/>
  <c r="M80" i="1"/>
  <c r="P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Y81" i="1" s="1"/>
  <c r="U81" i="1" s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P83" i="1" s="1"/>
  <c r="V83" i="1"/>
  <c r="W83" i="1"/>
  <c r="X83" i="1"/>
  <c r="Z83" i="1"/>
  <c r="AA83" i="1"/>
  <c r="K84" i="1"/>
  <c r="L84" i="1"/>
  <c r="M84" i="1"/>
  <c r="P84" i="1" s="1"/>
  <c r="T84" i="1"/>
  <c r="V84" i="1"/>
  <c r="W84" i="1"/>
  <c r="X84" i="1"/>
  <c r="Z84" i="1"/>
  <c r="AA84" i="1"/>
  <c r="K85" i="1"/>
  <c r="L85" i="1"/>
  <c r="M85" i="1"/>
  <c r="P85" i="1" s="1"/>
  <c r="T85" i="1"/>
  <c r="V85" i="1"/>
  <c r="W85" i="1"/>
  <c r="X85" i="1"/>
  <c r="Z85" i="1"/>
  <c r="AA85" i="1"/>
  <c r="K86" i="1"/>
  <c r="L86" i="1"/>
  <c r="M86" i="1"/>
  <c r="P86" i="1" s="1"/>
  <c r="T86" i="1"/>
  <c r="V86" i="1"/>
  <c r="W86" i="1"/>
  <c r="X86" i="1"/>
  <c r="Y86" i="1" s="1"/>
  <c r="U86" i="1" s="1"/>
  <c r="Z86" i="1"/>
  <c r="AA86" i="1"/>
  <c r="K87" i="1"/>
  <c r="L87" i="1"/>
  <c r="M87" i="1"/>
  <c r="P87" i="1" s="1"/>
  <c r="T87" i="1"/>
  <c r="V87" i="1"/>
  <c r="W87" i="1"/>
  <c r="X87" i="1"/>
  <c r="Z87" i="1"/>
  <c r="AA87" i="1"/>
  <c r="K88" i="1"/>
  <c r="L88" i="1"/>
  <c r="M88" i="1"/>
  <c r="P88" i="1" s="1"/>
  <c r="T88" i="1"/>
  <c r="V88" i="1"/>
  <c r="W88" i="1"/>
  <c r="X88" i="1"/>
  <c r="Z88" i="1"/>
  <c r="AA88" i="1"/>
  <c r="K89" i="1"/>
  <c r="L89" i="1"/>
  <c r="M89" i="1"/>
  <c r="P89" i="1" s="1"/>
  <c r="T89" i="1"/>
  <c r="V89" i="1"/>
  <c r="W89" i="1"/>
  <c r="X89" i="1"/>
  <c r="Z89" i="1"/>
  <c r="AA89" i="1"/>
  <c r="K90" i="1"/>
  <c r="L90" i="1"/>
  <c r="M90" i="1"/>
  <c r="P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/>
  <c r="T92" i="1"/>
  <c r="V92" i="1"/>
  <c r="W92" i="1"/>
  <c r="X92" i="1"/>
  <c r="Z92" i="1"/>
  <c r="AA92" i="1"/>
  <c r="K93" i="1"/>
  <c r="L93" i="1"/>
  <c r="M93" i="1"/>
  <c r="P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P97" i="1" s="1"/>
  <c r="T97" i="1"/>
  <c r="V97" i="1"/>
  <c r="W97" i="1"/>
  <c r="X97" i="1"/>
  <c r="Z97" i="1"/>
  <c r="AA97" i="1"/>
  <c r="K98" i="1"/>
  <c r="L98" i="1"/>
  <c r="M98" i="1"/>
  <c r="T98" i="1"/>
  <c r="V98" i="1"/>
  <c r="W98" i="1"/>
  <c r="X98" i="1"/>
  <c r="Z98" i="1"/>
  <c r="AA98" i="1"/>
  <c r="K99" i="1"/>
  <c r="L99" i="1"/>
  <c r="M99" i="1"/>
  <c r="T99" i="1"/>
  <c r="V99" i="1"/>
  <c r="W99" i="1"/>
  <c r="X99" i="1"/>
  <c r="Z99" i="1"/>
  <c r="AA99" i="1"/>
  <c r="K100" i="1"/>
  <c r="L100" i="1"/>
  <c r="M100" i="1"/>
  <c r="P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P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/>
  <c r="T106" i="1"/>
  <c r="V106" i="1"/>
  <c r="W106" i="1"/>
  <c r="X106" i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P112" i="1" s="1"/>
  <c r="T112" i="1"/>
  <c r="V112" i="1"/>
  <c r="W112" i="1"/>
  <c r="X112" i="1"/>
  <c r="Z112" i="1"/>
  <c r="AA112" i="1"/>
  <c r="K113" i="1"/>
  <c r="L113" i="1"/>
  <c r="M113" i="1"/>
  <c r="P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/>
  <c r="T138" i="1"/>
  <c r="V138" i="1"/>
  <c r="W138" i="1"/>
  <c r="X138" i="1"/>
  <c r="Y138" i="1" s="1"/>
  <c r="U138" i="1" s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143" i="1"/>
  <c r="L143" i="1"/>
  <c r="M143" i="1"/>
  <c r="N143" i="1" s="1"/>
  <c r="T143" i="1"/>
  <c r="V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 s="1"/>
  <c r="T145" i="1"/>
  <c r="V145" i="1"/>
  <c r="W145" i="1"/>
  <c r="X145" i="1"/>
  <c r="Z145" i="1"/>
  <c r="AA145" i="1"/>
  <c r="K146" i="1"/>
  <c r="L146" i="1"/>
  <c r="M146" i="1"/>
  <c r="N146" i="1" s="1"/>
  <c r="T146" i="1"/>
  <c r="V146" i="1"/>
  <c r="W146" i="1"/>
  <c r="X146" i="1"/>
  <c r="Y146" i="1" s="1"/>
  <c r="U146" i="1" s="1"/>
  <c r="Z146" i="1"/>
  <c r="AA146" i="1"/>
  <c r="K147" i="1"/>
  <c r="L147" i="1"/>
  <c r="M147" i="1"/>
  <c r="N147" i="1" s="1"/>
  <c r="T147" i="1"/>
  <c r="V147" i="1"/>
  <c r="W147" i="1"/>
  <c r="X147" i="1"/>
  <c r="Z147" i="1"/>
  <c r="AA147" i="1"/>
  <c r="K148" i="1"/>
  <c r="L148" i="1"/>
  <c r="M148" i="1"/>
  <c r="T148" i="1"/>
  <c r="V148" i="1"/>
  <c r="W148" i="1"/>
  <c r="X148" i="1"/>
  <c r="Z148" i="1"/>
  <c r="AA148" i="1"/>
  <c r="K149" i="1"/>
  <c r="L149" i="1"/>
  <c r="M149" i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I158" i="1"/>
  <c r="J162" i="1"/>
  <c r="Y144" i="1" l="1"/>
  <c r="U144" i="1" s="1"/>
  <c r="Y140" i="1"/>
  <c r="U140" i="1" s="1"/>
  <c r="Y125" i="1"/>
  <c r="U125" i="1" s="1"/>
  <c r="Y83" i="1"/>
  <c r="U83" i="1" s="1"/>
  <c r="Y63" i="1"/>
  <c r="U63" i="1" s="1"/>
  <c r="Y59" i="1"/>
  <c r="U59" i="1" s="1"/>
  <c r="Y52" i="1"/>
  <c r="U52" i="1" s="1"/>
  <c r="Y48" i="1"/>
  <c r="U48" i="1" s="1"/>
  <c r="Y44" i="1"/>
  <c r="U44" i="1" s="1"/>
  <c r="Y40" i="1"/>
  <c r="U40" i="1" s="1"/>
  <c r="Y20" i="1"/>
  <c r="U20" i="1" s="1"/>
  <c r="Y16" i="1"/>
  <c r="U16" i="1" s="1"/>
  <c r="Y23" i="1"/>
  <c r="U23" i="1" s="1"/>
  <c r="Y37" i="1"/>
  <c r="U37" i="1" s="1"/>
  <c r="Y21" i="1"/>
  <c r="U21" i="1" s="1"/>
  <c r="Y13" i="1"/>
  <c r="U13" i="1" s="1"/>
  <c r="Y9" i="1"/>
  <c r="U9" i="1" s="1"/>
  <c r="Y5" i="1"/>
  <c r="U5" i="1" s="1"/>
  <c r="Y122" i="1"/>
  <c r="U122" i="1" s="1"/>
  <c r="Y88" i="1"/>
  <c r="U88" i="1" s="1"/>
  <c r="Y71" i="1"/>
  <c r="U71" i="1" s="1"/>
  <c r="Y61" i="1"/>
  <c r="U61" i="1" s="1"/>
  <c r="Y57" i="1"/>
  <c r="U57" i="1" s="1"/>
  <c r="Y53" i="1"/>
  <c r="U53" i="1" s="1"/>
  <c r="Y34" i="1"/>
  <c r="U34" i="1" s="1"/>
  <c r="Y26" i="1"/>
  <c r="U26" i="1" s="1"/>
  <c r="Y135" i="1"/>
  <c r="U135" i="1" s="1"/>
  <c r="Y29" i="1"/>
  <c r="U29" i="1" s="1"/>
  <c r="Y25" i="1"/>
  <c r="U25" i="1" s="1"/>
  <c r="Y134" i="1"/>
  <c r="U134" i="1" s="1"/>
  <c r="Y130" i="1"/>
  <c r="U130" i="1" s="1"/>
  <c r="Y126" i="1"/>
  <c r="U126" i="1" s="1"/>
  <c r="Y85" i="1"/>
  <c r="U85" i="1" s="1"/>
  <c r="Y155" i="1"/>
  <c r="U155" i="1" s="1"/>
  <c r="Y153" i="1"/>
  <c r="U153" i="1" s="1"/>
  <c r="Y151" i="1"/>
  <c r="U151" i="1" s="1"/>
  <c r="Y149" i="1"/>
  <c r="U149" i="1" s="1"/>
  <c r="Y79" i="1"/>
  <c r="U79" i="1" s="1"/>
  <c r="Y75" i="1"/>
  <c r="U75" i="1" s="1"/>
  <c r="P68" i="1"/>
  <c r="Y47" i="1"/>
  <c r="U47" i="1" s="1"/>
  <c r="Y43" i="1"/>
  <c r="U43" i="1" s="1"/>
  <c r="Y147" i="1"/>
  <c r="U147" i="1" s="1"/>
  <c r="Y137" i="1"/>
  <c r="U137" i="1" s="1"/>
  <c r="Y136" i="1"/>
  <c r="U136" i="1" s="1"/>
  <c r="Y132" i="1"/>
  <c r="U132" i="1" s="1"/>
  <c r="Y128" i="1"/>
  <c r="U128" i="1" s="1"/>
  <c r="Y84" i="1"/>
  <c r="U84" i="1" s="1"/>
  <c r="Y78" i="1"/>
  <c r="U78" i="1" s="1"/>
  <c r="Y74" i="1"/>
  <c r="U74" i="1" s="1"/>
  <c r="P73" i="1"/>
  <c r="P70" i="1"/>
  <c r="Y68" i="1"/>
  <c r="U68" i="1" s="1"/>
  <c r="Y64" i="1"/>
  <c r="U64" i="1" s="1"/>
  <c r="Y60" i="1"/>
  <c r="U60" i="1" s="1"/>
  <c r="Y56" i="1"/>
  <c r="U56" i="1" s="1"/>
  <c r="Y50" i="1"/>
  <c r="U50" i="1" s="1"/>
  <c r="Y42" i="1"/>
  <c r="U42" i="1" s="1"/>
  <c r="Y36" i="1"/>
  <c r="U36" i="1" s="1"/>
  <c r="Y32" i="1"/>
  <c r="U32" i="1" s="1"/>
  <c r="Y28" i="1"/>
  <c r="U28" i="1" s="1"/>
  <c r="Y24" i="1"/>
  <c r="U24" i="1" s="1"/>
  <c r="Y148" i="1"/>
  <c r="U148" i="1" s="1"/>
  <c r="Y142" i="1"/>
  <c r="U142" i="1" s="1"/>
  <c r="Y133" i="1"/>
  <c r="U133" i="1" s="1"/>
  <c r="Y129" i="1"/>
  <c r="U129" i="1" s="1"/>
  <c r="Y100" i="1"/>
  <c r="U100" i="1" s="1"/>
  <c r="Y96" i="1"/>
  <c r="U96" i="1" s="1"/>
  <c r="Y73" i="1"/>
  <c r="U73" i="1" s="1"/>
  <c r="Y45" i="1"/>
  <c r="U45" i="1" s="1"/>
  <c r="Y41" i="1"/>
  <c r="U41" i="1" s="1"/>
  <c r="Y141" i="1"/>
  <c r="U141" i="1" s="1"/>
  <c r="Y131" i="1"/>
  <c r="U131" i="1" s="1"/>
  <c r="Y127" i="1"/>
  <c r="U127" i="1" s="1"/>
  <c r="Y123" i="1"/>
  <c r="U123" i="1" s="1"/>
  <c r="Y87" i="1"/>
  <c r="U87" i="1" s="1"/>
  <c r="Y145" i="1"/>
  <c r="U145" i="1" s="1"/>
  <c r="Y139" i="1"/>
  <c r="U139" i="1" s="1"/>
  <c r="Y94" i="1"/>
  <c r="U94" i="1" s="1"/>
  <c r="Y80" i="1"/>
  <c r="U80" i="1" s="1"/>
  <c r="Y67" i="1"/>
  <c r="U67" i="1" s="1"/>
  <c r="Y51" i="1"/>
  <c r="U51" i="1" s="1"/>
  <c r="Y35" i="1"/>
  <c r="U35" i="1" s="1"/>
  <c r="Y19" i="1"/>
  <c r="U19" i="1" s="1"/>
  <c r="Y15" i="1"/>
  <c r="U15" i="1" s="1"/>
  <c r="Y11" i="1"/>
  <c r="U11" i="1" s="1"/>
  <c r="Y7" i="1"/>
  <c r="U7" i="1" s="1"/>
  <c r="P78" i="1"/>
  <c r="P43" i="1"/>
  <c r="P148" i="1"/>
  <c r="Y143" i="1"/>
  <c r="U143" i="1" s="1"/>
  <c r="Y89" i="1"/>
  <c r="U89" i="1" s="1"/>
  <c r="Y65" i="1"/>
  <c r="U65" i="1" s="1"/>
  <c r="Y49" i="1"/>
  <c r="U49" i="1" s="1"/>
  <c r="Y33" i="1"/>
  <c r="U33" i="1" s="1"/>
  <c r="P32" i="1"/>
  <c r="Y17" i="1"/>
  <c r="U17" i="1" s="1"/>
  <c r="Y156" i="1"/>
  <c r="U156" i="1" s="1"/>
  <c r="Y154" i="1"/>
  <c r="U154" i="1" s="1"/>
  <c r="Y152" i="1"/>
  <c r="U152" i="1" s="1"/>
  <c r="Y150" i="1"/>
  <c r="U150" i="1" s="1"/>
  <c r="P66" i="1"/>
  <c r="Y119" i="1"/>
  <c r="U119" i="1" s="1"/>
  <c r="Y117" i="1"/>
  <c r="U117" i="1" s="1"/>
  <c r="Y113" i="1"/>
  <c r="U113" i="1" s="1"/>
  <c r="Y124" i="1"/>
  <c r="U124" i="1" s="1"/>
  <c r="Y121" i="1"/>
  <c r="U121" i="1" s="1"/>
  <c r="Y115" i="1"/>
  <c r="U115" i="1" s="1"/>
  <c r="Y110" i="1"/>
  <c r="U110" i="1" s="1"/>
  <c r="Y108" i="1"/>
  <c r="U108" i="1" s="1"/>
  <c r="P98" i="1"/>
  <c r="Y106" i="1"/>
  <c r="U106" i="1" s="1"/>
  <c r="Y112" i="1"/>
  <c r="U112" i="1" s="1"/>
  <c r="Y101" i="1"/>
  <c r="U101" i="1" s="1"/>
  <c r="Y98" i="1"/>
  <c r="U98" i="1" s="1"/>
  <c r="Y95" i="1"/>
  <c r="U95" i="1" s="1"/>
  <c r="Y93" i="1"/>
  <c r="U93" i="1" s="1"/>
  <c r="Y120" i="1"/>
  <c r="U120" i="1" s="1"/>
  <c r="Y118" i="1"/>
  <c r="U118" i="1" s="1"/>
  <c r="Y116" i="1"/>
  <c r="U116" i="1" s="1"/>
  <c r="Y114" i="1"/>
  <c r="U114" i="1" s="1"/>
  <c r="Y111" i="1"/>
  <c r="U111" i="1" s="1"/>
  <c r="Y109" i="1"/>
  <c r="U109" i="1" s="1"/>
  <c r="Y107" i="1"/>
  <c r="U107" i="1" s="1"/>
  <c r="Y105" i="1"/>
  <c r="U105" i="1" s="1"/>
  <c r="Y103" i="1"/>
  <c r="U103" i="1" s="1"/>
  <c r="Y97" i="1"/>
  <c r="U97" i="1" s="1"/>
  <c r="Y92" i="1"/>
  <c r="U92" i="1" s="1"/>
  <c r="Y90" i="1"/>
  <c r="U90" i="1" s="1"/>
  <c r="Y82" i="1"/>
  <c r="U82" i="1" s="1"/>
  <c r="Y70" i="1"/>
  <c r="U70" i="1" s="1"/>
  <c r="Y62" i="1"/>
  <c r="U62" i="1" s="1"/>
  <c r="Y54" i="1"/>
  <c r="U54" i="1" s="1"/>
  <c r="Y46" i="1"/>
  <c r="U46" i="1" s="1"/>
  <c r="Y38" i="1"/>
  <c r="U38" i="1" s="1"/>
  <c r="Y30" i="1"/>
  <c r="U30" i="1" s="1"/>
  <c r="Y22" i="1"/>
  <c r="U22" i="1" s="1"/>
  <c r="Y14" i="1"/>
  <c r="U14" i="1" s="1"/>
  <c r="Y10" i="1"/>
  <c r="U10" i="1" s="1"/>
  <c r="Y6" i="1"/>
  <c r="U6" i="1" s="1"/>
  <c r="Y104" i="1"/>
  <c r="U104" i="1" s="1"/>
  <c r="Y102" i="1"/>
  <c r="U102" i="1" s="1"/>
  <c r="Y99" i="1"/>
  <c r="U99" i="1" s="1"/>
  <c r="Y91" i="1"/>
  <c r="U91" i="1" s="1"/>
  <c r="Y18" i="1"/>
  <c r="U18" i="1" s="1"/>
  <c r="Y12" i="1"/>
  <c r="U12" i="1" s="1"/>
  <c r="Y8" i="1"/>
  <c r="U8" i="1" s="1"/>
  <c r="L3" i="1" l="1"/>
  <c r="K4" i="1"/>
  <c r="L4" i="1"/>
  <c r="M4" i="1"/>
  <c r="N4" i="1" s="1"/>
  <c r="M3" i="1"/>
  <c r="N3" i="1" s="1"/>
  <c r="K3" i="1"/>
  <c r="J164" i="1" l="1"/>
  <c r="J161" i="1"/>
  <c r="J163" i="1"/>
  <c r="P10" i="3"/>
  <c r="P11" i="3"/>
  <c r="P8" i="3"/>
  <c r="Q6" i="3"/>
  <c r="Q7" i="3"/>
  <c r="Q8" i="3"/>
  <c r="Q9" i="3"/>
  <c r="Q10" i="3"/>
  <c r="Q11" i="3"/>
  <c r="L7" i="3"/>
  <c r="L8" i="3"/>
  <c r="L23" i="3"/>
  <c r="L24" i="3"/>
  <c r="L14" i="3"/>
  <c r="L22" i="3"/>
  <c r="L36" i="3"/>
  <c r="L17" i="3"/>
  <c r="L15" i="3"/>
  <c r="L37" i="3"/>
  <c r="L6" i="3"/>
  <c r="L25" i="3"/>
  <c r="L9" i="3"/>
  <c r="L38" i="3"/>
  <c r="L30" i="3"/>
  <c r="L10" i="3"/>
  <c r="L26" i="3"/>
  <c r="L11" i="3"/>
  <c r="L39" i="3"/>
  <c r="L40" i="3"/>
  <c r="L3" i="3"/>
  <c r="L27" i="3"/>
  <c r="L12" i="3"/>
  <c r="L18" i="3"/>
  <c r="L19" i="3"/>
  <c r="L20" i="3"/>
  <c r="L28" i="3"/>
  <c r="L31" i="3"/>
  <c r="L35" i="3"/>
  <c r="L16" i="3"/>
  <c r="L32" i="3"/>
  <c r="L33" i="3"/>
  <c r="L13" i="3"/>
  <c r="L21" i="3"/>
  <c r="L4" i="3"/>
  <c r="L5" i="3"/>
  <c r="L34" i="3"/>
  <c r="L29" i="3"/>
  <c r="Q12" i="3"/>
  <c r="Q13" i="3"/>
  <c r="Q14" i="3"/>
  <c r="J160" i="1" l="1"/>
  <c r="J165" i="1" s="1"/>
  <c r="P7" i="3"/>
  <c r="P6" i="3"/>
  <c r="P13" i="3"/>
  <c r="P9" i="3"/>
  <c r="P12" i="3"/>
  <c r="P14" i="3"/>
  <c r="A1" i="6"/>
  <c r="M42" i="3"/>
  <c r="M43" i="3" s="1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O162" i="1"/>
  <c r="N162" i="1"/>
  <c r="M162" i="1"/>
  <c r="AA4" i="1"/>
  <c r="Z4" i="1"/>
  <c r="X4" i="1"/>
  <c r="W4" i="1"/>
  <c r="V4" i="1"/>
  <c r="T4" i="1"/>
  <c r="AA3" i="1"/>
  <c r="Z3" i="1"/>
  <c r="X3" i="1"/>
  <c r="W3" i="1"/>
  <c r="V3" i="1"/>
  <c r="T3" i="1"/>
  <c r="A1" i="1"/>
  <c r="Y4" i="1" l="1"/>
  <c r="U4" i="1" s="1"/>
  <c r="Y3" i="1"/>
  <c r="U3" i="1" s="1"/>
  <c r="O164" i="1"/>
  <c r="O161" i="1"/>
  <c r="M164" i="1"/>
  <c r="N161" i="1"/>
  <c r="M161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<sst xmlns="http://schemas.openxmlformats.org/spreadsheetml/2006/main" count="2030" uniqueCount="609">
  <si>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</si>
  <si>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</si>
  <si>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</si>
  <si>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</si>
  <si>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</si>
  <si>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</si>
  <si>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</si>
  <si>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</si>
  <si>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</si>
  <si>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</si>
  <si>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</si>
  <si>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</si>
  <si>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</si>
  <si>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</si>
  <si>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</si>
  <si>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</si>
  <si>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</si>
  <si>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</si>
  <si>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</si>
  <si>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</si>
  <si>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</si>
  <si>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</si>
  <si>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</si>
  <si>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</si>
  <si>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</si>
  <si>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</si>
  <si>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</si>
  <si>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</si>
  <si>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</si>
  <si>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</si>
  <si>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</si>
  <si>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</si>
  <si>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</si>
  <si>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</si>
  <si>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</si>
  <si>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</si>
  <si>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</si>
  <si>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</si>
  <si>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</si>
  <si>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</si>
  <si>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</si>
  <si>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</si>
  <si>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</si>
  <si>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</si>
  <si>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</si>
  <si>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</si>
  <si>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</si>
  <si>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</si>
  <si>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</si>
  <si>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</si>
  <si>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</si>
  <si>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</si>
  <si>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</si>
  <si>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</si>
  <si>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</si>
  <si>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</si>
  <si>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</si>
  <si>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</si>
  <si>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</si>
  <si>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</si>
  <si>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</si>
  <si>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</si>
  <si>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</si>
  <si>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</si>
  <si>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</si>
  <si>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</si>
  <si>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</si>
  <si>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</si>
  <si>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</si>
  <si>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</si>
  <si>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</si>
  <si>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</si>
  <si>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</si>
  <si>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</si>
  <si>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</si>
  <si>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</si>
  <si>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</si>
  <si>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</si>
  <si>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</si>
  <si>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</si>
  <si>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</si>
  <si>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</si>
  <si>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</si>
  <si>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</si>
  <si>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</si>
  <si>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</si>
  <si>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</si>
  <si>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</si>
  <si>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</si>
  <si>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</si>
  <si>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</si>
  <si>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</si>
  <si>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</si>
  <si>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</si>
  <si>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</si>
  <si>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</si>
  <si>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</si>
  <si>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</si>
  <si>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</si>
  <si>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</si>
  <si>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</si>
  <si>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</si>
  <si>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</si>
  <si>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</si>
  <si>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</si>
  <si>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</si>
  <si>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</si>
  <si>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</si>
  <si>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</si>
  <si>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</si>
  <si>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</si>
  <si>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</si>
  <si>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</si>
  <si>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</si>
  <si>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</si>
  <si>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</si>
  <si>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</si>
  <si>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</si>
  <si>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</si>
  <si>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</si>
  <si>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</si>
  <si>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</si>
  <si>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</si>
  <si>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</si>
  <si>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</si>
  <si>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</si>
  <si>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</si>
  <si>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</si>
  <si>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</si>
  <si>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</si>
  <si>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</si>
  <si>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</si>
  <si>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</si>
  <si>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</si>
  <si>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</si>
  <si>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</si>
  <si>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</si>
  <si>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</si>
  <si>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</si>
  <si>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204:232993</t>
  </si>
  <si>
    <t>204:233278</t>
  </si>
  <si>
    <t>204:232963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</si>
  <si>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</si>
  <si>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</si>
  <si>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</si>
  <si>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</si>
  <si>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</si>
  <si>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</si>
  <si>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</si>
  <si>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</si>
  <si>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</si>
  <si>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204:232969</t>
  </si>
  <si>
    <t>204:440</t>
  </si>
  <si>
    <t>204:462</t>
  </si>
  <si>
    <t>204:233317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</si>
  <si>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</si>
  <si>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</si>
  <si>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</si>
  <si>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</si>
  <si>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</si>
  <si>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</si>
  <si>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</si>
  <si>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</si>
  <si>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</si>
  <si>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</si>
  <si>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</si>
  <si>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</si>
  <si>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</si>
  <si>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</si>
  <si>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</si>
  <si>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</si>
  <si>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</si>
  <si>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</si>
  <si>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</si>
  <si>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</si>
  <si>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</si>
  <si>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</si>
  <si>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</si>
  <si>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</si>
  <si>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</si>
  <si>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</si>
  <si>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</si>
  <si>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</si>
  <si>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</si>
  <si>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</si>
  <si>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</si>
  <si>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</si>
  <si>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</si>
  <si>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177-19</t>
  </si>
  <si>
    <t>186-19</t>
  </si>
  <si>
    <t>CANFIELD</t>
  </si>
  <si>
    <t>212-19</t>
  </si>
  <si>
    <t>204-19</t>
  </si>
  <si>
    <t>115-20</t>
  </si>
  <si>
    <t>SANTIZO</t>
  </si>
  <si>
    <t>103-20</t>
  </si>
  <si>
    <t>178-19</t>
  </si>
  <si>
    <t>170-19</t>
  </si>
  <si>
    <t>REBOLETTI-19</t>
  </si>
  <si>
    <t>173-19</t>
  </si>
  <si>
    <t>216-19</t>
  </si>
  <si>
    <t>203-19</t>
  </si>
  <si>
    <t>146-19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</si>
  <si>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</si>
  <si>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</si>
  <si>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</si>
  <si>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</si>
  <si>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</si>
  <si>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</si>
  <si>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</si>
  <si>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</si>
  <si>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</si>
  <si>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</si>
  <si>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</si>
  <si>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</si>
  <si>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</si>
  <si>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</si>
  <si>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</si>
  <si>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</si>
  <si>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</si>
  <si>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</si>
  <si>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</si>
  <si>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</si>
  <si>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</si>
  <si>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</si>
  <si>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</si>
  <si>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</si>
  <si>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</si>
  <si>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</si>
  <si>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</si>
  <si>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</si>
  <si>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</si>
  <si>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</si>
  <si>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</si>
  <si>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</si>
  <si>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</si>
  <si>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</si>
  <si>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</si>
  <si>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</si>
  <si>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</si>
  <si>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</si>
  <si>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</si>
  <si>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</si>
  <si>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</si>
  <si>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</si>
  <si>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</si>
  <si>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</si>
  <si>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</si>
  <si>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</si>
  <si>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</si>
  <si>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</si>
  <si>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</si>
  <si>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</si>
  <si>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</si>
  <si>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</si>
  <si>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</si>
  <si>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204:233289</t>
  </si>
  <si>
    <t>204:471</t>
  </si>
  <si>
    <t>204:165</t>
  </si>
  <si>
    <t>204:442</t>
  </si>
  <si>
    <t>204:233301</t>
  </si>
  <si>
    <t>204:457</t>
  </si>
  <si>
    <t>204:232965</t>
  </si>
  <si>
    <t>rtdc.l.rtdc.4028:itc</t>
  </si>
  <si>
    <t>rtdc.l.rtdc.4027:itc</t>
  </si>
  <si>
    <t>SWITCH UNKNOWN</t>
  </si>
  <si>
    <t>Track device (7)</t>
  </si>
  <si>
    <t>204:232991</t>
  </si>
  <si>
    <t>204:475</t>
  </si>
  <si>
    <t>204:480</t>
  </si>
  <si>
    <t>204:233000</t>
  </si>
  <si>
    <t>204:438</t>
  </si>
  <si>
    <t>204:233319</t>
  </si>
  <si>
    <t>ACKERMAN</t>
  </si>
  <si>
    <t>Closed</t>
  </si>
  <si>
    <t>Wi-MAX outage</t>
  </si>
  <si>
    <t>rtdc.l.rtdc.4016:itc</t>
  </si>
  <si>
    <t>NELSON</t>
  </si>
  <si>
    <t>rtdc.l.rtdc.4015:itc</t>
  </si>
  <si>
    <t>BRANNON</t>
  </si>
  <si>
    <t>rtdc.l.rtdc.4013:itc</t>
  </si>
  <si>
    <t>LOZA</t>
  </si>
  <si>
    <t>rtdc.l.rtdc.4014:itc</t>
  </si>
  <si>
    <t>RIVERA</t>
  </si>
  <si>
    <t>rtdc.l.rtdc.4009:itc</t>
  </si>
  <si>
    <t>ROCHA</t>
  </si>
  <si>
    <t>rtdc.l.rtdc.4010:itc</t>
  </si>
  <si>
    <t>204:752</t>
  </si>
  <si>
    <t>204:121</t>
  </si>
  <si>
    <t>204:233305</t>
  </si>
  <si>
    <t>204:232990</t>
  </si>
  <si>
    <t>204:174</t>
  </si>
  <si>
    <t>204:233288</t>
  </si>
  <si>
    <t>204:233311</t>
  </si>
  <si>
    <t>204:233331</t>
  </si>
  <si>
    <t>204:233019</t>
  </si>
  <si>
    <t>204:232986</t>
  </si>
  <si>
    <t>204:232992</t>
  </si>
  <si>
    <t>204:233338</t>
  </si>
  <si>
    <t>204:232967</t>
  </si>
  <si>
    <t>204:232971</t>
  </si>
  <si>
    <t>204:232972</t>
  </si>
  <si>
    <t>204:233282</t>
  </si>
  <si>
    <t>204:139</t>
  </si>
  <si>
    <t>204:488</t>
  </si>
  <si>
    <t>204:446</t>
  </si>
  <si>
    <t>204:233280</t>
  </si>
  <si>
    <t>204:233312</t>
  </si>
  <si>
    <t>Discuss</t>
  </si>
  <si>
    <t>111-25</t>
  </si>
  <si>
    <t>106-25</t>
  </si>
  <si>
    <t>119-25</t>
  </si>
  <si>
    <t>114-25</t>
  </si>
  <si>
    <t>125-25</t>
  </si>
  <si>
    <t>127-25</t>
  </si>
  <si>
    <t>138-25</t>
  </si>
  <si>
    <t>144-25</t>
  </si>
  <si>
    <t>154-25</t>
  </si>
  <si>
    <t>156-25</t>
  </si>
  <si>
    <t>168-25</t>
  </si>
  <si>
    <t>181-25</t>
  </si>
  <si>
    <t>184-25</t>
  </si>
  <si>
    <t>186-25</t>
  </si>
  <si>
    <t>193-25</t>
  </si>
  <si>
    <t>197-25</t>
  </si>
  <si>
    <t>190-25</t>
  </si>
  <si>
    <t>196-25</t>
  </si>
  <si>
    <t>200-25</t>
  </si>
  <si>
    <t>211-25</t>
  </si>
  <si>
    <t>213-25</t>
  </si>
  <si>
    <t>206-25</t>
  </si>
  <si>
    <t>221-25</t>
  </si>
  <si>
    <t>216-25</t>
  </si>
  <si>
    <t>223-25</t>
  </si>
  <si>
    <t>224-25</t>
  </si>
  <si>
    <t>230-25</t>
  </si>
  <si>
    <t>238-25</t>
  </si>
  <si>
    <t>240-25</t>
  </si>
  <si>
    <t>101-25</t>
  </si>
  <si>
    <t>204:755</t>
  </si>
  <si>
    <t>204:748</t>
  </si>
  <si>
    <t>102-25</t>
  </si>
  <si>
    <t>204:232666</t>
  </si>
  <si>
    <t>204:180</t>
  </si>
  <si>
    <t>103-25</t>
  </si>
  <si>
    <t>204:655</t>
  </si>
  <si>
    <t>104-25</t>
  </si>
  <si>
    <t>204:232677</t>
  </si>
  <si>
    <t>105-25</t>
  </si>
  <si>
    <t>204:661</t>
  </si>
  <si>
    <t>204:233283</t>
  </si>
  <si>
    <t>204:232647</t>
  </si>
  <si>
    <t>204:109</t>
  </si>
  <si>
    <t>107-25</t>
  </si>
  <si>
    <t>204:427</t>
  </si>
  <si>
    <t>108-25</t>
  </si>
  <si>
    <t>109-25</t>
  </si>
  <si>
    <t>110-25</t>
  </si>
  <si>
    <t>204:19141</t>
  </si>
  <si>
    <t>204:233309</t>
  </si>
  <si>
    <t>112-25</t>
  </si>
  <si>
    <t>204:138</t>
  </si>
  <si>
    <t>113-25</t>
  </si>
  <si>
    <t>115-25</t>
  </si>
  <si>
    <t>204:775</t>
  </si>
  <si>
    <t>116-25</t>
  </si>
  <si>
    <t>117-25</t>
  </si>
  <si>
    <t>204:233325</t>
  </si>
  <si>
    <t>118-25</t>
  </si>
  <si>
    <t>120-25</t>
  </si>
  <si>
    <t>121-25</t>
  </si>
  <si>
    <t>122-25</t>
  </si>
  <si>
    <t>123-25</t>
  </si>
  <si>
    <t>124-25</t>
  </si>
  <si>
    <t>126-25</t>
  </si>
  <si>
    <t>204:453</t>
  </si>
  <si>
    <t>128-25</t>
  </si>
  <si>
    <t>129-25</t>
  </si>
  <si>
    <t>204:19130</t>
  </si>
  <si>
    <t>204:486</t>
  </si>
  <si>
    <t>204:1111</t>
  </si>
  <si>
    <t>130-25</t>
  </si>
  <si>
    <t>204:232998</t>
  </si>
  <si>
    <t>131-25</t>
  </si>
  <si>
    <t>132-25</t>
  </si>
  <si>
    <t>133-25</t>
  </si>
  <si>
    <t>204:429</t>
  </si>
  <si>
    <t>204:233327</t>
  </si>
  <si>
    <t>134-25</t>
  </si>
  <si>
    <t>204:233011</t>
  </si>
  <si>
    <t>135-25</t>
  </si>
  <si>
    <t>136-25</t>
  </si>
  <si>
    <t>204:209</t>
  </si>
  <si>
    <t>137-25</t>
  </si>
  <si>
    <t>139-25</t>
  </si>
  <si>
    <t>204:19126</t>
  </si>
  <si>
    <t>204:989</t>
  </si>
  <si>
    <t>140-25</t>
  </si>
  <si>
    <t>141-25</t>
  </si>
  <si>
    <t>142-25</t>
  </si>
  <si>
    <t>204:232968</t>
  </si>
  <si>
    <t>143-25</t>
  </si>
  <si>
    <t>145-25</t>
  </si>
  <si>
    <t>146-25</t>
  </si>
  <si>
    <t>204:141</t>
  </si>
  <si>
    <t>147-25</t>
  </si>
  <si>
    <t>148-25</t>
  </si>
  <si>
    <t>204:232984</t>
  </si>
  <si>
    <t>149-25</t>
  </si>
  <si>
    <t>204:522</t>
  </si>
  <si>
    <t>150-25</t>
  </si>
  <si>
    <t>151-25</t>
  </si>
  <si>
    <t>204:233284</t>
  </si>
  <si>
    <t>152-25</t>
  </si>
  <si>
    <t>153-25</t>
  </si>
  <si>
    <t>204:497</t>
  </si>
  <si>
    <t>155-25</t>
  </si>
  <si>
    <t>157-25</t>
  </si>
  <si>
    <t>158-25</t>
  </si>
  <si>
    <t>159-25</t>
  </si>
  <si>
    <t>160-25</t>
  </si>
  <si>
    <t>204:232982</t>
  </si>
  <si>
    <t>161-25</t>
  </si>
  <si>
    <t>204:19121</t>
  </si>
  <si>
    <t>204:20731</t>
  </si>
  <si>
    <t>204:19117</t>
  </si>
  <si>
    <t>162-25</t>
  </si>
  <si>
    <t>204:127874</t>
  </si>
  <si>
    <t>204:233027</t>
  </si>
  <si>
    <t>204:127872</t>
  </si>
  <si>
    <t>163-25</t>
  </si>
  <si>
    <t>204:19136</t>
  </si>
  <si>
    <t>204:64690</t>
  </si>
  <si>
    <t>204:86375</t>
  </si>
  <si>
    <t>164-25</t>
  </si>
  <si>
    <t>165-25</t>
  </si>
  <si>
    <t>204:19137</t>
  </si>
  <si>
    <t>204:19422</t>
  </si>
  <si>
    <t>204:1224</t>
  </si>
  <si>
    <t>166-25</t>
  </si>
  <si>
    <t>204:232396</t>
  </si>
  <si>
    <t>167-25</t>
  </si>
  <si>
    <t>204:1494</t>
  </si>
  <si>
    <t>204:233328</t>
  </si>
  <si>
    <t>169-25</t>
  </si>
  <si>
    <t>204:19597</t>
  </si>
  <si>
    <t>204:1253</t>
  </si>
  <si>
    <t>170-25</t>
  </si>
  <si>
    <t>204:232428</t>
  </si>
  <si>
    <t>171-25</t>
  </si>
  <si>
    <t>172-25</t>
  </si>
  <si>
    <t>173-25</t>
  </si>
  <si>
    <t>174-25</t>
  </si>
  <si>
    <t>175-25</t>
  </si>
  <si>
    <t>204:1506</t>
  </si>
  <si>
    <t>176-25</t>
  </si>
  <si>
    <t>204:127877</t>
  </si>
  <si>
    <t>177-25</t>
  </si>
  <si>
    <t>178-25</t>
  </si>
  <si>
    <t>179-25</t>
  </si>
  <si>
    <t>204:449</t>
  </si>
  <si>
    <t>180-25</t>
  </si>
  <si>
    <t>204:495</t>
  </si>
  <si>
    <t>182-25</t>
  </si>
  <si>
    <t>204:233008</t>
  </si>
  <si>
    <t>183-25</t>
  </si>
  <si>
    <t>204:1020</t>
  </si>
  <si>
    <t>185-25</t>
  </si>
  <si>
    <t>204:200</t>
  </si>
  <si>
    <t>187-25</t>
  </si>
  <si>
    <t>204:1422</t>
  </si>
  <si>
    <t>188-25</t>
  </si>
  <si>
    <t>189-25</t>
  </si>
  <si>
    <t>204:19115</t>
  </si>
  <si>
    <t>191-25</t>
  </si>
  <si>
    <t>204:437</t>
  </si>
  <si>
    <t>192-25</t>
  </si>
  <si>
    <t>204:232988</t>
  </si>
  <si>
    <t>194-25</t>
  </si>
  <si>
    <t>195-25</t>
  </si>
  <si>
    <t>204:233316</t>
  </si>
  <si>
    <t>204:233204</t>
  </si>
  <si>
    <t>198-25</t>
  </si>
  <si>
    <t>204:232889</t>
  </si>
  <si>
    <t>204:130</t>
  </si>
  <si>
    <t>199-25</t>
  </si>
  <si>
    <t>204:509</t>
  </si>
  <si>
    <t>204:233291</t>
  </si>
  <si>
    <t>201-25</t>
  </si>
  <si>
    <t>202-25</t>
  </si>
  <si>
    <t>204:232985</t>
  </si>
  <si>
    <t>203-25</t>
  </si>
  <si>
    <t>204:233322</t>
  </si>
  <si>
    <t>204-25</t>
  </si>
  <si>
    <t>204:233007</t>
  </si>
  <si>
    <t>205-25</t>
  </si>
  <si>
    <t>204:233015</t>
  </si>
  <si>
    <t>204:134</t>
  </si>
  <si>
    <t>207-25</t>
  </si>
  <si>
    <t>208-25</t>
  </si>
  <si>
    <t>209-25</t>
  </si>
  <si>
    <t>210-25</t>
  </si>
  <si>
    <t>204:233345</t>
  </si>
  <si>
    <t>212-25</t>
  </si>
  <si>
    <t>214-25</t>
  </si>
  <si>
    <t>204:378</t>
  </si>
  <si>
    <t>215-25</t>
  </si>
  <si>
    <t>217-25</t>
  </si>
  <si>
    <t>218-25</t>
  </si>
  <si>
    <t>204:232981</t>
  </si>
  <si>
    <t>219-25</t>
  </si>
  <si>
    <t>220-25</t>
  </si>
  <si>
    <t>204:233286</t>
  </si>
  <si>
    <t>222-25</t>
  </si>
  <si>
    <t>204:712</t>
  </si>
  <si>
    <t>204:232959</t>
  </si>
  <si>
    <t>225-25</t>
  </si>
  <si>
    <t>226-25</t>
  </si>
  <si>
    <t>227-25</t>
  </si>
  <si>
    <t>204:478</t>
  </si>
  <si>
    <t>228-25</t>
  </si>
  <si>
    <t>229-25</t>
  </si>
  <si>
    <t>204:283</t>
  </si>
  <si>
    <t>231-25</t>
  </si>
  <si>
    <t>232-25</t>
  </si>
  <si>
    <t>204:232953</t>
  </si>
  <si>
    <t>233-25</t>
  </si>
  <si>
    <t>234-25</t>
  </si>
  <si>
    <t>235-25</t>
  </si>
  <si>
    <t>204:233263</t>
  </si>
  <si>
    <t>236-25</t>
  </si>
  <si>
    <t>237-25</t>
  </si>
  <si>
    <t>204:19119</t>
  </si>
  <si>
    <t>204:37191</t>
  </si>
  <si>
    <t>204:590</t>
  </si>
  <si>
    <t>239-25</t>
  </si>
  <si>
    <t>241-25</t>
  </si>
  <si>
    <t>242-24</t>
  </si>
  <si>
    <t>242-25</t>
  </si>
  <si>
    <t>204:187</t>
  </si>
  <si>
    <t>243-25</t>
  </si>
  <si>
    <t>204:482</t>
  </si>
  <si>
    <t>244-24</t>
  </si>
  <si>
    <t>244-25</t>
  </si>
  <si>
    <t>204:167</t>
  </si>
  <si>
    <t>GRASTON</t>
  </si>
  <si>
    <t>235-24</t>
  </si>
  <si>
    <t>YANAI</t>
  </si>
  <si>
    <t>231-24</t>
  </si>
  <si>
    <t>BUTLER</t>
  </si>
  <si>
    <t>LEVERE</t>
  </si>
  <si>
    <t>240-24</t>
  </si>
  <si>
    <t>101-26</t>
  </si>
  <si>
    <t>238-24</t>
  </si>
  <si>
    <t>123-26</t>
  </si>
  <si>
    <t>237-24</t>
  </si>
  <si>
    <t>118-26</t>
  </si>
  <si>
    <t>114-26</t>
  </si>
  <si>
    <t>112-26</t>
  </si>
  <si>
    <t>116-26</t>
  </si>
  <si>
    <t>MALAVE</t>
  </si>
  <si>
    <t>117-26</t>
  </si>
  <si>
    <t>107-26</t>
  </si>
  <si>
    <t>110-26</t>
  </si>
  <si>
    <t>222-24</t>
  </si>
  <si>
    <t>234-24</t>
  </si>
  <si>
    <t>233-24</t>
  </si>
  <si>
    <t>239-24</t>
  </si>
  <si>
    <t>224-24</t>
  </si>
  <si>
    <t>230-24</t>
  </si>
  <si>
    <t>243-24</t>
  </si>
  <si>
    <t>111-26</t>
  </si>
  <si>
    <t>121-26</t>
  </si>
  <si>
    <t>102-26</t>
  </si>
  <si>
    <t>225-24</t>
  </si>
  <si>
    <t>BONDS</t>
  </si>
  <si>
    <t>109-26</t>
  </si>
  <si>
    <t>125-26</t>
  </si>
  <si>
    <t>122-26</t>
  </si>
  <si>
    <t>105-26</t>
  </si>
  <si>
    <t>108-26</t>
  </si>
  <si>
    <t>229-24</t>
  </si>
  <si>
    <t>228-24</t>
  </si>
  <si>
    <t>226-24</t>
  </si>
  <si>
    <t>124-26</t>
  </si>
  <si>
    <t>227-24</t>
  </si>
  <si>
    <t>241-24</t>
  </si>
  <si>
    <t>236-24</t>
  </si>
  <si>
    <t>206-24</t>
  </si>
  <si>
    <t>113-26</t>
  </si>
  <si>
    <t>119-26</t>
  </si>
  <si>
    <t>120-26</t>
  </si>
  <si>
    <t>127-26</t>
  </si>
  <si>
    <t>106-26</t>
  </si>
  <si>
    <t>223-24</t>
  </si>
  <si>
    <t>129-26</t>
  </si>
  <si>
    <t>232-24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</si>
  <si>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</si>
  <si>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</si>
  <si>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</si>
  <si>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</si>
  <si>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</si>
  <si>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</si>
  <si>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TOOS for DUS TRACK 4/5 from TMDS</t>
  </si>
  <si>
    <t>Invalid PSS for DUS 4N from TMDS</t>
  </si>
  <si>
    <t xml:space="preserve">4007 inf   00:58.3 2016-05-25 05:34:42.611844-06:00 </t>
  </si>
  <si>
    <t>Premature downgrade at EC1443RH 139-1T 1N</t>
  </si>
  <si>
    <t>EC2241RH WIU was intermittent</t>
  </si>
  <si>
    <t>http://stevetu21.github.io/eaglep3/load_kml.html?kml=http://rtdc.gmaps-snips.s3.amazonaws.com/3c27a011-5270-4670-b7cb-8db688dedd4e.kml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</si>
</sst>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evetu21.github.io/eaglep3/load_kml.html?kml=http://rtdc.gmaps-snips.s3.amazonaws.com/3c27a011-5270-4670-b7cb-8db688dedd4e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3"/>
  <sheetViews>
    <sheetView showGridLines="0" tabSelected="1" topLeftCell="A142" zoomScaleNormal="100" workbookViewId="0">
      <selection activeCell="J165" sqref="J16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338</v>
      </c>
      <c r="B3" s="60">
        <v>4007</v>
      </c>
      <c r="C3" s="60" t="s">
        <v>66</v>
      </c>
      <c r="D3" s="60" t="s">
        <v>339</v>
      </c>
      <c r="E3" s="30">
        <v>42515.131898148145</v>
      </c>
      <c r="F3" s="30">
        <v>42515.133067129631</v>
      </c>
      <c r="G3" s="38">
        <v>1</v>
      </c>
      <c r="H3" s="30" t="s">
        <v>340</v>
      </c>
      <c r="I3" s="30">
        <v>42515.160798611112</v>
      </c>
      <c r="J3" s="60">
        <v>0</v>
      </c>
      <c r="K3" s="60" t="str">
        <f t="shared" ref="K3" si="0">IF(ISEVEN(B3),(B3-1)&amp;"/"&amp;B3,B3&amp;"/"&amp;(B3+1))</f>
        <v>4007/4008</v>
      </c>
      <c r="L3" s="60" t="str">
        <f>VLOOKUP(A3,'Trips&amp;Operators'!$C$1:$E$9999,3,FALSE)</f>
        <v>LEDERHAUSE</v>
      </c>
      <c r="M3" s="12">
        <f t="shared" ref="M3" si="1">I3-F3</f>
        <v>2.7731481481168885E-2</v>
      </c>
      <c r="N3" s="13">
        <f t="shared" ref="N3:P3" si="2">24*60*SUM($M3:$M3)</f>
        <v>39.933333332883194</v>
      </c>
      <c r="O3" s="13"/>
      <c r="P3" s="13"/>
      <c r="Q3" s="61"/>
      <c r="R3" s="61"/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https://search-rtdc-monitor-bjffxe2xuh6vdkpspy63sjmuny.us-east-1.es.amazonaws.com/_plugin/kibana/#/discover/Steve-Slow-Train-Analysis-(2080s-and-2083s)?_g=(refreshInterval:(display:Off,section:0,value:0),time:(from:'2016-05-25 03:08:56-0600',mode:absolute,to:'2016-05-25 03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" s="73" t="str">
        <f>IF(Y3&lt;23,"Y","N")</f>
        <v>Y</v>
      </c>
      <c r="V3" s="73" t="e">
        <f>VALUE(LEFT(A3,3))-VALUE(LEFT(A2,3))</f>
        <v>#VALUE!</v>
      </c>
      <c r="W3" s="73">
        <f>RIGHT(D3,LEN(D3)-4)/10000</f>
        <v>7.5499999999999998E-2</v>
      </c>
      <c r="X3" s="73">
        <f>RIGHT(H3,LEN(H3)-4)/10000</f>
        <v>7.4800000000000005E-2</v>
      </c>
      <c r="Y3" s="73">
        <f>ABS(X3-W3)</f>
        <v>6.999999999999923E-4</v>
      </c>
      <c r="Z3" s="74" t="e">
        <f>VLOOKUP(A3,Enforcements!$C$3:$J$40,8,0)</f>
        <v>#N/A</v>
      </c>
      <c r="AA3" s="74" t="e">
        <f>VLOOKUP(A3,Enforcements!$C$3:$J$40,3,0)</f>
        <v>#N/A</v>
      </c>
    </row>
    <row r="4" spans="1:89" s="2" customFormat="1" x14ac:dyDescent="0.25">
      <c r="A4" s="60" t="s">
        <v>341</v>
      </c>
      <c r="B4" s="60">
        <v>4019</v>
      </c>
      <c r="C4" s="60" t="s">
        <v>66</v>
      </c>
      <c r="D4" s="60" t="s">
        <v>342</v>
      </c>
      <c r="E4" s="30">
        <v>42515.167812500003</v>
      </c>
      <c r="F4" s="30">
        <v>42515.168969907405</v>
      </c>
      <c r="G4" s="38">
        <v>1</v>
      </c>
      <c r="H4" s="30" t="s">
        <v>343</v>
      </c>
      <c r="I4" s="30">
        <v>42515.200775462959</v>
      </c>
      <c r="J4" s="60">
        <v>0</v>
      </c>
      <c r="K4" s="60" t="str">
        <f>IF(ISEVEN(B4),(B4-1)&amp;"/"&amp;B4,B4&amp;"/"&amp;(B4+1))</f>
        <v>4019/4020</v>
      </c>
      <c r="L4" s="60" t="str">
        <f>VLOOKUP(A4,'Trips&amp;Operators'!$C$1:$E$9999,3,FALSE)</f>
        <v>LEDERHAUSE</v>
      </c>
      <c r="M4" s="12">
        <f>I4-F4</f>
        <v>3.1805555554456078E-2</v>
      </c>
      <c r="N4" s="13">
        <f t="shared" ref="N4:P94" si="3">24*60*SUM($M4:$M4)</f>
        <v>45.799999998416752</v>
      </c>
      <c r="O4" s="13"/>
      <c r="P4" s="13"/>
      <c r="Q4" s="61"/>
      <c r="R4" s="61"/>
      <c r="T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https://search-rtdc-monitor-bjffxe2xuh6vdkpspy63sjmuny.us-east-1.es.amazonaws.com/_plugin/kibana/#/discover/Steve-Slow-Train-Analysis-(2080s-and-2083s)?_g=(refreshInterval:(display:Off,section:0,value:0),time:(from:'2016-05-25 04:00:39-0600',mode:absolute,to:'2016-05-25 04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3" t="str">
        <f>IF(Y4&lt;23,"Y","N")</f>
        <v>N</v>
      </c>
      <c r="V4" s="73">
        <f>VALUE(LEFT(A4,3))-VALUE(LEFT(A3,3))</f>
        <v>1</v>
      </c>
      <c r="W4" s="73">
        <f>RIGHT(D4,LEN(D4)-4)/10000</f>
        <v>23.2666</v>
      </c>
      <c r="X4" s="73">
        <f>RIGHT(H4,LEN(H4)-4)/10000</f>
        <v>1.7999999999999999E-2</v>
      </c>
      <c r="Y4" s="73">
        <f>ABS(X4-W4)</f>
        <v>23.2486</v>
      </c>
      <c r="Z4" s="74" t="e">
        <f>VLOOKUP(A4,Enforcements!$C$3:$J$40,8,0)</f>
        <v>#N/A</v>
      </c>
      <c r="AA4" s="74" t="e">
        <f>VLOOKUP(A4,Enforcements!$C$3:$J$40,3,0)</f>
        <v>#N/A</v>
      </c>
    </row>
    <row r="5" spans="1:89" s="2" customFormat="1" x14ac:dyDescent="0.25">
      <c r="A5" s="60" t="s">
        <v>344</v>
      </c>
      <c r="B5" s="60">
        <v>4040</v>
      </c>
      <c r="C5" s="60" t="s">
        <v>66</v>
      </c>
      <c r="D5" s="60" t="s">
        <v>345</v>
      </c>
      <c r="E5" s="30">
        <v>42515.153148148151</v>
      </c>
      <c r="F5" s="30">
        <v>42515.154490740744</v>
      </c>
      <c r="G5" s="38">
        <v>1</v>
      </c>
      <c r="H5" s="30" t="s">
        <v>307</v>
      </c>
      <c r="I5" s="30">
        <v>42515.18141203704</v>
      </c>
      <c r="J5" s="60">
        <v>0</v>
      </c>
      <c r="K5" s="60" t="str">
        <f t="shared" ref="K5:K68" si="4">IF(ISEVEN(B5),(B5-1)&amp;"/"&amp;B5,B5&amp;"/"&amp;(B5+1))</f>
        <v>4039/4040</v>
      </c>
      <c r="L5" s="60" t="str">
        <f>VLOOKUP(A5,'Trips&amp;Operators'!$C$1:$E$9999,3,FALSE)</f>
        <v>YANAI</v>
      </c>
      <c r="M5" s="12">
        <f t="shared" ref="M5:M68" si="5">I5-F5</f>
        <v>2.6921296295768116E-2</v>
      </c>
      <c r="N5" s="13">
        <f t="shared" si="3"/>
        <v>38.766666665906087</v>
      </c>
      <c r="O5" s="13"/>
      <c r="P5" s="13"/>
      <c r="Q5" s="61"/>
      <c r="R5" s="61"/>
      <c r="T5" s="73" t="str">
        <f t="shared" ref="T5:T68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https://search-rtdc-monitor-bjffxe2xuh6vdkpspy63sjmuny.us-east-1.es.amazonaws.com/_plugin/kibana/#/discover/Steve-Slow-Train-Analysis-(2080s-and-2083s)?_g=(refreshInterval:(display:Off,section:0,value:0),time:(from:'2016-05-25 03:39:32-0600',mode:absolute,to:'2016-05-25 04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" s="73" t="str">
        <f t="shared" ref="U5:U68" si="7">IF(Y5&lt;23,"Y","N")</f>
        <v>N</v>
      </c>
      <c r="V5" s="73">
        <f t="shared" ref="V5:V68" si="8">VALUE(LEFT(A5,3))-VALUE(LEFT(A4,3))</f>
        <v>1</v>
      </c>
      <c r="W5" s="73">
        <f t="shared" ref="W5:W68" si="9">RIGHT(D5,LEN(D5)-4)/10000</f>
        <v>6.5500000000000003E-2</v>
      </c>
      <c r="X5" s="73">
        <f t="shared" ref="X5:X68" si="10">RIGHT(H5,LEN(H5)-4)/10000</f>
        <v>23.331199999999999</v>
      </c>
      <c r="Y5" s="73">
        <f t="shared" ref="Y5:Y68" si="11">ABS(X5-W5)</f>
        <v>23.265699999999999</v>
      </c>
      <c r="Z5" s="74" t="e">
        <f>VLOOKUP(A5,Enforcements!$C$3:$J$40,8,0)</f>
        <v>#N/A</v>
      </c>
      <c r="AA5" s="74" t="e">
        <f>VLOOKUP(A5,Enforcements!$C$3:$J$40,3,0)</f>
        <v>#N/A</v>
      </c>
    </row>
    <row r="6" spans="1:89" s="2" customFormat="1" x14ac:dyDescent="0.25">
      <c r="A6" s="60" t="s">
        <v>346</v>
      </c>
      <c r="B6" s="60">
        <v>4037</v>
      </c>
      <c r="C6" s="60" t="s">
        <v>66</v>
      </c>
      <c r="D6" s="60" t="s">
        <v>347</v>
      </c>
      <c r="E6" s="30">
        <v>42515.19222222222</v>
      </c>
      <c r="F6" s="30">
        <v>42515.193402777775</v>
      </c>
      <c r="G6" s="38">
        <v>1</v>
      </c>
      <c r="H6" s="30" t="s">
        <v>91</v>
      </c>
      <c r="I6" s="30">
        <v>42515.221180555556</v>
      </c>
      <c r="J6" s="60">
        <v>0</v>
      </c>
      <c r="K6" s="60" t="str">
        <f t="shared" si="4"/>
        <v>4037/4038</v>
      </c>
      <c r="L6" s="60" t="str">
        <f>VLOOKUP(A6,'Trips&amp;Operators'!$C$1:$E$9999,3,FALSE)</f>
        <v>YANAI</v>
      </c>
      <c r="M6" s="12">
        <f t="shared" si="5"/>
        <v>2.7777777781011537E-2</v>
      </c>
      <c r="N6" s="13">
        <f t="shared" si="3"/>
        <v>40.000000004656613</v>
      </c>
      <c r="O6" s="13"/>
      <c r="P6" s="13"/>
      <c r="Q6" s="61"/>
      <c r="R6" s="61"/>
      <c r="T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04:35:48-0600',mode:absolute,to:'2016-05-25 05:19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" s="73" t="str">
        <f t="shared" si="7"/>
        <v>N</v>
      </c>
      <c r="V6" s="73">
        <f t="shared" si="8"/>
        <v>1</v>
      </c>
      <c r="W6" s="73">
        <f t="shared" si="9"/>
        <v>23.267700000000001</v>
      </c>
      <c r="X6" s="73">
        <f t="shared" si="10"/>
        <v>1.4999999999999999E-2</v>
      </c>
      <c r="Y6" s="73">
        <f t="shared" si="11"/>
        <v>23.252700000000001</v>
      </c>
      <c r="Z6" s="74" t="e">
        <f>VLOOKUP(A6,Enforcements!$C$3:$J$40,8,0)</f>
        <v>#N/A</v>
      </c>
      <c r="AA6" s="74" t="e">
        <f>VLOOKUP(A6,Enforcements!$C$3:$J$40,3,0)</f>
        <v>#N/A</v>
      </c>
    </row>
    <row r="7" spans="1:89" s="2" customFormat="1" x14ac:dyDescent="0.25">
      <c r="A7" s="60" t="s">
        <v>348</v>
      </c>
      <c r="B7" s="60">
        <v>4029</v>
      </c>
      <c r="C7" s="60" t="s">
        <v>66</v>
      </c>
      <c r="D7" s="60" t="s">
        <v>349</v>
      </c>
      <c r="E7" s="30">
        <v>42515.172002314815</v>
      </c>
      <c r="F7" s="30">
        <v>42515.173773148148</v>
      </c>
      <c r="G7" s="38">
        <v>2</v>
      </c>
      <c r="H7" s="30" t="s">
        <v>350</v>
      </c>
      <c r="I7" s="30">
        <v>42515.202326388891</v>
      </c>
      <c r="J7" s="60">
        <v>0</v>
      </c>
      <c r="K7" s="60" t="str">
        <f t="shared" si="4"/>
        <v>4029/4030</v>
      </c>
      <c r="L7" s="60" t="str">
        <f>VLOOKUP(A7,'Trips&amp;Operators'!$C$1:$E$9999,3,FALSE)</f>
        <v>GEBRETEKLE</v>
      </c>
      <c r="M7" s="12">
        <f t="shared" si="5"/>
        <v>2.8553240743349306E-2</v>
      </c>
      <c r="N7" s="13">
        <f t="shared" si="3"/>
        <v>41.116666670423001</v>
      </c>
      <c r="O7" s="13"/>
      <c r="P7" s="13"/>
      <c r="Q7" s="61"/>
      <c r="R7" s="61"/>
      <c r="T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04:06:41-0600',mode:absolute,to:'2016-05-25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" s="73" t="str">
        <f t="shared" si="7"/>
        <v>N</v>
      </c>
      <c r="V7" s="73">
        <f t="shared" si="8"/>
        <v>1</v>
      </c>
      <c r="W7" s="73">
        <f t="shared" si="9"/>
        <v>6.6100000000000006E-2</v>
      </c>
      <c r="X7" s="73">
        <f t="shared" si="10"/>
        <v>23.328299999999999</v>
      </c>
      <c r="Y7" s="73">
        <f t="shared" si="11"/>
        <v>23.2622</v>
      </c>
      <c r="Z7" s="74" t="e">
        <f>VLOOKUP(A7,Enforcements!$C$3:$J$40,8,0)</f>
        <v>#N/A</v>
      </c>
      <c r="AA7" s="74" t="e">
        <f>VLOOKUP(A7,Enforcements!$C$3:$J$40,3,0)</f>
        <v>#N/A</v>
      </c>
    </row>
    <row r="8" spans="1:89" s="2" customFormat="1" x14ac:dyDescent="0.25">
      <c r="A8" s="60" t="s">
        <v>310</v>
      </c>
      <c r="B8" s="60">
        <v>4028</v>
      </c>
      <c r="C8" s="60" t="s">
        <v>66</v>
      </c>
      <c r="D8" s="60" t="s">
        <v>351</v>
      </c>
      <c r="E8" s="30">
        <v>42515.212280092594</v>
      </c>
      <c r="F8" s="30">
        <v>42515.21503472222</v>
      </c>
      <c r="G8" s="38">
        <v>3</v>
      </c>
      <c r="H8" s="30" t="s">
        <v>352</v>
      </c>
      <c r="I8" s="30">
        <v>42515.243391203701</v>
      </c>
      <c r="J8" s="60">
        <v>1</v>
      </c>
      <c r="K8" s="60" t="str">
        <f t="shared" si="4"/>
        <v>4027/4028</v>
      </c>
      <c r="L8" s="60" t="str">
        <f>VLOOKUP(A8,'Trips&amp;Operators'!$C$1:$E$9999,3,FALSE)</f>
        <v>GEBRETEKLE</v>
      </c>
      <c r="M8" s="12">
        <f t="shared" si="5"/>
        <v>2.8356481481750961E-2</v>
      </c>
      <c r="N8" s="13">
        <f t="shared" si="3"/>
        <v>40.833333333721384</v>
      </c>
      <c r="O8" s="13"/>
      <c r="P8" s="13"/>
      <c r="Q8" s="61"/>
      <c r="R8" s="61"/>
      <c r="T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05:04:41-0600',mode:absolute,to:'2016-05-25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" s="73" t="str">
        <f t="shared" si="7"/>
        <v>N</v>
      </c>
      <c r="V8" s="73">
        <f t="shared" si="8"/>
        <v>1</v>
      </c>
      <c r="W8" s="73">
        <f t="shared" si="9"/>
        <v>23.264700000000001</v>
      </c>
      <c r="X8" s="73">
        <f t="shared" si="10"/>
        <v>1.09E-2</v>
      </c>
      <c r="Y8" s="73">
        <f t="shared" si="11"/>
        <v>23.253800000000002</v>
      </c>
      <c r="Z8" s="74">
        <f>VLOOKUP(A8,Enforcements!$C$3:$J$40,8,0)</f>
        <v>1</v>
      </c>
      <c r="AA8" s="74" t="str">
        <f>VLOOKUP(A8,Enforcements!$C$3:$J$40,3,0)</f>
        <v>TRACK WARRANT AUTHORITY</v>
      </c>
    </row>
    <row r="9" spans="1:89" s="2" customFormat="1" x14ac:dyDescent="0.25">
      <c r="A9" s="60" t="s">
        <v>353</v>
      </c>
      <c r="B9" s="60">
        <v>4031</v>
      </c>
      <c r="C9" s="60" t="s">
        <v>66</v>
      </c>
      <c r="D9" s="60" t="s">
        <v>354</v>
      </c>
      <c r="E9" s="30">
        <v>42515.180914351855</v>
      </c>
      <c r="F9" s="30">
        <v>42515.182013888887</v>
      </c>
      <c r="G9" s="38">
        <v>1</v>
      </c>
      <c r="H9" s="30" t="s">
        <v>70</v>
      </c>
      <c r="I9" s="30">
        <v>42515.213368055556</v>
      </c>
      <c r="J9" s="60">
        <v>0</v>
      </c>
      <c r="K9" s="60" t="str">
        <f t="shared" si="4"/>
        <v>4031/4032</v>
      </c>
      <c r="L9" s="60" t="str">
        <f>VLOOKUP(A9,'Trips&amp;Operators'!$C$1:$E$9999,3,FALSE)</f>
        <v>COOLAHAN</v>
      </c>
      <c r="M9" s="12">
        <f t="shared" si="5"/>
        <v>3.1354166669188999E-2</v>
      </c>
      <c r="N9" s="13">
        <f t="shared" si="3"/>
        <v>45.150000003632158</v>
      </c>
      <c r="O9" s="13"/>
      <c r="P9" s="13"/>
      <c r="Q9" s="61"/>
      <c r="R9" s="61"/>
      <c r="T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04:19:31-0600',mode:absolute,to:'2016-05-25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3" t="str">
        <f t="shared" si="7"/>
        <v>N</v>
      </c>
      <c r="V9" s="73">
        <f t="shared" si="8"/>
        <v>1</v>
      </c>
      <c r="W9" s="73">
        <f t="shared" si="9"/>
        <v>4.2700000000000002E-2</v>
      </c>
      <c r="X9" s="73">
        <f t="shared" si="10"/>
        <v>23.330300000000001</v>
      </c>
      <c r="Y9" s="73">
        <f t="shared" si="11"/>
        <v>23.287600000000001</v>
      </c>
      <c r="Z9" s="74" t="e">
        <f>VLOOKUP(A9,Enforcements!$C$3:$J$40,8,0)</f>
        <v>#N/A</v>
      </c>
      <c r="AA9" s="74" t="e">
        <f>VLOOKUP(A9,Enforcements!$C$3:$J$40,3,0)</f>
        <v>#N/A</v>
      </c>
    </row>
    <row r="10" spans="1:89" s="2" customFormat="1" x14ac:dyDescent="0.25">
      <c r="A10" s="60" t="s">
        <v>355</v>
      </c>
      <c r="B10" s="60">
        <v>4032</v>
      </c>
      <c r="C10" s="60" t="s">
        <v>66</v>
      </c>
      <c r="D10" s="60" t="s">
        <v>300</v>
      </c>
      <c r="E10" s="30">
        <v>42515.224768518521</v>
      </c>
      <c r="F10" s="30">
        <v>42515.225706018522</v>
      </c>
      <c r="G10" s="38">
        <v>1</v>
      </c>
      <c r="H10" s="30" t="s">
        <v>75</v>
      </c>
      <c r="I10" s="30">
        <v>42515.253148148149</v>
      </c>
      <c r="J10" s="60">
        <v>0</v>
      </c>
      <c r="K10" s="60" t="str">
        <f t="shared" si="4"/>
        <v>4031/4032</v>
      </c>
      <c r="L10" s="60" t="str">
        <f>VLOOKUP(A10,'Trips&amp;Operators'!$C$1:$E$9999,3,FALSE)</f>
        <v>COOLAHAN</v>
      </c>
      <c r="M10" s="12">
        <f t="shared" si="5"/>
        <v>2.7442129627161194E-2</v>
      </c>
      <c r="N10" s="13">
        <f t="shared" si="3"/>
        <v>39.516666663112119</v>
      </c>
      <c r="O10" s="13"/>
      <c r="P10" s="13"/>
      <c r="Q10" s="61"/>
      <c r="R10" s="61"/>
      <c r="T1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05:22:40-0600',mode:absolute,to:'2016-05-25 06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3" t="str">
        <f t="shared" si="7"/>
        <v>N</v>
      </c>
      <c r="V10" s="73">
        <f t="shared" si="8"/>
        <v>1</v>
      </c>
      <c r="W10" s="73">
        <f t="shared" si="9"/>
        <v>23.2971</v>
      </c>
      <c r="X10" s="73">
        <f t="shared" si="10"/>
        <v>1.3599999999999999E-2</v>
      </c>
      <c r="Y10" s="73">
        <f t="shared" si="11"/>
        <v>23.2835</v>
      </c>
      <c r="Z10" s="74" t="e">
        <f>VLOOKUP(A10,Enforcements!$C$3:$J$40,8,0)</f>
        <v>#N/A</v>
      </c>
      <c r="AA10" s="74" t="e">
        <f>VLOOKUP(A10,Enforcements!$C$3:$J$40,3,0)</f>
        <v>#N/A</v>
      </c>
    </row>
    <row r="11" spans="1:89" s="2" customFormat="1" x14ac:dyDescent="0.25">
      <c r="A11" s="60" t="s">
        <v>356</v>
      </c>
      <c r="B11" s="60">
        <v>4009</v>
      </c>
      <c r="C11" s="60" t="s">
        <v>66</v>
      </c>
      <c r="D11" s="60" t="s">
        <v>304</v>
      </c>
      <c r="E11" s="30">
        <v>42515.191932870373</v>
      </c>
      <c r="F11" s="30">
        <v>42515.192939814813</v>
      </c>
      <c r="G11" s="38">
        <v>1</v>
      </c>
      <c r="H11" s="30" t="s">
        <v>256</v>
      </c>
      <c r="I11" s="30">
        <v>42515.22378472222</v>
      </c>
      <c r="J11" s="60">
        <v>0</v>
      </c>
      <c r="K11" s="60" t="str">
        <f t="shared" si="4"/>
        <v>4009/4010</v>
      </c>
      <c r="L11" s="60" t="str">
        <f>VLOOKUP(A11,'Trips&amp;Operators'!$C$1:$E$9999,3,FALSE)</f>
        <v>ACKERMAN</v>
      </c>
      <c r="M11" s="12">
        <f t="shared" si="5"/>
        <v>3.0844907407299615E-2</v>
      </c>
      <c r="N11" s="13">
        <f t="shared" si="3"/>
        <v>44.416666666511446</v>
      </c>
      <c r="O11" s="13"/>
      <c r="P11" s="13"/>
      <c r="Q11" s="61"/>
      <c r="R11" s="61"/>
      <c r="T1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04:35:23-0600',mode:absolute,to:'2016-05-25 05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" s="73" t="str">
        <f t="shared" si="7"/>
        <v>N</v>
      </c>
      <c r="V11" s="73">
        <f t="shared" si="8"/>
        <v>1</v>
      </c>
      <c r="W11" s="73">
        <f t="shared" si="9"/>
        <v>4.8800000000000003E-2</v>
      </c>
      <c r="X11" s="73">
        <f t="shared" si="10"/>
        <v>23.328900000000001</v>
      </c>
      <c r="Y11" s="73">
        <f t="shared" si="11"/>
        <v>23.280100000000001</v>
      </c>
      <c r="Z11" s="74" t="e">
        <f>VLOOKUP(A11,Enforcements!$C$3:$J$40,8,0)</f>
        <v>#N/A</v>
      </c>
      <c r="AA11" s="74" t="e">
        <f>VLOOKUP(A11,Enforcements!$C$3:$J$40,3,0)</f>
        <v>#N/A</v>
      </c>
    </row>
    <row r="12" spans="1:89" s="2" customFormat="1" x14ac:dyDescent="0.25">
      <c r="A12" s="60" t="s">
        <v>357</v>
      </c>
      <c r="B12" s="60">
        <v>4010</v>
      </c>
      <c r="C12" s="60" t="s">
        <v>66</v>
      </c>
      <c r="D12" s="60" t="s">
        <v>72</v>
      </c>
      <c r="E12" s="30">
        <v>42515.231817129628</v>
      </c>
      <c r="F12" s="30">
        <v>42515.233136574076</v>
      </c>
      <c r="G12" s="38">
        <v>1</v>
      </c>
      <c r="H12" s="30" t="s">
        <v>80</v>
      </c>
      <c r="I12" s="30">
        <v>42515.262673611112</v>
      </c>
      <c r="J12" s="60">
        <v>0</v>
      </c>
      <c r="K12" s="60" t="str">
        <f t="shared" si="4"/>
        <v>4009/4010</v>
      </c>
      <c r="L12" s="60" t="str">
        <f>VLOOKUP(A12,'Trips&amp;Operators'!$C$1:$E$9999,3,FALSE)</f>
        <v>ACKERMAN</v>
      </c>
      <c r="M12" s="12">
        <f t="shared" si="5"/>
        <v>2.9537037036789116E-2</v>
      </c>
      <c r="N12" s="13">
        <f t="shared" si="3"/>
        <v>42.533333332976326</v>
      </c>
      <c r="O12" s="13"/>
      <c r="P12" s="13"/>
      <c r="Q12" s="61"/>
      <c r="R12" s="61"/>
      <c r="T1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05:32:49-0600',mode:absolute,to:'2016-05-25 06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" s="73" t="str">
        <f t="shared" si="7"/>
        <v>N</v>
      </c>
      <c r="V12" s="73">
        <f t="shared" si="8"/>
        <v>1</v>
      </c>
      <c r="W12" s="73">
        <f t="shared" si="9"/>
        <v>23.2989</v>
      </c>
      <c r="X12" s="73">
        <f t="shared" si="10"/>
        <v>1.52E-2</v>
      </c>
      <c r="Y12" s="73">
        <f t="shared" si="11"/>
        <v>23.2837</v>
      </c>
      <c r="Z12" s="74" t="e">
        <f>VLOOKUP(A12,Enforcements!$C$3:$J$40,8,0)</f>
        <v>#N/A</v>
      </c>
      <c r="AA12" s="74" t="e">
        <f>VLOOKUP(A12,Enforcements!$C$3:$J$40,3,0)</f>
        <v>#N/A</v>
      </c>
    </row>
    <row r="13" spans="1:89" s="2" customFormat="1" x14ac:dyDescent="0.25">
      <c r="A13" s="60" t="s">
        <v>309</v>
      </c>
      <c r="B13" s="60">
        <v>4007</v>
      </c>
      <c r="C13" s="60" t="s">
        <v>66</v>
      </c>
      <c r="D13" s="60" t="s">
        <v>358</v>
      </c>
      <c r="E13" s="30">
        <v>42515.211886574078</v>
      </c>
      <c r="F13" s="30">
        <v>42515.212824074071</v>
      </c>
      <c r="G13" s="38">
        <v>1</v>
      </c>
      <c r="H13" s="30" t="s">
        <v>359</v>
      </c>
      <c r="I13" s="30">
        <v>42515.235520833332</v>
      </c>
      <c r="J13" s="60">
        <v>1</v>
      </c>
      <c r="K13" s="60" t="str">
        <f t="shared" si="4"/>
        <v>4007/4008</v>
      </c>
      <c r="L13" s="60" t="str">
        <f>VLOOKUP(A13,'Trips&amp;Operators'!$C$1:$E$9999,3,FALSE)</f>
        <v>BRANNON</v>
      </c>
      <c r="M13" s="12">
        <f t="shared" si="5"/>
        <v>2.269675926072523E-2</v>
      </c>
      <c r="N13" s="13"/>
      <c r="O13" s="13"/>
      <c r="P13" s="13">
        <f t="shared" si="3"/>
        <v>32.683333335444331</v>
      </c>
      <c r="Q13" s="61" t="s">
        <v>274</v>
      </c>
      <c r="R13" s="61" t="s">
        <v>597</v>
      </c>
      <c r="T1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05:04:07-0600',mode:absolute,to:'2016-05-25 05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" s="73" t="str">
        <f t="shared" si="7"/>
        <v>Y</v>
      </c>
      <c r="V13" s="73">
        <f t="shared" si="8"/>
        <v>1</v>
      </c>
      <c r="W13" s="73">
        <f t="shared" si="9"/>
        <v>1.9140999999999999</v>
      </c>
      <c r="X13" s="73">
        <f t="shared" si="10"/>
        <v>23.3309</v>
      </c>
      <c r="Y13" s="73">
        <f t="shared" si="11"/>
        <v>21.416799999999999</v>
      </c>
      <c r="Z13" s="74">
        <f>VLOOKUP(A13,Enforcements!$C$3:$J$40,8,0)</f>
        <v>224231</v>
      </c>
      <c r="AA13" s="74" t="str">
        <f>VLOOKUP(A13,Enforcements!$C$3:$J$40,3,0)</f>
        <v>SIGNAL</v>
      </c>
    </row>
    <row r="14" spans="1:89" s="2" customFormat="1" x14ac:dyDescent="0.25">
      <c r="A14" s="60" t="s">
        <v>309</v>
      </c>
      <c r="B14" s="60">
        <v>4007</v>
      </c>
      <c r="C14" s="60" t="s">
        <v>66</v>
      </c>
      <c r="D14" s="60" t="s">
        <v>287</v>
      </c>
      <c r="E14" s="30">
        <v>42515.204560185186</v>
      </c>
      <c r="F14" s="30">
        <v>42515.205555555556</v>
      </c>
      <c r="G14" s="38">
        <v>1</v>
      </c>
      <c r="H14" s="30" t="s">
        <v>340</v>
      </c>
      <c r="I14" s="30">
        <v>42515.20579861111</v>
      </c>
      <c r="J14" s="60">
        <v>0</v>
      </c>
      <c r="K14" s="60" t="str">
        <f t="shared" si="4"/>
        <v>4007/4008</v>
      </c>
      <c r="L14" s="60" t="str">
        <f>VLOOKUP(A14,'Trips&amp;Operators'!$C$1:$E$9999,3,FALSE)</f>
        <v>BRANNON</v>
      </c>
      <c r="M14" s="12">
        <f t="shared" si="5"/>
        <v>2.4305555416503921E-4</v>
      </c>
      <c r="N14" s="13"/>
      <c r="O14" s="13"/>
      <c r="P14" s="13"/>
      <c r="Q14" s="61"/>
      <c r="R14" s="61"/>
      <c r="T1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04:53:34-0600',mode:absolute,to:'2016-05-25 04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" s="73" t="str">
        <f t="shared" si="7"/>
        <v>Y</v>
      </c>
      <c r="V14" s="73">
        <f t="shared" si="8"/>
        <v>0</v>
      </c>
      <c r="W14" s="73">
        <f t="shared" si="9"/>
        <v>7.5200000000000003E-2</v>
      </c>
      <c r="X14" s="73">
        <f t="shared" si="10"/>
        <v>7.4800000000000005E-2</v>
      </c>
      <c r="Y14" s="73">
        <f t="shared" si="11"/>
        <v>3.9999999999999758E-4</v>
      </c>
      <c r="Z14" s="74">
        <f>VLOOKUP(A14,Enforcements!$C$3:$J$40,8,0)</f>
        <v>224231</v>
      </c>
      <c r="AA14" s="74" t="str">
        <f>VLOOKUP(A14,Enforcements!$C$3:$J$40,3,0)</f>
        <v>SIGNAL</v>
      </c>
    </row>
    <row r="15" spans="1:89" s="2" customFormat="1" x14ac:dyDescent="0.25">
      <c r="A15" s="60" t="s">
        <v>360</v>
      </c>
      <c r="B15" s="60">
        <v>4008</v>
      </c>
      <c r="C15" s="60" t="s">
        <v>66</v>
      </c>
      <c r="D15" s="60" t="s">
        <v>111</v>
      </c>
      <c r="E15" s="30">
        <v>42515.24523148148</v>
      </c>
      <c r="F15" s="30">
        <v>42515.246469907404</v>
      </c>
      <c r="G15" s="38">
        <v>1</v>
      </c>
      <c r="H15" s="30" t="s">
        <v>361</v>
      </c>
      <c r="I15" s="30">
        <v>42515.272534722222</v>
      </c>
      <c r="J15" s="60">
        <v>0</v>
      </c>
      <c r="K15" s="60" t="str">
        <f t="shared" si="4"/>
        <v>4007/4008</v>
      </c>
      <c r="L15" s="60" t="str">
        <f>VLOOKUP(A15,'Trips&amp;Operators'!$C$1:$E$9999,3,FALSE)</f>
        <v>BRANNON</v>
      </c>
      <c r="M15" s="12">
        <f t="shared" si="5"/>
        <v>2.6064814817800652E-2</v>
      </c>
      <c r="N15" s="13">
        <f t="shared" si="3"/>
        <v>37.533333337632939</v>
      </c>
      <c r="O15" s="13"/>
      <c r="P15" s="13"/>
      <c r="Q15" s="61"/>
      <c r="R15" s="61"/>
      <c r="T1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05:52:08-0600',mode:absolute,to:'2016-05-25 06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5" s="73" t="str">
        <f t="shared" si="7"/>
        <v>N</v>
      </c>
      <c r="V15" s="73">
        <f t="shared" si="8"/>
        <v>1</v>
      </c>
      <c r="W15" s="73">
        <f t="shared" si="9"/>
        <v>23.2973</v>
      </c>
      <c r="X15" s="73">
        <f t="shared" si="10"/>
        <v>1.38E-2</v>
      </c>
      <c r="Y15" s="73">
        <f t="shared" si="11"/>
        <v>23.2835</v>
      </c>
      <c r="Z15" s="74" t="e">
        <f>VLOOKUP(A15,Enforcements!$C$3:$J$40,8,0)</f>
        <v>#N/A</v>
      </c>
      <c r="AA15" s="74" t="e">
        <f>VLOOKUP(A15,Enforcements!$C$3:$J$40,3,0)</f>
        <v>#N/A</v>
      </c>
    </row>
    <row r="16" spans="1:89" s="2" customFormat="1" x14ac:dyDescent="0.25">
      <c r="A16" s="60" t="s">
        <v>362</v>
      </c>
      <c r="B16" s="60">
        <v>4020</v>
      </c>
      <c r="C16" s="60" t="s">
        <v>66</v>
      </c>
      <c r="D16" s="60" t="s">
        <v>153</v>
      </c>
      <c r="E16" s="30">
        <v>42515.203923611109</v>
      </c>
      <c r="F16" s="30">
        <v>42515.207696759258</v>
      </c>
      <c r="G16" s="38">
        <v>5</v>
      </c>
      <c r="H16" s="30" t="s">
        <v>298</v>
      </c>
      <c r="I16" s="30">
        <v>42515.244652777779</v>
      </c>
      <c r="J16" s="60">
        <v>0</v>
      </c>
      <c r="K16" s="60" t="str">
        <f t="shared" si="4"/>
        <v>4019/4020</v>
      </c>
      <c r="L16" s="60" t="str">
        <f>VLOOKUP(A16,'Trips&amp;Operators'!$C$1:$E$9999,3,FALSE)</f>
        <v>LEDERHAUSE</v>
      </c>
      <c r="M16" s="12">
        <f t="shared" si="5"/>
        <v>3.6956018520868383E-2</v>
      </c>
      <c r="N16" s="13">
        <f t="shared" si="3"/>
        <v>53.216666670050472</v>
      </c>
      <c r="O16" s="13"/>
      <c r="P16" s="13"/>
      <c r="Q16" s="61"/>
      <c r="R16" s="61"/>
      <c r="T1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04:52:39-0600',mode:absolute,to:'2016-05-25 05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6" s="73" t="str">
        <f t="shared" si="7"/>
        <v>N</v>
      </c>
      <c r="V16" s="73">
        <f t="shared" si="8"/>
        <v>1</v>
      </c>
      <c r="W16" s="73">
        <f t="shared" si="9"/>
        <v>4.6199999999999998E-2</v>
      </c>
      <c r="X16" s="73">
        <f t="shared" si="10"/>
        <v>23.3338</v>
      </c>
      <c r="Y16" s="73">
        <f t="shared" si="11"/>
        <v>23.287600000000001</v>
      </c>
      <c r="Z16" s="74" t="e">
        <f>VLOOKUP(A16,Enforcements!$C$3:$J$40,8,0)</f>
        <v>#N/A</v>
      </c>
      <c r="AA16" s="74" t="e">
        <f>VLOOKUP(A16,Enforcements!$C$3:$J$40,3,0)</f>
        <v>#N/A</v>
      </c>
    </row>
    <row r="17" spans="1:27" s="2" customFormat="1" x14ac:dyDescent="0.25">
      <c r="A17" s="60" t="s">
        <v>312</v>
      </c>
      <c r="B17" s="60">
        <v>4019</v>
      </c>
      <c r="C17" s="60" t="s">
        <v>66</v>
      </c>
      <c r="D17" s="60" t="s">
        <v>81</v>
      </c>
      <c r="E17" s="30">
        <v>42515.253738425927</v>
      </c>
      <c r="F17" s="30">
        <v>42515.25476851852</v>
      </c>
      <c r="G17" s="38">
        <v>1</v>
      </c>
      <c r="H17" s="30" t="s">
        <v>91</v>
      </c>
      <c r="I17" s="30">
        <v>42515.284004629626</v>
      </c>
      <c r="J17" s="60">
        <v>1</v>
      </c>
      <c r="K17" s="60" t="str">
        <f t="shared" si="4"/>
        <v>4019/4020</v>
      </c>
      <c r="L17" s="60" t="str">
        <f>VLOOKUP(A17,'Trips&amp;Operators'!$C$1:$E$9999,3,FALSE)</f>
        <v>LEDERHAUSE</v>
      </c>
      <c r="M17" s="12">
        <f t="shared" si="5"/>
        <v>2.9236111106001772E-2</v>
      </c>
      <c r="N17" s="13">
        <f t="shared" si="3"/>
        <v>42.099999992642552</v>
      </c>
      <c r="O17" s="13"/>
      <c r="P17" s="13"/>
      <c r="Q17" s="61"/>
      <c r="R17" s="61"/>
      <c r="T1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06:04:23-0600',mode:absolute,to:'2016-05-25 06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7" s="73" t="str">
        <f t="shared" si="7"/>
        <v>N</v>
      </c>
      <c r="V17" s="73">
        <f t="shared" si="8"/>
        <v>1</v>
      </c>
      <c r="W17" s="73">
        <f t="shared" si="9"/>
        <v>23.299399999999999</v>
      </c>
      <c r="X17" s="73">
        <f t="shared" si="10"/>
        <v>1.4999999999999999E-2</v>
      </c>
      <c r="Y17" s="73">
        <f t="shared" si="11"/>
        <v>23.284399999999998</v>
      </c>
      <c r="Z17" s="74">
        <f>VLOOKUP(A17,Enforcements!$C$3:$J$40,8,0)</f>
        <v>1</v>
      </c>
      <c r="AA17" s="74" t="str">
        <f>VLOOKUP(A17,Enforcements!$C$3:$J$40,3,0)</f>
        <v>TRACK WARRANT AUTHORITY</v>
      </c>
    </row>
    <row r="18" spans="1:27" s="2" customFormat="1" x14ac:dyDescent="0.25">
      <c r="A18" s="60" t="s">
        <v>363</v>
      </c>
      <c r="B18" s="60">
        <v>4040</v>
      </c>
      <c r="C18" s="60" t="s">
        <v>66</v>
      </c>
      <c r="D18" s="60" t="s">
        <v>364</v>
      </c>
      <c r="E18" s="30">
        <v>42515.225856481484</v>
      </c>
      <c r="F18" s="30">
        <v>42515.22724537037</v>
      </c>
      <c r="G18" s="38">
        <v>2</v>
      </c>
      <c r="H18" s="30" t="s">
        <v>79</v>
      </c>
      <c r="I18" s="30">
        <v>42515.253796296296</v>
      </c>
      <c r="J18" s="60">
        <v>0</v>
      </c>
      <c r="K18" s="60" t="str">
        <f t="shared" si="4"/>
        <v>4039/4040</v>
      </c>
      <c r="L18" s="60" t="str">
        <f>VLOOKUP(A18,'Trips&amp;Operators'!$C$1:$E$9999,3,FALSE)</f>
        <v>ROCHA</v>
      </c>
      <c r="M18" s="12">
        <f t="shared" si="5"/>
        <v>2.6550925926130731E-2</v>
      </c>
      <c r="N18" s="13">
        <f t="shared" si="3"/>
        <v>38.233333333628252</v>
      </c>
      <c r="O18" s="13"/>
      <c r="P18" s="13"/>
      <c r="Q18" s="61"/>
      <c r="R18" s="61"/>
      <c r="T1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05:24:14-0600',mode:absolute,to:'2016-05-25 06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8" s="73" t="str">
        <f t="shared" si="7"/>
        <v>N</v>
      </c>
      <c r="V18" s="73">
        <f t="shared" si="8"/>
        <v>1</v>
      </c>
      <c r="W18" s="73">
        <f t="shared" si="9"/>
        <v>7.7499999999999999E-2</v>
      </c>
      <c r="X18" s="73">
        <f t="shared" si="10"/>
        <v>23.329899999999999</v>
      </c>
      <c r="Y18" s="73">
        <f t="shared" si="11"/>
        <v>23.252399999999998</v>
      </c>
      <c r="Z18" s="74" t="e">
        <f>VLOOKUP(A18,Enforcements!$C$3:$J$40,8,0)</f>
        <v>#N/A</v>
      </c>
      <c r="AA18" s="74" t="e">
        <f>VLOOKUP(A18,Enforcements!$C$3:$J$40,3,0)</f>
        <v>#N/A</v>
      </c>
    </row>
    <row r="19" spans="1:27" s="2" customFormat="1" x14ac:dyDescent="0.25">
      <c r="A19" s="60" t="s">
        <v>365</v>
      </c>
      <c r="B19" s="60">
        <v>4039</v>
      </c>
      <c r="C19" s="60" t="s">
        <v>66</v>
      </c>
      <c r="D19" s="60" t="s">
        <v>296</v>
      </c>
      <c r="E19" s="30">
        <v>42515.256157407406</v>
      </c>
      <c r="F19" s="30">
        <v>42515.257094907407</v>
      </c>
      <c r="G19" s="38">
        <v>1</v>
      </c>
      <c r="H19" s="30" t="s">
        <v>99</v>
      </c>
      <c r="I19" s="30">
        <v>42515.293726851851</v>
      </c>
      <c r="J19" s="60">
        <v>0</v>
      </c>
      <c r="K19" s="60" t="str">
        <f t="shared" si="4"/>
        <v>4039/4040</v>
      </c>
      <c r="L19" s="60" t="str">
        <f>VLOOKUP(A19,'Trips&amp;Operators'!$C$1:$E$9999,3,FALSE)</f>
        <v>ROCHA</v>
      </c>
      <c r="M19" s="12">
        <f t="shared" si="5"/>
        <v>3.6631944443797693E-2</v>
      </c>
      <c r="N19" s="13">
        <f t="shared" si="3"/>
        <v>52.749999999068677</v>
      </c>
      <c r="O19" s="13"/>
      <c r="P19" s="13"/>
      <c r="Q19" s="61"/>
      <c r="R19" s="61"/>
      <c r="T1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06:07:52-0600',mode:absolute,to:'2016-05-25 07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9" s="73" t="str">
        <f t="shared" si="7"/>
        <v>N</v>
      </c>
      <c r="V19" s="73">
        <f t="shared" si="8"/>
        <v>1</v>
      </c>
      <c r="W19" s="73">
        <f t="shared" si="9"/>
        <v>23.2986</v>
      </c>
      <c r="X19" s="73">
        <f t="shared" si="10"/>
        <v>1.5800000000000002E-2</v>
      </c>
      <c r="Y19" s="73">
        <f t="shared" si="11"/>
        <v>23.282800000000002</v>
      </c>
      <c r="Z19" s="74" t="e">
        <f>VLOOKUP(A19,Enforcements!$C$3:$J$40,8,0)</f>
        <v>#N/A</v>
      </c>
      <c r="AA19" s="74" t="e">
        <f>VLOOKUP(A19,Enforcements!$C$3:$J$40,3,0)</f>
        <v>#N/A</v>
      </c>
    </row>
    <row r="20" spans="1:27" s="2" customFormat="1" x14ac:dyDescent="0.25">
      <c r="A20" s="60" t="s">
        <v>366</v>
      </c>
      <c r="B20" s="60">
        <v>4038</v>
      </c>
      <c r="C20" s="60" t="s">
        <v>66</v>
      </c>
      <c r="D20" s="60" t="s">
        <v>77</v>
      </c>
      <c r="E20" s="30">
        <v>42515.233749999999</v>
      </c>
      <c r="F20" s="30">
        <v>42515.234675925924</v>
      </c>
      <c r="G20" s="38">
        <v>1</v>
      </c>
      <c r="H20" s="30" t="s">
        <v>367</v>
      </c>
      <c r="I20" s="30">
        <v>42515.264386574076</v>
      </c>
      <c r="J20" s="60">
        <v>0</v>
      </c>
      <c r="K20" s="60" t="str">
        <f t="shared" si="4"/>
        <v>4037/4038</v>
      </c>
      <c r="L20" s="60" t="str">
        <f>VLOOKUP(A20,'Trips&amp;Operators'!$C$1:$E$9999,3,FALSE)</f>
        <v>YANAI</v>
      </c>
      <c r="M20" s="12">
        <f t="shared" si="5"/>
        <v>2.9710648152104113E-2</v>
      </c>
      <c r="N20" s="13">
        <f t="shared" si="3"/>
        <v>42.783333339029923</v>
      </c>
      <c r="O20" s="13"/>
      <c r="P20" s="13"/>
      <c r="Q20" s="61"/>
      <c r="R20" s="61"/>
      <c r="T2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05:35:36-0600',mode:absolute,to:'2016-05-25 06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0" s="73" t="str">
        <f t="shared" si="7"/>
        <v>N</v>
      </c>
      <c r="V20" s="73">
        <f t="shared" si="8"/>
        <v>1</v>
      </c>
      <c r="W20" s="73">
        <f t="shared" si="9"/>
        <v>4.5499999999999999E-2</v>
      </c>
      <c r="X20" s="73">
        <f t="shared" si="10"/>
        <v>23.3325</v>
      </c>
      <c r="Y20" s="73">
        <f t="shared" si="11"/>
        <v>23.286999999999999</v>
      </c>
      <c r="Z20" s="74" t="e">
        <f>VLOOKUP(A20,Enforcements!$C$3:$J$40,8,0)</f>
        <v>#N/A</v>
      </c>
      <c r="AA20" s="74" t="e">
        <f>VLOOKUP(A20,Enforcements!$C$3:$J$40,3,0)</f>
        <v>#N/A</v>
      </c>
    </row>
    <row r="21" spans="1:27" s="2" customFormat="1" x14ac:dyDescent="0.25">
      <c r="A21" s="60" t="s">
        <v>368</v>
      </c>
      <c r="B21" s="60">
        <v>4037</v>
      </c>
      <c r="C21" s="60" t="s">
        <v>66</v>
      </c>
      <c r="D21" s="60" t="s">
        <v>139</v>
      </c>
      <c r="E21" s="30">
        <v>42515.276203703703</v>
      </c>
      <c r="F21" s="30">
        <v>42515.277337962965</v>
      </c>
      <c r="G21" s="38">
        <v>1</v>
      </c>
      <c r="H21" s="30" t="s">
        <v>361</v>
      </c>
      <c r="I21" s="30">
        <v>42515.304050925923</v>
      </c>
      <c r="J21" s="60">
        <v>0</v>
      </c>
      <c r="K21" s="60" t="str">
        <f t="shared" si="4"/>
        <v>4037/4038</v>
      </c>
      <c r="L21" s="60" t="str">
        <f>VLOOKUP(A21,'Trips&amp;Operators'!$C$1:$E$9999,3,FALSE)</f>
        <v>YANAI</v>
      </c>
      <c r="M21" s="12">
        <f t="shared" si="5"/>
        <v>2.6712962957390118E-2</v>
      </c>
      <c r="N21" s="13">
        <f t="shared" si="3"/>
        <v>38.46666665864177</v>
      </c>
      <c r="O21" s="13"/>
      <c r="P21" s="13"/>
      <c r="Q21" s="61"/>
      <c r="R21" s="61"/>
      <c r="T2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06:36:44-0600',mode:absolute,to:'2016-05-25 07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1" s="73" t="str">
        <f t="shared" si="7"/>
        <v>N</v>
      </c>
      <c r="V21" s="73">
        <f t="shared" si="8"/>
        <v>1</v>
      </c>
      <c r="W21" s="73">
        <f t="shared" si="9"/>
        <v>23.299299999999999</v>
      </c>
      <c r="X21" s="73">
        <f t="shared" si="10"/>
        <v>1.38E-2</v>
      </c>
      <c r="Y21" s="73">
        <f t="shared" si="11"/>
        <v>23.285499999999999</v>
      </c>
      <c r="Z21" s="74" t="e">
        <f>VLOOKUP(A21,Enforcements!$C$3:$J$40,8,0)</f>
        <v>#N/A</v>
      </c>
      <c r="AA21" s="74" t="e">
        <f>VLOOKUP(A21,Enforcements!$C$3:$J$40,3,0)</f>
        <v>#N/A</v>
      </c>
    </row>
    <row r="22" spans="1:27" s="2" customFormat="1" x14ac:dyDescent="0.25">
      <c r="A22" s="60" t="s">
        <v>311</v>
      </c>
      <c r="B22" s="60">
        <v>4029</v>
      </c>
      <c r="C22" s="60" t="s">
        <v>66</v>
      </c>
      <c r="D22" s="60" t="s">
        <v>339</v>
      </c>
      <c r="E22" s="30">
        <v>42515.24796296296</v>
      </c>
      <c r="F22" s="30">
        <v>42515.248935185184</v>
      </c>
      <c r="G22" s="38">
        <v>1</v>
      </c>
      <c r="H22" s="30" t="s">
        <v>136</v>
      </c>
      <c r="I22" s="30">
        <v>42515.274907407409</v>
      </c>
      <c r="J22" s="60">
        <v>2</v>
      </c>
      <c r="K22" s="60" t="str">
        <f t="shared" si="4"/>
        <v>4029/4030</v>
      </c>
      <c r="L22" s="60" t="str">
        <f>VLOOKUP(A22,'Trips&amp;Operators'!$C$1:$E$9999,3,FALSE)</f>
        <v>GEBRETEKLE</v>
      </c>
      <c r="M22" s="12">
        <f t="shared" si="5"/>
        <v>2.5972222225391306E-2</v>
      </c>
      <c r="N22" s="13">
        <f t="shared" si="3"/>
        <v>37.400000004563481</v>
      </c>
      <c r="O22" s="13"/>
      <c r="P22" s="13"/>
      <c r="Q22" s="61"/>
      <c r="R22" s="61"/>
      <c r="T2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05:56:04-0600',mode:absolute,to:'2016-05-25 06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2" s="73" t="str">
        <f t="shared" si="7"/>
        <v>N</v>
      </c>
      <c r="V22" s="73">
        <f t="shared" si="8"/>
        <v>1</v>
      </c>
      <c r="W22" s="73">
        <f t="shared" si="9"/>
        <v>7.5499999999999998E-2</v>
      </c>
      <c r="X22" s="73">
        <f t="shared" si="10"/>
        <v>23.3293</v>
      </c>
      <c r="Y22" s="73">
        <f t="shared" si="11"/>
        <v>23.253799999999998</v>
      </c>
      <c r="Z22" s="74">
        <f>VLOOKUP(A22,Enforcements!$C$3:$J$40,8,0)</f>
        <v>0</v>
      </c>
      <c r="AA22" s="74" t="str">
        <f>VLOOKUP(A22,Enforcements!$C$3:$J$40,3,0)</f>
        <v>PERMANENT SPEED RESTRICTION</v>
      </c>
    </row>
    <row r="23" spans="1:27" s="2" customFormat="1" x14ac:dyDescent="0.25">
      <c r="A23" s="60" t="s">
        <v>369</v>
      </c>
      <c r="B23" s="60">
        <v>4030</v>
      </c>
      <c r="C23" s="60" t="s">
        <v>66</v>
      </c>
      <c r="D23" s="60" t="s">
        <v>297</v>
      </c>
      <c r="E23" s="30">
        <v>42515.285219907404</v>
      </c>
      <c r="F23" s="30">
        <v>42515.286412037036</v>
      </c>
      <c r="G23" s="38">
        <v>1</v>
      </c>
      <c r="H23" s="30" t="s">
        <v>288</v>
      </c>
      <c r="I23" s="30">
        <v>42515.314918981479</v>
      </c>
      <c r="J23" s="60">
        <v>0</v>
      </c>
      <c r="K23" s="60" t="str">
        <f t="shared" si="4"/>
        <v>4029/4030</v>
      </c>
      <c r="L23" s="60" t="str">
        <f>VLOOKUP(A23,'Trips&amp;Operators'!$C$1:$E$9999,3,FALSE)</f>
        <v>GEBRETEKLE</v>
      </c>
      <c r="M23" s="12">
        <f t="shared" si="5"/>
        <v>2.8506944443506654E-2</v>
      </c>
      <c r="N23" s="13">
        <f t="shared" si="3"/>
        <v>41.049999998649582</v>
      </c>
      <c r="O23" s="13"/>
      <c r="P23" s="13"/>
      <c r="Q23" s="61"/>
      <c r="R23" s="61"/>
      <c r="T2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06:49:43-0600',mode:absolute,to:'2016-05-25 07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3" s="73" t="str">
        <f t="shared" si="7"/>
        <v>N</v>
      </c>
      <c r="V23" s="73">
        <f t="shared" si="8"/>
        <v>1</v>
      </c>
      <c r="W23" s="73">
        <f t="shared" si="9"/>
        <v>23.299199999999999</v>
      </c>
      <c r="X23" s="73">
        <f t="shared" si="10"/>
        <v>1.21E-2</v>
      </c>
      <c r="Y23" s="73">
        <f t="shared" si="11"/>
        <v>23.287099999999999</v>
      </c>
      <c r="Z23" s="74" t="e">
        <f>VLOOKUP(A23,Enforcements!$C$3:$J$40,8,0)</f>
        <v>#N/A</v>
      </c>
      <c r="AA23" s="74" t="e">
        <f>VLOOKUP(A23,Enforcements!$C$3:$J$40,3,0)</f>
        <v>#N/A</v>
      </c>
    </row>
    <row r="24" spans="1:27" s="2" customFormat="1" x14ac:dyDescent="0.25">
      <c r="A24" s="60" t="s">
        <v>370</v>
      </c>
      <c r="B24" s="60">
        <v>4031</v>
      </c>
      <c r="C24" s="60" t="s">
        <v>66</v>
      </c>
      <c r="D24" s="60" t="s">
        <v>120</v>
      </c>
      <c r="E24" s="30">
        <v>42515.256504629629</v>
      </c>
      <c r="F24" s="30">
        <v>42515.257418981484</v>
      </c>
      <c r="G24" s="38">
        <v>1</v>
      </c>
      <c r="H24" s="30" t="s">
        <v>76</v>
      </c>
      <c r="I24" s="30">
        <v>42515.28533564815</v>
      </c>
      <c r="J24" s="60">
        <v>0</v>
      </c>
      <c r="K24" s="60" t="str">
        <f t="shared" si="4"/>
        <v>4031/4032</v>
      </c>
      <c r="L24" s="60" t="str">
        <f>VLOOKUP(A24,'Trips&amp;Operators'!$C$1:$E$9999,3,FALSE)</f>
        <v>COOLAHAN</v>
      </c>
      <c r="M24" s="12">
        <f t="shared" si="5"/>
        <v>2.7916666665987577E-2</v>
      </c>
      <c r="N24" s="13">
        <f t="shared" si="3"/>
        <v>40.199999999022111</v>
      </c>
      <c r="O24" s="13"/>
      <c r="P24" s="13"/>
      <c r="Q24" s="61"/>
      <c r="R24" s="61"/>
      <c r="T2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06:08:22-0600',mode:absolute,to:'2016-05-25 06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4" s="73" t="str">
        <f t="shared" si="7"/>
        <v>N</v>
      </c>
      <c r="V24" s="73">
        <f t="shared" si="8"/>
        <v>1</v>
      </c>
      <c r="W24" s="73">
        <f t="shared" si="9"/>
        <v>4.5999999999999999E-2</v>
      </c>
      <c r="X24" s="73">
        <f t="shared" si="10"/>
        <v>23.3308</v>
      </c>
      <c r="Y24" s="73">
        <f t="shared" si="11"/>
        <v>23.284800000000001</v>
      </c>
      <c r="Z24" s="74" t="e">
        <f>VLOOKUP(A24,Enforcements!$C$3:$J$40,8,0)</f>
        <v>#N/A</v>
      </c>
      <c r="AA24" s="74" t="e">
        <f>VLOOKUP(A24,Enforcements!$C$3:$J$40,3,0)</f>
        <v>#N/A</v>
      </c>
    </row>
    <row r="25" spans="1:27" s="2" customFormat="1" x14ac:dyDescent="0.25">
      <c r="A25" s="60" t="s">
        <v>371</v>
      </c>
      <c r="B25" s="60">
        <v>4032</v>
      </c>
      <c r="C25" s="60" t="s">
        <v>66</v>
      </c>
      <c r="D25" s="60" t="s">
        <v>267</v>
      </c>
      <c r="E25" s="30">
        <v>42515.292500000003</v>
      </c>
      <c r="F25" s="30">
        <v>42515.293414351851</v>
      </c>
      <c r="G25" s="38">
        <v>1</v>
      </c>
      <c r="H25" s="30" t="s">
        <v>95</v>
      </c>
      <c r="I25" s="30">
        <v>42515.324976851851</v>
      </c>
      <c r="J25" s="60">
        <v>0</v>
      </c>
      <c r="K25" s="60" t="str">
        <f t="shared" si="4"/>
        <v>4031/4032</v>
      </c>
      <c r="L25" s="60" t="str">
        <f>VLOOKUP(A25,'Trips&amp;Operators'!$C$1:$E$9999,3,FALSE)</f>
        <v>COOLAHAN</v>
      </c>
      <c r="M25" s="12">
        <f t="shared" si="5"/>
        <v>3.1562500000291038E-2</v>
      </c>
      <c r="N25" s="13">
        <f t="shared" si="3"/>
        <v>45.450000000419095</v>
      </c>
      <c r="O25" s="13"/>
      <c r="P25" s="13"/>
      <c r="Q25" s="61"/>
      <c r="R25" s="61"/>
      <c r="T2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07:00:12-0600',mode:absolute,to:'2016-05-25 07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5" s="73" t="str">
        <f t="shared" si="7"/>
        <v>N</v>
      </c>
      <c r="V25" s="73">
        <f t="shared" si="8"/>
        <v>1</v>
      </c>
      <c r="W25" s="73">
        <f t="shared" si="9"/>
        <v>23.299099999999999</v>
      </c>
      <c r="X25" s="73">
        <f t="shared" si="10"/>
        <v>1.47E-2</v>
      </c>
      <c r="Y25" s="73">
        <f t="shared" si="11"/>
        <v>23.284399999999998</v>
      </c>
      <c r="Z25" s="74" t="e">
        <f>VLOOKUP(A25,Enforcements!$C$3:$J$40,8,0)</f>
        <v>#N/A</v>
      </c>
      <c r="AA25" s="74" t="e">
        <f>VLOOKUP(A25,Enforcements!$C$3:$J$40,3,0)</f>
        <v>#N/A</v>
      </c>
    </row>
    <row r="26" spans="1:27" s="2" customFormat="1" x14ac:dyDescent="0.25">
      <c r="A26" s="60" t="s">
        <v>372</v>
      </c>
      <c r="B26" s="60">
        <v>4009</v>
      </c>
      <c r="C26" s="60" t="s">
        <v>66</v>
      </c>
      <c r="D26" s="60" t="s">
        <v>257</v>
      </c>
      <c r="E26" s="30">
        <v>42515.267407407409</v>
      </c>
      <c r="F26" s="30">
        <v>42515.268391203703</v>
      </c>
      <c r="G26" s="38">
        <v>1</v>
      </c>
      <c r="H26" s="30" t="s">
        <v>292</v>
      </c>
      <c r="I26" s="30">
        <v>42515.295474537037</v>
      </c>
      <c r="J26" s="60">
        <v>0</v>
      </c>
      <c r="K26" s="60" t="str">
        <f t="shared" si="4"/>
        <v>4009/4010</v>
      </c>
      <c r="L26" s="60" t="str">
        <f>VLOOKUP(A26,'Trips&amp;Operators'!$C$1:$E$9999,3,FALSE)</f>
        <v>ACKERMAN</v>
      </c>
      <c r="M26" s="12">
        <f t="shared" si="5"/>
        <v>2.7083333334303461E-2</v>
      </c>
      <c r="N26" s="13">
        <f t="shared" si="3"/>
        <v>39.000000001396984</v>
      </c>
      <c r="O26" s="13"/>
      <c r="P26" s="13"/>
      <c r="Q26" s="61"/>
      <c r="R26" s="61"/>
      <c r="T2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06:24:04-0600',mode:absolute,to:'2016-05-25 07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6" s="73" t="str">
        <f t="shared" si="7"/>
        <v>N</v>
      </c>
      <c r="V26" s="73">
        <f t="shared" si="8"/>
        <v>1</v>
      </c>
      <c r="W26" s="73">
        <f t="shared" si="9"/>
        <v>4.7100000000000003E-2</v>
      </c>
      <c r="X26" s="73">
        <f t="shared" si="10"/>
        <v>23.328800000000001</v>
      </c>
      <c r="Y26" s="73">
        <f t="shared" si="11"/>
        <v>23.281700000000001</v>
      </c>
      <c r="Z26" s="74" t="e">
        <f>VLOOKUP(A26,Enforcements!$C$3:$J$40,8,0)</f>
        <v>#N/A</v>
      </c>
      <c r="AA26" s="74" t="e">
        <f>VLOOKUP(A26,Enforcements!$C$3:$J$40,3,0)</f>
        <v>#N/A</v>
      </c>
    </row>
    <row r="27" spans="1:27" s="2" customFormat="1" x14ac:dyDescent="0.25">
      <c r="A27" s="60" t="s">
        <v>373</v>
      </c>
      <c r="B27" s="60">
        <v>4010</v>
      </c>
      <c r="C27" s="60" t="s">
        <v>66</v>
      </c>
      <c r="D27" s="60" t="s">
        <v>300</v>
      </c>
      <c r="E27" s="30">
        <v>42515.304259259261</v>
      </c>
      <c r="F27" s="30">
        <v>42515.304988425924</v>
      </c>
      <c r="G27" s="38">
        <v>1</v>
      </c>
      <c r="H27" s="30" t="s">
        <v>80</v>
      </c>
      <c r="I27" s="30">
        <v>42515.336273148147</v>
      </c>
      <c r="J27" s="60">
        <v>0</v>
      </c>
      <c r="K27" s="60" t="str">
        <f t="shared" si="4"/>
        <v>4009/4010</v>
      </c>
      <c r="L27" s="60" t="str">
        <f>VLOOKUP(A27,'Trips&amp;Operators'!$C$1:$E$9999,3,FALSE)</f>
        <v>ACKERMAN</v>
      </c>
      <c r="M27" s="12">
        <f t="shared" si="5"/>
        <v>3.1284722223063E-2</v>
      </c>
      <c r="N27" s="13">
        <f t="shared" si="3"/>
        <v>45.050000001210719</v>
      </c>
      <c r="O27" s="13"/>
      <c r="P27" s="13"/>
      <c r="Q27" s="61"/>
      <c r="R27" s="61"/>
      <c r="T2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07:17:08-0600',mode:absolute,to:'2016-05-25 08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7" s="73" t="str">
        <f t="shared" si="7"/>
        <v>N</v>
      </c>
      <c r="V27" s="73">
        <f t="shared" si="8"/>
        <v>1</v>
      </c>
      <c r="W27" s="73">
        <f t="shared" si="9"/>
        <v>23.2971</v>
      </c>
      <c r="X27" s="73">
        <f t="shared" si="10"/>
        <v>1.52E-2</v>
      </c>
      <c r="Y27" s="73">
        <f t="shared" si="11"/>
        <v>23.2819</v>
      </c>
      <c r="Z27" s="74" t="e">
        <f>VLOOKUP(A27,Enforcements!$C$3:$J$40,8,0)</f>
        <v>#N/A</v>
      </c>
      <c r="AA27" s="74" t="e">
        <f>VLOOKUP(A27,Enforcements!$C$3:$J$40,3,0)</f>
        <v>#N/A</v>
      </c>
    </row>
    <row r="28" spans="1:27" s="2" customFormat="1" x14ac:dyDescent="0.25">
      <c r="A28" s="60" t="s">
        <v>313</v>
      </c>
      <c r="B28" s="60">
        <v>4007</v>
      </c>
      <c r="C28" s="60" t="s">
        <v>66</v>
      </c>
      <c r="D28" s="60" t="s">
        <v>269</v>
      </c>
      <c r="E28" s="30">
        <v>42515.275069444448</v>
      </c>
      <c r="F28" s="30">
        <v>42515.276689814818</v>
      </c>
      <c r="G28" s="38">
        <v>2</v>
      </c>
      <c r="H28" s="30" t="s">
        <v>94</v>
      </c>
      <c r="I28" s="30">
        <v>42515.30605324074</v>
      </c>
      <c r="J28" s="60">
        <v>1</v>
      </c>
      <c r="K28" s="60" t="str">
        <f t="shared" si="4"/>
        <v>4007/4008</v>
      </c>
      <c r="L28" s="60" t="str">
        <f>VLOOKUP(A28,'Trips&amp;Operators'!$C$1:$E$9999,3,FALSE)</f>
        <v>BRANNON</v>
      </c>
      <c r="M28" s="12">
        <f t="shared" si="5"/>
        <v>2.9363425921474118E-2</v>
      </c>
      <c r="N28" s="13">
        <f t="shared" si="3"/>
        <v>42.28333332692273</v>
      </c>
      <c r="O28" s="13"/>
      <c r="P28" s="13"/>
      <c r="Q28" s="61"/>
      <c r="R28" s="61"/>
      <c r="T2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06:35:06-0600',mode:absolute,to:'2016-05-25 07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8" s="73" t="str">
        <f t="shared" si="7"/>
        <v>N</v>
      </c>
      <c r="V28" s="73">
        <f t="shared" si="8"/>
        <v>1</v>
      </c>
      <c r="W28" s="73">
        <f t="shared" si="9"/>
        <v>4.8000000000000001E-2</v>
      </c>
      <c r="X28" s="73">
        <f t="shared" si="10"/>
        <v>23.331499999999998</v>
      </c>
      <c r="Y28" s="73">
        <f t="shared" si="11"/>
        <v>23.2835</v>
      </c>
      <c r="Z28" s="74">
        <f>VLOOKUP(A28,Enforcements!$C$3:$J$40,8,0)</f>
        <v>233491</v>
      </c>
      <c r="AA28" s="74" t="str">
        <f>VLOOKUP(A28,Enforcements!$C$3:$J$40,3,0)</f>
        <v>TRACK WARRANT AUTHORITY</v>
      </c>
    </row>
    <row r="29" spans="1:27" s="2" customFormat="1" x14ac:dyDescent="0.25">
      <c r="A29" s="60" t="s">
        <v>374</v>
      </c>
      <c r="B29" s="60">
        <v>4008</v>
      </c>
      <c r="C29" s="60" t="s">
        <v>66</v>
      </c>
      <c r="D29" s="60" t="s">
        <v>142</v>
      </c>
      <c r="E29" s="30">
        <v>42515.318159722221</v>
      </c>
      <c r="F29" s="30">
        <v>42515.31890046296</v>
      </c>
      <c r="G29" s="38">
        <v>1</v>
      </c>
      <c r="H29" s="30" t="s">
        <v>303</v>
      </c>
      <c r="I29" s="30">
        <v>42515.345486111109</v>
      </c>
      <c r="J29" s="60">
        <v>0</v>
      </c>
      <c r="K29" s="60" t="str">
        <f t="shared" si="4"/>
        <v>4007/4008</v>
      </c>
      <c r="L29" s="60" t="str">
        <f>VLOOKUP(A29,'Trips&amp;Operators'!$C$1:$E$9999,3,FALSE)</f>
        <v>BRANNON</v>
      </c>
      <c r="M29" s="12">
        <f t="shared" si="5"/>
        <v>2.658564814919373E-2</v>
      </c>
      <c r="N29" s="13">
        <f t="shared" si="3"/>
        <v>38.283333334838971</v>
      </c>
      <c r="O29" s="13"/>
      <c r="P29" s="13"/>
      <c r="Q29" s="61"/>
      <c r="R29" s="61"/>
      <c r="T2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07:37:09-0600',mode:absolute,to:'2016-05-25 08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9" s="73" t="str">
        <f t="shared" si="7"/>
        <v>N</v>
      </c>
      <c r="V29" s="73">
        <f t="shared" si="8"/>
        <v>1</v>
      </c>
      <c r="W29" s="73">
        <f t="shared" si="9"/>
        <v>23.297699999999999</v>
      </c>
      <c r="X29" s="73">
        <f t="shared" si="10"/>
        <v>1.3899999999999999E-2</v>
      </c>
      <c r="Y29" s="73">
        <f t="shared" si="11"/>
        <v>23.283799999999999</v>
      </c>
      <c r="Z29" s="74" t="e">
        <f>VLOOKUP(A29,Enforcements!$C$3:$J$40,8,0)</f>
        <v>#N/A</v>
      </c>
      <c r="AA29" s="74" t="e">
        <f>VLOOKUP(A29,Enforcements!$C$3:$J$40,3,0)</f>
        <v>#N/A</v>
      </c>
    </row>
    <row r="30" spans="1:27" s="2" customFormat="1" x14ac:dyDescent="0.25">
      <c r="A30" s="60" t="s">
        <v>314</v>
      </c>
      <c r="B30" s="60">
        <v>4020</v>
      </c>
      <c r="C30" s="60" t="s">
        <v>66</v>
      </c>
      <c r="D30" s="60" t="s">
        <v>375</v>
      </c>
      <c r="E30" s="30">
        <v>42515.285844907405</v>
      </c>
      <c r="F30" s="30">
        <v>42515.28701388889</v>
      </c>
      <c r="G30" s="38">
        <v>1</v>
      </c>
      <c r="H30" s="30" t="s">
        <v>293</v>
      </c>
      <c r="I30" s="30">
        <v>42515.317870370367</v>
      </c>
      <c r="J30" s="60">
        <v>1</v>
      </c>
      <c r="K30" s="60" t="str">
        <f t="shared" si="4"/>
        <v>4019/4020</v>
      </c>
      <c r="L30" s="60" t="str">
        <f>VLOOKUP(A30,'Trips&amp;Operators'!$C$1:$E$9999,3,FALSE)</f>
        <v>LEDERHAUSE</v>
      </c>
      <c r="M30" s="12">
        <f t="shared" si="5"/>
        <v>3.085648147680331E-2</v>
      </c>
      <c r="N30" s="13">
        <f t="shared" si="3"/>
        <v>44.433333326596767</v>
      </c>
      <c r="O30" s="13"/>
      <c r="P30" s="13"/>
      <c r="Q30" s="61"/>
      <c r="R30" s="61"/>
      <c r="T3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06:50:37-0600',mode:absolute,to:'2016-05-25 07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0" s="73" t="str">
        <f t="shared" si="7"/>
        <v>N</v>
      </c>
      <c r="V30" s="73">
        <f t="shared" si="8"/>
        <v>1</v>
      </c>
      <c r="W30" s="73">
        <f t="shared" si="9"/>
        <v>4.53E-2</v>
      </c>
      <c r="X30" s="73">
        <f t="shared" si="10"/>
        <v>23.331099999999999</v>
      </c>
      <c r="Y30" s="73">
        <f t="shared" si="11"/>
        <v>23.285799999999998</v>
      </c>
      <c r="Z30" s="74">
        <f>VLOOKUP(A30,Enforcements!$C$3:$J$40,8,0)</f>
        <v>144300</v>
      </c>
      <c r="AA30" s="74" t="str">
        <f>VLOOKUP(A30,Enforcements!$C$3:$J$40,3,0)</f>
        <v>SIGNAL</v>
      </c>
    </row>
    <row r="31" spans="1:27" s="2" customFormat="1" x14ac:dyDescent="0.25">
      <c r="A31" s="60" t="s">
        <v>376</v>
      </c>
      <c r="B31" s="60">
        <v>4019</v>
      </c>
      <c r="C31" s="60" t="s">
        <v>66</v>
      </c>
      <c r="D31" s="60" t="s">
        <v>111</v>
      </c>
      <c r="E31" s="30">
        <v>42515.326620370368</v>
      </c>
      <c r="F31" s="30">
        <v>42515.327638888892</v>
      </c>
      <c r="G31" s="38">
        <v>1</v>
      </c>
      <c r="H31" s="30" t="s">
        <v>99</v>
      </c>
      <c r="I31" s="30">
        <v>42515.356956018521</v>
      </c>
      <c r="J31" s="60">
        <v>0</v>
      </c>
      <c r="K31" s="60" t="str">
        <f t="shared" si="4"/>
        <v>4019/4020</v>
      </c>
      <c r="L31" s="60" t="str">
        <f>VLOOKUP(A31,'Trips&amp;Operators'!$C$1:$E$9999,3,FALSE)</f>
        <v>LEDERHAUSE</v>
      </c>
      <c r="M31" s="12">
        <f t="shared" si="5"/>
        <v>2.9317129628907423E-2</v>
      </c>
      <c r="N31" s="13">
        <f t="shared" si="3"/>
        <v>42.21666666562669</v>
      </c>
      <c r="O31" s="13"/>
      <c r="P31" s="13"/>
      <c r="Q31" s="61"/>
      <c r="R31" s="61"/>
      <c r="T3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07:49:20-0600',mode:absolute,to:'2016-05-25 08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1" s="73" t="str">
        <f t="shared" si="7"/>
        <v>N</v>
      </c>
      <c r="V31" s="73">
        <f t="shared" si="8"/>
        <v>1</v>
      </c>
      <c r="W31" s="73">
        <f t="shared" si="9"/>
        <v>23.2973</v>
      </c>
      <c r="X31" s="73">
        <f t="shared" si="10"/>
        <v>1.5800000000000002E-2</v>
      </c>
      <c r="Y31" s="73">
        <f t="shared" si="11"/>
        <v>23.281500000000001</v>
      </c>
      <c r="Z31" s="74" t="e">
        <f>VLOOKUP(A31,Enforcements!$C$3:$J$40,8,0)</f>
        <v>#N/A</v>
      </c>
      <c r="AA31" s="74" t="e">
        <f>VLOOKUP(A31,Enforcements!$C$3:$J$40,3,0)</f>
        <v>#N/A</v>
      </c>
    </row>
    <row r="32" spans="1:27" s="2" customFormat="1" x14ac:dyDescent="0.25">
      <c r="A32" s="60" t="s">
        <v>377</v>
      </c>
      <c r="B32" s="60">
        <v>4040</v>
      </c>
      <c r="C32" s="60" t="s">
        <v>66</v>
      </c>
      <c r="D32" s="60" t="s">
        <v>378</v>
      </c>
      <c r="E32" s="30">
        <v>42515.305937500001</v>
      </c>
      <c r="F32" s="30">
        <v>42515.306805555556</v>
      </c>
      <c r="G32" s="38">
        <v>1</v>
      </c>
      <c r="H32" s="30" t="s">
        <v>138</v>
      </c>
      <c r="I32" s="30">
        <v>42515.327604166669</v>
      </c>
      <c r="J32" s="60">
        <v>0</v>
      </c>
      <c r="K32" s="60" t="str">
        <f t="shared" si="4"/>
        <v>4039/4040</v>
      </c>
      <c r="L32" s="60" t="str">
        <f>VLOOKUP(A32,'Trips&amp;Operators'!$C$1:$E$9999,3,FALSE)</f>
        <v>ROCHA</v>
      </c>
      <c r="M32" s="12">
        <f t="shared" si="5"/>
        <v>2.0798611112695653E-2</v>
      </c>
      <c r="N32" s="13"/>
      <c r="O32" s="13"/>
      <c r="P32" s="13">
        <f>24*60*SUM($M32:$M33)</f>
        <v>37.133333338424563</v>
      </c>
      <c r="Q32" s="61" t="s">
        <v>274</v>
      </c>
      <c r="R32" s="61" t="s">
        <v>598</v>
      </c>
      <c r="T3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07:19:33-0600',mode:absolute,to:'2016-05-25 07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2" s="73" t="str">
        <f t="shared" si="7"/>
        <v>Y</v>
      </c>
      <c r="V32" s="73">
        <f t="shared" si="8"/>
        <v>1</v>
      </c>
      <c r="W32" s="73">
        <f t="shared" si="9"/>
        <v>1.913</v>
      </c>
      <c r="X32" s="73">
        <f t="shared" si="10"/>
        <v>23.331399999999999</v>
      </c>
      <c r="Y32" s="73">
        <f t="shared" si="11"/>
        <v>21.418399999999998</v>
      </c>
      <c r="Z32" s="74" t="e">
        <f>VLOOKUP(A32,Enforcements!$C$3:$J$40,8,0)</f>
        <v>#N/A</v>
      </c>
      <c r="AA32" s="74" t="e">
        <f>VLOOKUP(A32,Enforcements!$C$3:$J$40,3,0)</f>
        <v>#N/A</v>
      </c>
    </row>
    <row r="33" spans="1:27" s="2" customFormat="1" x14ac:dyDescent="0.25">
      <c r="A33" s="60" t="s">
        <v>377</v>
      </c>
      <c r="B33" s="60">
        <v>4040</v>
      </c>
      <c r="C33" s="60" t="s">
        <v>66</v>
      </c>
      <c r="D33" s="60" t="s">
        <v>379</v>
      </c>
      <c r="E33" s="30">
        <v>42515.297118055554</v>
      </c>
      <c r="F33" s="30">
        <v>42515.298125000001</v>
      </c>
      <c r="G33" s="38">
        <v>1</v>
      </c>
      <c r="H33" s="30" t="s">
        <v>380</v>
      </c>
      <c r="I33" s="30">
        <v>42515.303113425929</v>
      </c>
      <c r="J33" s="60">
        <v>0</v>
      </c>
      <c r="K33" s="60" t="str">
        <f t="shared" si="4"/>
        <v>4039/4040</v>
      </c>
      <c r="L33" s="60" t="str">
        <f>VLOOKUP(A33,'Trips&amp;Operators'!$C$1:$E$9999,3,FALSE)</f>
        <v>ROCHA</v>
      </c>
      <c r="M33" s="12">
        <f t="shared" si="5"/>
        <v>4.9884259278769605E-3</v>
      </c>
      <c r="N33" s="13"/>
      <c r="O33" s="13"/>
      <c r="P33" s="13"/>
      <c r="Q33" s="61"/>
      <c r="R33" s="61"/>
      <c r="T3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07:06:51-0600',mode:absolute,to:'2016-05-25 07:17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3" s="73" t="str">
        <f t="shared" si="7"/>
        <v>Y</v>
      </c>
      <c r="V33" s="73">
        <f t="shared" si="8"/>
        <v>0</v>
      </c>
      <c r="W33" s="73">
        <f t="shared" si="9"/>
        <v>4.8599999999999997E-2</v>
      </c>
      <c r="X33" s="73">
        <f t="shared" si="10"/>
        <v>0.1111</v>
      </c>
      <c r="Y33" s="73">
        <f t="shared" si="11"/>
        <v>6.25E-2</v>
      </c>
      <c r="Z33" s="74" t="e">
        <f>VLOOKUP(A33,Enforcements!$C$3:$J$40,8,0)</f>
        <v>#N/A</v>
      </c>
      <c r="AA33" s="74" t="e">
        <f>VLOOKUP(A33,Enforcements!$C$3:$J$40,3,0)</f>
        <v>#N/A</v>
      </c>
    </row>
    <row r="34" spans="1:27" s="2" customFormat="1" x14ac:dyDescent="0.25">
      <c r="A34" s="60" t="s">
        <v>381</v>
      </c>
      <c r="B34" s="60">
        <v>4039</v>
      </c>
      <c r="C34" s="60" t="s">
        <v>66</v>
      </c>
      <c r="D34" s="60" t="s">
        <v>382</v>
      </c>
      <c r="E34" s="30">
        <v>42515.33861111111</v>
      </c>
      <c r="F34" s="30">
        <v>42515.33934027778</v>
      </c>
      <c r="G34" s="38">
        <v>1</v>
      </c>
      <c r="H34" s="30" t="s">
        <v>73</v>
      </c>
      <c r="I34" s="30">
        <v>42515.366053240738</v>
      </c>
      <c r="J34" s="60">
        <v>0</v>
      </c>
      <c r="K34" s="60" t="str">
        <f t="shared" si="4"/>
        <v>4039/4040</v>
      </c>
      <c r="L34" s="60" t="str">
        <f>VLOOKUP(A34,'Trips&amp;Operators'!$C$1:$E$9999,3,FALSE)</f>
        <v>ROCHA</v>
      </c>
      <c r="M34" s="12">
        <f t="shared" si="5"/>
        <v>2.6712962957390118E-2</v>
      </c>
      <c r="N34" s="13">
        <f t="shared" si="3"/>
        <v>38.46666665864177</v>
      </c>
      <c r="O34" s="13"/>
      <c r="P34" s="13"/>
      <c r="Q34" s="61"/>
      <c r="R34" s="61"/>
      <c r="T3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08:06:36-0600',mode:absolute,to:'2016-05-25 08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4" s="73" t="str">
        <f t="shared" si="7"/>
        <v>N</v>
      </c>
      <c r="V34" s="73">
        <f t="shared" si="8"/>
        <v>1</v>
      </c>
      <c r="W34" s="73">
        <f t="shared" si="9"/>
        <v>23.299800000000001</v>
      </c>
      <c r="X34" s="73">
        <f t="shared" si="10"/>
        <v>1.4500000000000001E-2</v>
      </c>
      <c r="Y34" s="73">
        <f t="shared" si="11"/>
        <v>23.285299999999999</v>
      </c>
      <c r="Z34" s="74" t="e">
        <f>VLOOKUP(A34,Enforcements!$C$3:$J$40,8,0)</f>
        <v>#N/A</v>
      </c>
      <c r="AA34" s="74" t="e">
        <f>VLOOKUP(A34,Enforcements!$C$3:$J$40,3,0)</f>
        <v>#N/A</v>
      </c>
    </row>
    <row r="35" spans="1:27" s="2" customFormat="1" x14ac:dyDescent="0.25">
      <c r="A35" s="60" t="s">
        <v>383</v>
      </c>
      <c r="B35" s="60">
        <v>4038</v>
      </c>
      <c r="C35" s="60" t="s">
        <v>66</v>
      </c>
      <c r="D35" s="60" t="s">
        <v>120</v>
      </c>
      <c r="E35" s="30">
        <v>42515.309016203704</v>
      </c>
      <c r="F35" s="30">
        <v>42515.309895833336</v>
      </c>
      <c r="G35" s="38">
        <v>1</v>
      </c>
      <c r="H35" s="30" t="s">
        <v>138</v>
      </c>
      <c r="I35" s="30">
        <v>42515.337256944447</v>
      </c>
      <c r="J35" s="60">
        <v>0</v>
      </c>
      <c r="K35" s="60" t="str">
        <f t="shared" si="4"/>
        <v>4037/4038</v>
      </c>
      <c r="L35" s="60" t="str">
        <f>VLOOKUP(A35,'Trips&amp;Operators'!$C$1:$E$9999,3,FALSE)</f>
        <v>YANAI</v>
      </c>
      <c r="M35" s="12">
        <f t="shared" si="5"/>
        <v>2.73611111115315E-2</v>
      </c>
      <c r="N35" s="13">
        <f t="shared" si="3"/>
        <v>39.40000000060536</v>
      </c>
      <c r="O35" s="13"/>
      <c r="P35" s="13"/>
      <c r="Q35" s="61"/>
      <c r="R35" s="61"/>
      <c r="T3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07:23:59-0600',mode:absolute,to:'2016-05-25 08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5" s="73" t="str">
        <f t="shared" si="7"/>
        <v>N</v>
      </c>
      <c r="V35" s="73">
        <f t="shared" si="8"/>
        <v>1</v>
      </c>
      <c r="W35" s="73">
        <f t="shared" si="9"/>
        <v>4.5999999999999999E-2</v>
      </c>
      <c r="X35" s="73">
        <f t="shared" si="10"/>
        <v>23.331399999999999</v>
      </c>
      <c r="Y35" s="73">
        <f t="shared" si="11"/>
        <v>23.285399999999999</v>
      </c>
      <c r="Z35" s="74" t="e">
        <f>VLOOKUP(A35,Enforcements!$C$3:$J$40,8,0)</f>
        <v>#N/A</v>
      </c>
      <c r="AA35" s="74" t="e">
        <f>VLOOKUP(A35,Enforcements!$C$3:$J$40,3,0)</f>
        <v>#N/A</v>
      </c>
    </row>
    <row r="36" spans="1:27" s="2" customFormat="1" x14ac:dyDescent="0.25">
      <c r="A36" s="60" t="s">
        <v>384</v>
      </c>
      <c r="B36" s="60">
        <v>4037</v>
      </c>
      <c r="C36" s="60" t="s">
        <v>66</v>
      </c>
      <c r="D36" s="60" t="s">
        <v>296</v>
      </c>
      <c r="E36" s="30">
        <v>42515.348402777781</v>
      </c>
      <c r="F36" s="30">
        <v>42515.349328703705</v>
      </c>
      <c r="G36" s="38">
        <v>1</v>
      </c>
      <c r="H36" s="30" t="s">
        <v>361</v>
      </c>
      <c r="I36" s="30">
        <v>42515.376562500001</v>
      </c>
      <c r="J36" s="60">
        <v>0</v>
      </c>
      <c r="K36" s="60" t="str">
        <f t="shared" si="4"/>
        <v>4037/4038</v>
      </c>
      <c r="L36" s="60" t="str">
        <f>VLOOKUP(A36,'Trips&amp;Operators'!$C$1:$E$9999,3,FALSE)</f>
        <v>YANAI</v>
      </c>
      <c r="M36" s="12">
        <f t="shared" si="5"/>
        <v>2.7233796296059154E-2</v>
      </c>
      <c r="N36" s="13">
        <f t="shared" si="3"/>
        <v>39.216666666325182</v>
      </c>
      <c r="O36" s="13"/>
      <c r="P36" s="13"/>
      <c r="Q36" s="61"/>
      <c r="R36" s="61"/>
      <c r="T3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08:20:42-0600',mode:absolute,to:'2016-05-25 09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6" s="73" t="str">
        <f t="shared" si="7"/>
        <v>N</v>
      </c>
      <c r="V36" s="73">
        <f t="shared" si="8"/>
        <v>1</v>
      </c>
      <c r="W36" s="73">
        <f t="shared" si="9"/>
        <v>23.2986</v>
      </c>
      <c r="X36" s="73">
        <f t="shared" si="10"/>
        <v>1.38E-2</v>
      </c>
      <c r="Y36" s="73">
        <f t="shared" si="11"/>
        <v>23.284800000000001</v>
      </c>
      <c r="Z36" s="74" t="e">
        <f>VLOOKUP(A36,Enforcements!$C$3:$J$40,8,0)</f>
        <v>#N/A</v>
      </c>
      <c r="AA36" s="74" t="e">
        <f>VLOOKUP(A36,Enforcements!$C$3:$J$40,3,0)</f>
        <v>#N/A</v>
      </c>
    </row>
    <row r="37" spans="1:27" s="2" customFormat="1" x14ac:dyDescent="0.25">
      <c r="A37" s="60" t="s">
        <v>385</v>
      </c>
      <c r="B37" s="60">
        <v>4029</v>
      </c>
      <c r="C37" s="60" t="s">
        <v>66</v>
      </c>
      <c r="D37" s="60" t="s">
        <v>386</v>
      </c>
      <c r="E37" s="30">
        <v>42515.319780092592</v>
      </c>
      <c r="F37" s="30">
        <v>42515.320671296293</v>
      </c>
      <c r="G37" s="38">
        <v>1</v>
      </c>
      <c r="H37" s="30" t="s">
        <v>387</v>
      </c>
      <c r="I37" s="30">
        <v>42515.347824074073</v>
      </c>
      <c r="J37" s="60">
        <v>0</v>
      </c>
      <c r="K37" s="60" t="str">
        <f t="shared" si="4"/>
        <v>4029/4030</v>
      </c>
      <c r="L37" s="60" t="str">
        <f>VLOOKUP(A37,'Trips&amp;Operators'!$C$1:$E$9999,3,FALSE)</f>
        <v>GEBRETEKLE</v>
      </c>
      <c r="M37" s="12">
        <f t="shared" si="5"/>
        <v>2.715277778042946E-2</v>
      </c>
      <c r="N37" s="13">
        <f t="shared" si="3"/>
        <v>39.100000003818423</v>
      </c>
      <c r="O37" s="13"/>
      <c r="P37" s="13"/>
      <c r="Q37" s="61"/>
      <c r="R37" s="61"/>
      <c r="T3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07:39:29-0600',mode:absolute,to:'2016-05-25 08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7" s="73" t="str">
        <f t="shared" si="7"/>
        <v>N</v>
      </c>
      <c r="V37" s="73">
        <f t="shared" si="8"/>
        <v>1</v>
      </c>
      <c r="W37" s="73">
        <f t="shared" si="9"/>
        <v>4.2900000000000001E-2</v>
      </c>
      <c r="X37" s="73">
        <f t="shared" si="10"/>
        <v>23.332699999999999</v>
      </c>
      <c r="Y37" s="73">
        <f t="shared" si="11"/>
        <v>23.2898</v>
      </c>
      <c r="Z37" s="74" t="e">
        <f>VLOOKUP(A37,Enforcements!$C$3:$J$40,8,0)</f>
        <v>#N/A</v>
      </c>
      <c r="AA37" s="74" t="e">
        <f>VLOOKUP(A37,Enforcements!$C$3:$J$40,3,0)</f>
        <v>#N/A</v>
      </c>
    </row>
    <row r="38" spans="1:27" s="2" customFormat="1" x14ac:dyDescent="0.25">
      <c r="A38" s="60" t="s">
        <v>388</v>
      </c>
      <c r="B38" s="60">
        <v>4030</v>
      </c>
      <c r="C38" s="60" t="s">
        <v>66</v>
      </c>
      <c r="D38" s="60" t="s">
        <v>389</v>
      </c>
      <c r="E38" s="30">
        <v>42515.358877314815</v>
      </c>
      <c r="F38" s="30">
        <v>42515.359803240739</v>
      </c>
      <c r="G38" s="38">
        <v>1</v>
      </c>
      <c r="H38" s="30" t="s">
        <v>119</v>
      </c>
      <c r="I38" s="30">
        <v>42515.387557870374</v>
      </c>
      <c r="J38" s="60">
        <v>0</v>
      </c>
      <c r="K38" s="60" t="str">
        <f t="shared" si="4"/>
        <v>4029/4030</v>
      </c>
      <c r="L38" s="60" t="str">
        <f>VLOOKUP(A38,'Trips&amp;Operators'!$C$1:$E$9999,3,FALSE)</f>
        <v>GEBRETEKLE</v>
      </c>
      <c r="M38" s="12">
        <f t="shared" si="5"/>
        <v>2.775462963472819E-2</v>
      </c>
      <c r="N38" s="13">
        <f t="shared" si="3"/>
        <v>39.966666674008593</v>
      </c>
      <c r="O38" s="13"/>
      <c r="P38" s="13"/>
      <c r="Q38" s="61"/>
      <c r="R38" s="61"/>
      <c r="T3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08:35:47-0600',mode:absolute,to:'2016-05-25 09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8" s="73" t="str">
        <f t="shared" si="7"/>
        <v>N</v>
      </c>
      <c r="V38" s="73">
        <f t="shared" si="8"/>
        <v>1</v>
      </c>
      <c r="W38" s="73">
        <f t="shared" si="9"/>
        <v>23.301100000000002</v>
      </c>
      <c r="X38" s="73">
        <f t="shared" si="10"/>
        <v>1.6E-2</v>
      </c>
      <c r="Y38" s="73">
        <f t="shared" si="11"/>
        <v>23.285100000000003</v>
      </c>
      <c r="Z38" s="74" t="e">
        <f>VLOOKUP(A38,Enforcements!$C$3:$J$40,8,0)</f>
        <v>#N/A</v>
      </c>
      <c r="AA38" s="74" t="e">
        <f>VLOOKUP(A38,Enforcements!$C$3:$J$40,3,0)</f>
        <v>#N/A</v>
      </c>
    </row>
    <row r="39" spans="1:27" s="2" customFormat="1" x14ac:dyDescent="0.25">
      <c r="A39" s="60" t="s">
        <v>390</v>
      </c>
      <c r="B39" s="60">
        <v>4031</v>
      </c>
      <c r="C39" s="60" t="s">
        <v>66</v>
      </c>
      <c r="D39" s="60" t="s">
        <v>305</v>
      </c>
      <c r="E39" s="30">
        <v>42515.328032407408</v>
      </c>
      <c r="F39" s="30">
        <v>42515.329293981478</v>
      </c>
      <c r="G39" s="38">
        <v>1</v>
      </c>
      <c r="H39" s="30" t="s">
        <v>260</v>
      </c>
      <c r="I39" s="30">
        <v>42515.35800925926</v>
      </c>
      <c r="J39" s="60">
        <v>0</v>
      </c>
      <c r="K39" s="60" t="str">
        <f t="shared" si="4"/>
        <v>4031/4032</v>
      </c>
      <c r="L39" s="60" t="str">
        <f>VLOOKUP(A39,'Trips&amp;Operators'!$C$1:$E$9999,3,FALSE)</f>
        <v>COOLAHAN</v>
      </c>
      <c r="M39" s="12">
        <f t="shared" si="5"/>
        <v>2.8715277781884652E-2</v>
      </c>
      <c r="N39" s="13">
        <f t="shared" si="3"/>
        <v>41.350000005913898</v>
      </c>
      <c r="O39" s="13"/>
      <c r="P39" s="13"/>
      <c r="Q39" s="61"/>
      <c r="R39" s="61"/>
      <c r="T3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07:51:22-0600',mode:absolute,to:'2016-05-25 08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9" s="73" t="str">
        <f t="shared" si="7"/>
        <v>N</v>
      </c>
      <c r="V39" s="73">
        <f t="shared" si="8"/>
        <v>1</v>
      </c>
      <c r="W39" s="73">
        <f t="shared" si="9"/>
        <v>4.4600000000000001E-2</v>
      </c>
      <c r="X39" s="73">
        <f t="shared" si="10"/>
        <v>23.330100000000002</v>
      </c>
      <c r="Y39" s="73">
        <f t="shared" si="11"/>
        <v>23.285500000000003</v>
      </c>
      <c r="Z39" s="74" t="e">
        <f>VLOOKUP(A39,Enforcements!$C$3:$J$40,8,0)</f>
        <v>#N/A</v>
      </c>
      <c r="AA39" s="74" t="e">
        <f>VLOOKUP(A39,Enforcements!$C$3:$J$40,3,0)</f>
        <v>#N/A</v>
      </c>
    </row>
    <row r="40" spans="1:27" s="2" customFormat="1" x14ac:dyDescent="0.25">
      <c r="A40" s="60" t="s">
        <v>391</v>
      </c>
      <c r="B40" s="60">
        <v>4032</v>
      </c>
      <c r="C40" s="60" t="s">
        <v>66</v>
      </c>
      <c r="D40" s="60" t="s">
        <v>297</v>
      </c>
      <c r="E40" s="30">
        <v>42515.36824074074</v>
      </c>
      <c r="F40" s="30">
        <v>42515.369398148148</v>
      </c>
      <c r="G40" s="38">
        <v>1</v>
      </c>
      <c r="H40" s="30" t="s">
        <v>392</v>
      </c>
      <c r="I40" s="30">
        <v>42515.397870370369</v>
      </c>
      <c r="J40" s="60">
        <v>0</v>
      </c>
      <c r="K40" s="60" t="str">
        <f t="shared" si="4"/>
        <v>4031/4032</v>
      </c>
      <c r="L40" s="60" t="str">
        <f>VLOOKUP(A40,'Trips&amp;Operators'!$C$1:$E$9999,3,FALSE)</f>
        <v>COOLAHAN</v>
      </c>
      <c r="M40" s="12">
        <f t="shared" si="5"/>
        <v>2.8472222220443655E-2</v>
      </c>
      <c r="N40" s="13">
        <f t="shared" si="3"/>
        <v>40.999999997438863</v>
      </c>
      <c r="O40" s="13"/>
      <c r="P40" s="13"/>
      <c r="Q40" s="61"/>
      <c r="R40" s="61"/>
      <c r="T4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08:49:16-0600',mode:absolute,to:'2016-05-25 09:33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0" s="73" t="str">
        <f t="shared" si="7"/>
        <v>N</v>
      </c>
      <c r="V40" s="73">
        <f t="shared" si="8"/>
        <v>1</v>
      </c>
      <c r="W40" s="73">
        <f t="shared" si="9"/>
        <v>23.299199999999999</v>
      </c>
      <c r="X40" s="73">
        <f t="shared" si="10"/>
        <v>2.0899999999999998E-2</v>
      </c>
      <c r="Y40" s="73">
        <f t="shared" si="11"/>
        <v>23.278299999999998</v>
      </c>
      <c r="Z40" s="74" t="e">
        <f>VLOOKUP(A40,Enforcements!$C$3:$J$40,8,0)</f>
        <v>#N/A</v>
      </c>
      <c r="AA40" s="74" t="e">
        <f>VLOOKUP(A40,Enforcements!$C$3:$J$40,3,0)</f>
        <v>#N/A</v>
      </c>
    </row>
    <row r="41" spans="1:27" s="2" customFormat="1" x14ac:dyDescent="0.25">
      <c r="A41" s="60" t="s">
        <v>393</v>
      </c>
      <c r="B41" s="60">
        <v>4009</v>
      </c>
      <c r="C41" s="60" t="s">
        <v>66</v>
      </c>
      <c r="D41" s="60" t="s">
        <v>74</v>
      </c>
      <c r="E41" s="30">
        <v>42515.338113425925</v>
      </c>
      <c r="F41" s="30">
        <v>42515.339259259257</v>
      </c>
      <c r="G41" s="38">
        <v>1</v>
      </c>
      <c r="H41" s="30" t="s">
        <v>272</v>
      </c>
      <c r="I41" s="30">
        <v>42515.368472222224</v>
      </c>
      <c r="J41" s="60">
        <v>0</v>
      </c>
      <c r="K41" s="60" t="str">
        <f t="shared" si="4"/>
        <v>4009/4010</v>
      </c>
      <c r="L41" s="60" t="str">
        <f>VLOOKUP(A41,'Trips&amp;Operators'!$C$1:$E$9999,3,FALSE)</f>
        <v>ACKERMAN</v>
      </c>
      <c r="M41" s="12">
        <f t="shared" si="5"/>
        <v>2.9212962966994382E-2</v>
      </c>
      <c r="N41" s="13">
        <f t="shared" si="3"/>
        <v>42.066666672471911</v>
      </c>
      <c r="O41" s="13"/>
      <c r="P41" s="13"/>
      <c r="Q41" s="61"/>
      <c r="R41" s="61"/>
      <c r="T4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08:05:53-0600',mode:absolute,to:'2016-05-25 08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1" s="73" t="str">
        <f t="shared" si="7"/>
        <v>N</v>
      </c>
      <c r="V41" s="73">
        <f t="shared" si="8"/>
        <v>1</v>
      </c>
      <c r="W41" s="73">
        <f t="shared" si="9"/>
        <v>4.4699999999999997E-2</v>
      </c>
      <c r="X41" s="73">
        <f t="shared" si="10"/>
        <v>23.331900000000001</v>
      </c>
      <c r="Y41" s="73">
        <f t="shared" si="11"/>
        <v>23.287200000000002</v>
      </c>
      <c r="Z41" s="74" t="e">
        <f>VLOOKUP(A41,Enforcements!$C$3:$J$40,8,0)</f>
        <v>#N/A</v>
      </c>
      <c r="AA41" s="74" t="e">
        <f>VLOOKUP(A41,Enforcements!$C$3:$J$40,3,0)</f>
        <v>#N/A</v>
      </c>
    </row>
    <row r="42" spans="1:27" s="2" customFormat="1" x14ac:dyDescent="0.25">
      <c r="A42" s="60" t="s">
        <v>315</v>
      </c>
      <c r="B42" s="60">
        <v>4010</v>
      </c>
      <c r="C42" s="60" t="s">
        <v>66</v>
      </c>
      <c r="D42" s="60" t="s">
        <v>267</v>
      </c>
      <c r="E42" s="30">
        <v>42515.374224537038</v>
      </c>
      <c r="F42" s="30">
        <v>42515.375081018516</v>
      </c>
      <c r="G42" s="38">
        <v>1</v>
      </c>
      <c r="H42" s="30" t="s">
        <v>71</v>
      </c>
      <c r="I42" s="30">
        <v>42515.408935185187</v>
      </c>
      <c r="J42" s="60">
        <v>1</v>
      </c>
      <c r="K42" s="60" t="str">
        <f t="shared" si="4"/>
        <v>4009/4010</v>
      </c>
      <c r="L42" s="60" t="str">
        <f>VLOOKUP(A42,'Trips&amp;Operators'!$C$1:$E$9999,3,FALSE)</f>
        <v>ACKERMAN</v>
      </c>
      <c r="M42" s="12">
        <f t="shared" si="5"/>
        <v>3.3854166671517305E-2</v>
      </c>
      <c r="N42" s="13">
        <f t="shared" si="3"/>
        <v>48.750000006984919</v>
      </c>
      <c r="O42" s="13"/>
      <c r="P42" s="13"/>
      <c r="Q42" s="61"/>
      <c r="R42" s="61"/>
      <c r="T4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08:57:53-0600',mode:absolute,to:'2016-05-25 09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2" s="73" t="str">
        <f t="shared" si="7"/>
        <v>N</v>
      </c>
      <c r="V42" s="73">
        <f t="shared" si="8"/>
        <v>1</v>
      </c>
      <c r="W42" s="73">
        <f t="shared" si="9"/>
        <v>23.299099999999999</v>
      </c>
      <c r="X42" s="73">
        <f t="shared" si="10"/>
        <v>1.54E-2</v>
      </c>
      <c r="Y42" s="73">
        <f t="shared" si="11"/>
        <v>23.2837</v>
      </c>
      <c r="Z42" s="74">
        <f>VLOOKUP(A42,Enforcements!$C$3:$J$40,8,0)</f>
        <v>1</v>
      </c>
      <c r="AA42" s="74" t="str">
        <f>VLOOKUP(A42,Enforcements!$C$3:$J$40,3,0)</f>
        <v>TRACK WARRANT AUTHORITY</v>
      </c>
    </row>
    <row r="43" spans="1:27" s="2" customFormat="1" x14ac:dyDescent="0.25">
      <c r="A43" s="60" t="s">
        <v>394</v>
      </c>
      <c r="B43" s="60">
        <v>4007</v>
      </c>
      <c r="C43" s="60" t="s">
        <v>66</v>
      </c>
      <c r="D43" s="60" t="s">
        <v>395</v>
      </c>
      <c r="E43" s="30">
        <v>42515.357997685183</v>
      </c>
      <c r="F43" s="30">
        <v>42515.358541666668</v>
      </c>
      <c r="G43" s="38">
        <v>0</v>
      </c>
      <c r="H43" s="30" t="s">
        <v>359</v>
      </c>
      <c r="I43" s="30">
        <v>42515.37940972222</v>
      </c>
      <c r="J43" s="60">
        <v>0</v>
      </c>
      <c r="K43" s="60" t="str">
        <f t="shared" si="4"/>
        <v>4007/4008</v>
      </c>
      <c r="L43" s="60" t="str">
        <f>VLOOKUP(A43,'Trips&amp;Operators'!$C$1:$E$9999,3,FALSE)</f>
        <v>BRANNON</v>
      </c>
      <c r="M43" s="12">
        <f t="shared" si="5"/>
        <v>2.0868055551545694E-2</v>
      </c>
      <c r="N43" s="13"/>
      <c r="O43" s="13"/>
      <c r="P43" s="13">
        <f>24*60*SUM($M43:$M44)</f>
        <v>39.549999993760139</v>
      </c>
      <c r="Q43" s="61" t="s">
        <v>274</v>
      </c>
      <c r="R43" s="61" t="s">
        <v>599</v>
      </c>
      <c r="T4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08:34:31-0600',mode:absolute,to:'2016-05-25 09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3" s="73" t="str">
        <f t="shared" si="7"/>
        <v>Y</v>
      </c>
      <c r="V43" s="73">
        <f t="shared" si="8"/>
        <v>1</v>
      </c>
      <c r="W43" s="73">
        <f t="shared" si="9"/>
        <v>1.9126000000000001</v>
      </c>
      <c r="X43" s="73">
        <f t="shared" si="10"/>
        <v>23.3309</v>
      </c>
      <c r="Y43" s="73">
        <f t="shared" si="11"/>
        <v>21.418299999999999</v>
      </c>
      <c r="Z43" s="74" t="e">
        <f>VLOOKUP(A43,Enforcements!$C$3:$J$40,8,0)</f>
        <v>#N/A</v>
      </c>
      <c r="AA43" s="74" t="e">
        <f>VLOOKUP(A43,Enforcements!$C$3:$J$40,3,0)</f>
        <v>#N/A</v>
      </c>
    </row>
    <row r="44" spans="1:27" s="2" customFormat="1" x14ac:dyDescent="0.25">
      <c r="A44" s="60" t="s">
        <v>394</v>
      </c>
      <c r="B44" s="60">
        <v>4007</v>
      </c>
      <c r="C44" s="60" t="s">
        <v>66</v>
      </c>
      <c r="D44" s="60" t="s">
        <v>102</v>
      </c>
      <c r="E44" s="30">
        <v>42515.347268518519</v>
      </c>
      <c r="F44" s="30">
        <v>42515.348437499997</v>
      </c>
      <c r="G44" s="38">
        <v>1</v>
      </c>
      <c r="H44" s="30" t="s">
        <v>396</v>
      </c>
      <c r="I44" s="30">
        <v>42515.355034722219</v>
      </c>
      <c r="J44" s="60">
        <v>0</v>
      </c>
      <c r="K44" s="60" t="str">
        <f t="shared" si="4"/>
        <v>4007/4008</v>
      </c>
      <c r="L44" s="60" t="str">
        <f>VLOOKUP(A44,'Trips&amp;Operators'!$C$1:$E$9999,3,FALSE)</f>
        <v>BRANNON</v>
      </c>
      <c r="M44" s="12">
        <f t="shared" si="5"/>
        <v>6.5972222218988463E-3</v>
      </c>
      <c r="N44" s="13"/>
      <c r="O44" s="13"/>
      <c r="P44" s="13"/>
      <c r="Q44" s="61"/>
      <c r="R44" s="61"/>
      <c r="T4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08:19:04-0600',mode:absolute,to:'2016-05-25 08:32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4" s="73" t="str">
        <f t="shared" si="7"/>
        <v>Y</v>
      </c>
      <c r="V44" s="73">
        <f t="shared" si="8"/>
        <v>0</v>
      </c>
      <c r="W44" s="73">
        <f t="shared" si="9"/>
        <v>4.58E-2</v>
      </c>
      <c r="X44" s="73">
        <f t="shared" si="10"/>
        <v>9.8900000000000002E-2</v>
      </c>
      <c r="Y44" s="73">
        <f t="shared" si="11"/>
        <v>5.3100000000000001E-2</v>
      </c>
      <c r="Z44" s="74" t="e">
        <f>VLOOKUP(A44,Enforcements!$C$3:$J$40,8,0)</f>
        <v>#N/A</v>
      </c>
      <c r="AA44" s="74" t="e">
        <f>VLOOKUP(A44,Enforcements!$C$3:$J$40,3,0)</f>
        <v>#N/A</v>
      </c>
    </row>
    <row r="45" spans="1:27" s="2" customFormat="1" x14ac:dyDescent="0.25">
      <c r="A45" s="60" t="s">
        <v>397</v>
      </c>
      <c r="B45" s="60">
        <v>4008</v>
      </c>
      <c r="C45" s="60" t="s">
        <v>66</v>
      </c>
      <c r="D45" s="60" t="s">
        <v>290</v>
      </c>
      <c r="E45" s="30">
        <v>42515.389282407406</v>
      </c>
      <c r="F45" s="30">
        <v>42515.390625</v>
      </c>
      <c r="G45" s="38">
        <v>1</v>
      </c>
      <c r="H45" s="30" t="s">
        <v>95</v>
      </c>
      <c r="I45" s="30">
        <v>42515.41847222222</v>
      </c>
      <c r="J45" s="60">
        <v>0</v>
      </c>
      <c r="K45" s="60" t="str">
        <f t="shared" si="4"/>
        <v>4007/4008</v>
      </c>
      <c r="L45" s="60" t="str">
        <f>VLOOKUP(A45,'Trips&amp;Operators'!$C$1:$E$9999,3,FALSE)</f>
        <v>BRANNON</v>
      </c>
      <c r="M45" s="12">
        <f t="shared" si="5"/>
        <v>2.7847222219861578E-2</v>
      </c>
      <c r="N45" s="13">
        <f t="shared" si="3"/>
        <v>40.099999996600673</v>
      </c>
      <c r="O45" s="13"/>
      <c r="P45" s="13"/>
      <c r="Q45" s="61"/>
      <c r="R45" s="61"/>
      <c r="T4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09:19:34-0600',mode:absolute,to:'2016-05-25 10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5" s="73" t="str">
        <f t="shared" si="7"/>
        <v>N</v>
      </c>
      <c r="V45" s="73">
        <f t="shared" si="8"/>
        <v>1</v>
      </c>
      <c r="W45" s="73">
        <f t="shared" si="9"/>
        <v>23.298999999999999</v>
      </c>
      <c r="X45" s="73">
        <f t="shared" si="10"/>
        <v>1.47E-2</v>
      </c>
      <c r="Y45" s="73">
        <f t="shared" si="11"/>
        <v>23.284299999999998</v>
      </c>
      <c r="Z45" s="74" t="e">
        <f>VLOOKUP(A45,Enforcements!$C$3:$J$40,8,0)</f>
        <v>#N/A</v>
      </c>
      <c r="AA45" s="74" t="e">
        <f>VLOOKUP(A45,Enforcements!$C$3:$J$40,3,0)</f>
        <v>#N/A</v>
      </c>
    </row>
    <row r="46" spans="1:27" s="2" customFormat="1" x14ac:dyDescent="0.25">
      <c r="A46" s="60" t="s">
        <v>398</v>
      </c>
      <c r="B46" s="60">
        <v>4020</v>
      </c>
      <c r="C46" s="60" t="s">
        <v>66</v>
      </c>
      <c r="D46" s="60" t="s">
        <v>120</v>
      </c>
      <c r="E46" s="30">
        <v>42515.3596875</v>
      </c>
      <c r="F46" s="30">
        <v>42515.361076388886</v>
      </c>
      <c r="G46" s="38">
        <v>2</v>
      </c>
      <c r="H46" s="30" t="s">
        <v>117</v>
      </c>
      <c r="I46" s="30">
        <v>42515.389756944445</v>
      </c>
      <c r="J46" s="60">
        <v>0</v>
      </c>
      <c r="K46" s="60" t="str">
        <f t="shared" si="4"/>
        <v>4019/4020</v>
      </c>
      <c r="L46" s="60" t="str">
        <f>VLOOKUP(A46,'Trips&amp;Operators'!$C$1:$E$9999,3,FALSE)</f>
        <v>LEDERHAUSE</v>
      </c>
      <c r="M46" s="12">
        <f t="shared" si="5"/>
        <v>2.8680555558821652E-2</v>
      </c>
      <c r="N46" s="13">
        <f t="shared" si="3"/>
        <v>41.300000004703179</v>
      </c>
      <c r="O46" s="13"/>
      <c r="P46" s="13"/>
      <c r="Q46" s="61"/>
      <c r="R46" s="61"/>
      <c r="T4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08:36:57-0600',mode:absolute,to:'2016-05-25 09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6" s="73" t="str">
        <f t="shared" si="7"/>
        <v>N</v>
      </c>
      <c r="V46" s="73">
        <f t="shared" si="8"/>
        <v>1</v>
      </c>
      <c r="W46" s="73">
        <f t="shared" si="9"/>
        <v>4.5999999999999999E-2</v>
      </c>
      <c r="X46" s="73">
        <f t="shared" si="10"/>
        <v>23.330200000000001</v>
      </c>
      <c r="Y46" s="73">
        <f t="shared" si="11"/>
        <v>23.284200000000002</v>
      </c>
      <c r="Z46" s="74" t="e">
        <f>VLOOKUP(A46,Enforcements!$C$3:$J$40,8,0)</f>
        <v>#N/A</v>
      </c>
      <c r="AA46" s="74" t="e">
        <f>VLOOKUP(A46,Enforcements!$C$3:$J$40,3,0)</f>
        <v>#N/A</v>
      </c>
    </row>
    <row r="47" spans="1:27" s="2" customFormat="1" x14ac:dyDescent="0.25">
      <c r="A47" s="60" t="s">
        <v>399</v>
      </c>
      <c r="B47" s="60">
        <v>4019</v>
      </c>
      <c r="C47" s="60" t="s">
        <v>66</v>
      </c>
      <c r="D47" s="60" t="s">
        <v>400</v>
      </c>
      <c r="E47" s="30">
        <v>42515.39949074074</v>
      </c>
      <c r="F47" s="30">
        <v>42515.400682870371</v>
      </c>
      <c r="G47" s="38">
        <v>1</v>
      </c>
      <c r="H47" s="30" t="s">
        <v>361</v>
      </c>
      <c r="I47" s="30">
        <v>42515.429375</v>
      </c>
      <c r="J47" s="60">
        <v>0</v>
      </c>
      <c r="K47" s="60" t="str">
        <f t="shared" si="4"/>
        <v>4019/4020</v>
      </c>
      <c r="L47" s="60" t="str">
        <f>VLOOKUP(A47,'Trips&amp;Operators'!$C$1:$E$9999,3,FALSE)</f>
        <v>LEDERHAUSE</v>
      </c>
      <c r="M47" s="12">
        <f t="shared" si="5"/>
        <v>2.8692129628325347E-2</v>
      </c>
      <c r="N47" s="13">
        <f t="shared" si="3"/>
        <v>41.316666664788499</v>
      </c>
      <c r="O47" s="13"/>
      <c r="P47" s="13"/>
      <c r="Q47" s="61"/>
      <c r="R47" s="61"/>
      <c r="T4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09:34:16-0600',mode:absolute,to:'2016-05-25 10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7" s="73" t="str">
        <f t="shared" si="7"/>
        <v>N</v>
      </c>
      <c r="V47" s="73">
        <f t="shared" si="8"/>
        <v>1</v>
      </c>
      <c r="W47" s="73">
        <f t="shared" si="9"/>
        <v>23.296800000000001</v>
      </c>
      <c r="X47" s="73">
        <f t="shared" si="10"/>
        <v>1.38E-2</v>
      </c>
      <c r="Y47" s="73">
        <f t="shared" si="11"/>
        <v>23.283000000000001</v>
      </c>
      <c r="Z47" s="74" t="e">
        <f>VLOOKUP(A47,Enforcements!$C$3:$J$40,8,0)</f>
        <v>#N/A</v>
      </c>
      <c r="AA47" s="74" t="e">
        <f>VLOOKUP(A47,Enforcements!$C$3:$J$40,3,0)</f>
        <v>#N/A</v>
      </c>
    </row>
    <row r="48" spans="1:27" s="2" customFormat="1" x14ac:dyDescent="0.25">
      <c r="A48" s="60" t="s">
        <v>401</v>
      </c>
      <c r="B48" s="60">
        <v>4040</v>
      </c>
      <c r="C48" s="60" t="s">
        <v>66</v>
      </c>
      <c r="D48" s="60" t="s">
        <v>74</v>
      </c>
      <c r="E48" s="30">
        <v>42515.37164351852</v>
      </c>
      <c r="F48" s="30">
        <v>42515.37300925926</v>
      </c>
      <c r="G48" s="38">
        <v>1</v>
      </c>
      <c r="H48" s="30" t="s">
        <v>70</v>
      </c>
      <c r="I48" s="30">
        <v>42515.39947916667</v>
      </c>
      <c r="J48" s="60">
        <v>0</v>
      </c>
      <c r="K48" s="60" t="str">
        <f t="shared" si="4"/>
        <v>4039/4040</v>
      </c>
      <c r="L48" s="60" t="str">
        <f>VLOOKUP(A48,'Trips&amp;Operators'!$C$1:$E$9999,3,FALSE)</f>
        <v>ROCHA</v>
      </c>
      <c r="M48" s="12">
        <f t="shared" si="5"/>
        <v>2.6469907410501037E-2</v>
      </c>
      <c r="N48" s="13">
        <f t="shared" si="3"/>
        <v>38.116666671121493</v>
      </c>
      <c r="O48" s="13"/>
      <c r="P48" s="13"/>
      <c r="Q48" s="61"/>
      <c r="R48" s="61"/>
      <c r="T4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08:54:10-0600',mode:absolute,to:'2016-05-25 09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8" s="73" t="str">
        <f t="shared" si="7"/>
        <v>N</v>
      </c>
      <c r="V48" s="73">
        <f t="shared" si="8"/>
        <v>1</v>
      </c>
      <c r="W48" s="73">
        <f t="shared" si="9"/>
        <v>4.4699999999999997E-2</v>
      </c>
      <c r="X48" s="73">
        <f t="shared" si="10"/>
        <v>23.330300000000001</v>
      </c>
      <c r="Y48" s="73">
        <f t="shared" si="11"/>
        <v>23.285600000000002</v>
      </c>
      <c r="Z48" s="74" t="e">
        <f>VLOOKUP(A48,Enforcements!$C$3:$J$40,8,0)</f>
        <v>#N/A</v>
      </c>
      <c r="AA48" s="74" t="e">
        <f>VLOOKUP(A48,Enforcements!$C$3:$J$40,3,0)</f>
        <v>#N/A</v>
      </c>
    </row>
    <row r="49" spans="1:27" s="2" customFormat="1" x14ac:dyDescent="0.25">
      <c r="A49" s="60" t="s">
        <v>316</v>
      </c>
      <c r="B49" s="60">
        <v>4039</v>
      </c>
      <c r="C49" s="60" t="s">
        <v>66</v>
      </c>
      <c r="D49" s="60" t="s">
        <v>69</v>
      </c>
      <c r="E49" s="30">
        <v>42515.413969907408</v>
      </c>
      <c r="F49" s="30">
        <v>42515.415046296293</v>
      </c>
      <c r="G49" s="38">
        <v>1</v>
      </c>
      <c r="H49" s="30" t="s">
        <v>80</v>
      </c>
      <c r="I49" s="30">
        <v>42515.440266203703</v>
      </c>
      <c r="J49" s="60">
        <v>1</v>
      </c>
      <c r="K49" s="60" t="str">
        <f t="shared" si="4"/>
        <v>4039/4040</v>
      </c>
      <c r="L49" s="60" t="str">
        <f>VLOOKUP(A49,'Trips&amp;Operators'!$C$1:$E$9999,3,FALSE)</f>
        <v>ROCHA</v>
      </c>
      <c r="M49" s="12">
        <f t="shared" si="5"/>
        <v>2.5219907409336884E-2</v>
      </c>
      <c r="N49" s="13">
        <f t="shared" si="3"/>
        <v>36.316666669445112</v>
      </c>
      <c r="O49" s="13"/>
      <c r="P49" s="13"/>
      <c r="Q49" s="61"/>
      <c r="R49" s="61"/>
      <c r="T4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09:55:07-0600',mode:absolute,to:'2016-05-25 10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9" s="73" t="str">
        <f t="shared" si="7"/>
        <v>N</v>
      </c>
      <c r="V49" s="73">
        <f t="shared" si="8"/>
        <v>1</v>
      </c>
      <c r="W49" s="73">
        <f t="shared" si="9"/>
        <v>23.297799999999999</v>
      </c>
      <c r="X49" s="73">
        <f t="shared" si="10"/>
        <v>1.52E-2</v>
      </c>
      <c r="Y49" s="73">
        <f t="shared" si="11"/>
        <v>23.282599999999999</v>
      </c>
      <c r="Z49" s="74">
        <f>VLOOKUP(A49,Enforcements!$C$3:$J$40,8,0)</f>
        <v>15167</v>
      </c>
      <c r="AA49" s="74" t="str">
        <f>VLOOKUP(A49,Enforcements!$C$3:$J$40,3,0)</f>
        <v>PERMANENT SPEED RESTRICTION</v>
      </c>
    </row>
    <row r="50" spans="1:27" s="2" customFormat="1" x14ac:dyDescent="0.25">
      <c r="A50" s="60" t="s">
        <v>402</v>
      </c>
      <c r="B50" s="60">
        <v>4038</v>
      </c>
      <c r="C50" s="60" t="s">
        <v>66</v>
      </c>
      <c r="D50" s="60" t="s">
        <v>153</v>
      </c>
      <c r="E50" s="30">
        <v>42515.380335648151</v>
      </c>
      <c r="F50" s="30">
        <v>42515.38140046296</v>
      </c>
      <c r="G50" s="38">
        <v>1</v>
      </c>
      <c r="H50" s="30" t="s">
        <v>67</v>
      </c>
      <c r="I50" s="30">
        <v>42515.410624999997</v>
      </c>
      <c r="J50" s="60">
        <v>0</v>
      </c>
      <c r="K50" s="60" t="str">
        <f t="shared" si="4"/>
        <v>4037/4038</v>
      </c>
      <c r="L50" s="60" t="str">
        <f>VLOOKUP(A50,'Trips&amp;Operators'!$C$1:$E$9999,3,FALSE)</f>
        <v>YANAI</v>
      </c>
      <c r="M50" s="12">
        <f t="shared" si="5"/>
        <v>2.9224537036498077E-2</v>
      </c>
      <c r="N50" s="13">
        <f t="shared" si="3"/>
        <v>42.083333332557231</v>
      </c>
      <c r="O50" s="13"/>
      <c r="P50" s="13"/>
      <c r="Q50" s="61"/>
      <c r="R50" s="61"/>
      <c r="T5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09:06:41-0600',mode:absolute,to:'2016-05-25 09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0" s="73" t="str">
        <f t="shared" si="7"/>
        <v>N</v>
      </c>
      <c r="V50" s="73">
        <f t="shared" si="8"/>
        <v>1</v>
      </c>
      <c r="W50" s="73">
        <f t="shared" si="9"/>
        <v>4.6199999999999998E-2</v>
      </c>
      <c r="X50" s="73">
        <f t="shared" si="10"/>
        <v>23.331</v>
      </c>
      <c r="Y50" s="73">
        <f t="shared" si="11"/>
        <v>23.284800000000001</v>
      </c>
      <c r="Z50" s="74" t="e">
        <f>VLOOKUP(A50,Enforcements!$C$3:$J$40,8,0)</f>
        <v>#N/A</v>
      </c>
      <c r="AA50" s="74" t="e">
        <f>VLOOKUP(A50,Enforcements!$C$3:$J$40,3,0)</f>
        <v>#N/A</v>
      </c>
    </row>
    <row r="51" spans="1:27" s="2" customFormat="1" x14ac:dyDescent="0.25">
      <c r="A51" s="60" t="s">
        <v>403</v>
      </c>
      <c r="B51" s="60">
        <v>4037</v>
      </c>
      <c r="C51" s="60" t="s">
        <v>66</v>
      </c>
      <c r="D51" s="60" t="s">
        <v>139</v>
      </c>
      <c r="E51" s="30">
        <v>42515.421469907407</v>
      </c>
      <c r="F51" s="30">
        <v>42515.422488425924</v>
      </c>
      <c r="G51" s="38">
        <v>1</v>
      </c>
      <c r="H51" s="30" t="s">
        <v>404</v>
      </c>
      <c r="I51" s="30">
        <v>42515.449942129628</v>
      </c>
      <c r="J51" s="60">
        <v>0</v>
      </c>
      <c r="K51" s="60" t="str">
        <f t="shared" si="4"/>
        <v>4037/4038</v>
      </c>
      <c r="L51" s="60" t="str">
        <f>VLOOKUP(A51,'Trips&amp;Operators'!$C$1:$E$9999,3,FALSE)</f>
        <v>YANAI</v>
      </c>
      <c r="M51" s="12">
        <f t="shared" si="5"/>
        <v>2.7453703703940846E-2</v>
      </c>
      <c r="N51" s="13">
        <f t="shared" si="3"/>
        <v>39.533333333674818</v>
      </c>
      <c r="O51" s="13"/>
      <c r="P51" s="13"/>
      <c r="Q51" s="61"/>
      <c r="R51" s="61"/>
      <c r="T5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10:05:55-0600',mode:absolute,to:'2016-05-25 10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1" s="73" t="str">
        <f t="shared" si="7"/>
        <v>N</v>
      </c>
      <c r="V51" s="73">
        <f t="shared" si="8"/>
        <v>1</v>
      </c>
      <c r="W51" s="73">
        <f t="shared" si="9"/>
        <v>23.299299999999999</v>
      </c>
      <c r="X51" s="73">
        <f t="shared" si="10"/>
        <v>1.41E-2</v>
      </c>
      <c r="Y51" s="73">
        <f t="shared" si="11"/>
        <v>23.2852</v>
      </c>
      <c r="Z51" s="74" t="e">
        <f>VLOOKUP(A51,Enforcements!$C$3:$J$40,8,0)</f>
        <v>#N/A</v>
      </c>
      <c r="AA51" s="74" t="e">
        <f>VLOOKUP(A51,Enforcements!$C$3:$J$40,3,0)</f>
        <v>#N/A</v>
      </c>
    </row>
    <row r="52" spans="1:27" s="2" customFormat="1" x14ac:dyDescent="0.25">
      <c r="A52" s="60" t="s">
        <v>405</v>
      </c>
      <c r="B52" s="60">
        <v>4029</v>
      </c>
      <c r="C52" s="60" t="s">
        <v>66</v>
      </c>
      <c r="D52" s="60" t="s">
        <v>152</v>
      </c>
      <c r="E52" s="30">
        <v>42515.390555555554</v>
      </c>
      <c r="F52" s="30">
        <v>42515.391365740739</v>
      </c>
      <c r="G52" s="38">
        <v>1</v>
      </c>
      <c r="H52" s="30" t="s">
        <v>359</v>
      </c>
      <c r="I52" s="30">
        <v>42515.420648148145</v>
      </c>
      <c r="J52" s="60">
        <v>0</v>
      </c>
      <c r="K52" s="60" t="str">
        <f t="shared" si="4"/>
        <v>4029/4030</v>
      </c>
      <c r="L52" s="60" t="str">
        <f>VLOOKUP(A52,'Trips&amp;Operators'!$C$1:$E$9999,3,FALSE)</f>
        <v>GEBRETEKLE</v>
      </c>
      <c r="M52" s="12">
        <f t="shared" si="5"/>
        <v>2.9282407405844424E-2</v>
      </c>
      <c r="N52" s="13">
        <f t="shared" si="3"/>
        <v>42.16666666441597</v>
      </c>
      <c r="O52" s="13"/>
      <c r="P52" s="13"/>
      <c r="Q52" s="61"/>
      <c r="R52" s="61"/>
      <c r="T5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09:21:24-0600',mode:absolute,to:'2016-05-25 10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2" s="73" t="str">
        <f t="shared" si="7"/>
        <v>N</v>
      </c>
      <c r="V52" s="73">
        <f t="shared" si="8"/>
        <v>1</v>
      </c>
      <c r="W52" s="73">
        <f t="shared" si="9"/>
        <v>4.3999999999999997E-2</v>
      </c>
      <c r="X52" s="73">
        <f t="shared" si="10"/>
        <v>23.3309</v>
      </c>
      <c r="Y52" s="73">
        <f t="shared" si="11"/>
        <v>23.286899999999999</v>
      </c>
      <c r="Z52" s="74" t="e">
        <f>VLOOKUP(A52,Enforcements!$C$3:$J$40,8,0)</f>
        <v>#N/A</v>
      </c>
      <c r="AA52" s="74" t="e">
        <f>VLOOKUP(A52,Enforcements!$C$3:$J$40,3,0)</f>
        <v>#N/A</v>
      </c>
    </row>
    <row r="53" spans="1:27" s="2" customFormat="1" x14ac:dyDescent="0.25">
      <c r="A53" s="60" t="s">
        <v>406</v>
      </c>
      <c r="B53" s="60">
        <v>4030</v>
      </c>
      <c r="C53" s="60" t="s">
        <v>66</v>
      </c>
      <c r="D53" s="60" t="s">
        <v>407</v>
      </c>
      <c r="E53" s="30">
        <v>42515.427951388891</v>
      </c>
      <c r="F53" s="30">
        <v>42515.428784722222</v>
      </c>
      <c r="G53" s="38">
        <v>1</v>
      </c>
      <c r="H53" s="30" t="s">
        <v>75</v>
      </c>
      <c r="I53" s="30">
        <v>42515.460543981484</v>
      </c>
      <c r="J53" s="60">
        <v>0</v>
      </c>
      <c r="K53" s="60" t="str">
        <f t="shared" si="4"/>
        <v>4029/4030</v>
      </c>
      <c r="L53" s="60" t="str">
        <f>VLOOKUP(A53,'Trips&amp;Operators'!$C$1:$E$9999,3,FALSE)</f>
        <v>GEBRETEKLE</v>
      </c>
      <c r="M53" s="12">
        <f t="shared" si="5"/>
        <v>3.1759259261889383E-2</v>
      </c>
      <c r="N53" s="13">
        <f t="shared" si="3"/>
        <v>45.733333337120712</v>
      </c>
      <c r="O53" s="13"/>
      <c r="P53" s="13"/>
      <c r="Q53" s="61"/>
      <c r="R53" s="61"/>
      <c r="T5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10:15:15-0600',mode:absolute,to:'2016-05-25 11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3" s="73" t="str">
        <f t="shared" si="7"/>
        <v>N</v>
      </c>
      <c r="V53" s="73">
        <f t="shared" si="8"/>
        <v>1</v>
      </c>
      <c r="W53" s="73">
        <f t="shared" si="9"/>
        <v>23.298400000000001</v>
      </c>
      <c r="X53" s="73">
        <f t="shared" si="10"/>
        <v>1.3599999999999999E-2</v>
      </c>
      <c r="Y53" s="73">
        <f t="shared" si="11"/>
        <v>23.284800000000001</v>
      </c>
      <c r="Z53" s="74" t="e">
        <f>VLOOKUP(A53,Enforcements!$C$3:$J$40,8,0)</f>
        <v>#N/A</v>
      </c>
      <c r="AA53" s="74" t="e">
        <f>VLOOKUP(A53,Enforcements!$C$3:$J$40,3,0)</f>
        <v>#N/A</v>
      </c>
    </row>
    <row r="54" spans="1:27" s="2" customFormat="1" x14ac:dyDescent="0.25">
      <c r="A54" s="60" t="s">
        <v>408</v>
      </c>
      <c r="B54" s="60">
        <v>4031</v>
      </c>
      <c r="C54" s="60" t="s">
        <v>66</v>
      </c>
      <c r="D54" s="60" t="s">
        <v>409</v>
      </c>
      <c r="E54" s="30">
        <v>42515.400659722225</v>
      </c>
      <c r="F54" s="30">
        <v>42515.40184027778</v>
      </c>
      <c r="G54" s="38">
        <v>1</v>
      </c>
      <c r="H54" s="30" t="s">
        <v>307</v>
      </c>
      <c r="I54" s="30">
        <v>42515.431006944447</v>
      </c>
      <c r="J54" s="60">
        <v>0</v>
      </c>
      <c r="K54" s="60" t="str">
        <f t="shared" si="4"/>
        <v>4031/4032</v>
      </c>
      <c r="L54" s="60" t="str">
        <f>VLOOKUP(A54,'Trips&amp;Operators'!$C$1:$E$9999,3,FALSE)</f>
        <v>COOLAHAN</v>
      </c>
      <c r="M54" s="12">
        <f t="shared" si="5"/>
        <v>2.9166666667151731E-2</v>
      </c>
      <c r="N54" s="13">
        <f t="shared" si="3"/>
        <v>42.000000000698492</v>
      </c>
      <c r="O54" s="13"/>
      <c r="P54" s="13"/>
      <c r="Q54" s="61"/>
      <c r="R54" s="61"/>
      <c r="T5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09:35:57-0600',mode:absolute,to:'2016-05-25 10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4" s="73" t="str">
        <f t="shared" si="7"/>
        <v>N</v>
      </c>
      <c r="V54" s="73">
        <f t="shared" si="8"/>
        <v>1</v>
      </c>
      <c r="W54" s="73">
        <f t="shared" si="9"/>
        <v>5.2200000000000003E-2</v>
      </c>
      <c r="X54" s="73">
        <f t="shared" si="10"/>
        <v>23.331199999999999</v>
      </c>
      <c r="Y54" s="73">
        <f t="shared" si="11"/>
        <v>23.279</v>
      </c>
      <c r="Z54" s="74" t="e">
        <f>VLOOKUP(A54,Enforcements!$C$3:$J$40,8,0)</f>
        <v>#N/A</v>
      </c>
      <c r="AA54" s="74" t="e">
        <f>VLOOKUP(A54,Enforcements!$C$3:$J$40,3,0)</f>
        <v>#N/A</v>
      </c>
    </row>
    <row r="55" spans="1:27" s="2" customFormat="1" x14ac:dyDescent="0.25">
      <c r="A55" s="60" t="s">
        <v>410</v>
      </c>
      <c r="B55" s="60">
        <v>4032</v>
      </c>
      <c r="C55" s="60" t="s">
        <v>66</v>
      </c>
      <c r="D55" s="60" t="s">
        <v>72</v>
      </c>
      <c r="E55" s="30">
        <v>42515.442025462966</v>
      </c>
      <c r="F55" s="30">
        <v>42515.443298611113</v>
      </c>
      <c r="G55" s="38">
        <v>1</v>
      </c>
      <c r="H55" s="30" t="s">
        <v>75</v>
      </c>
      <c r="I55" s="30">
        <v>42515.470902777779</v>
      </c>
      <c r="J55" s="60">
        <v>0</v>
      </c>
      <c r="K55" s="60" t="str">
        <f t="shared" si="4"/>
        <v>4031/4032</v>
      </c>
      <c r="L55" s="60" t="str">
        <f>VLOOKUP(A55,'Trips&amp;Operators'!$C$1:$E$9999,3,FALSE)</f>
        <v>COOLAHAN</v>
      </c>
      <c r="M55" s="12">
        <f t="shared" si="5"/>
        <v>2.7604166665696539E-2</v>
      </c>
      <c r="N55" s="13">
        <f t="shared" si="3"/>
        <v>39.749999998603016</v>
      </c>
      <c r="O55" s="13"/>
      <c r="P55" s="13"/>
      <c r="Q55" s="61"/>
      <c r="R55" s="61"/>
      <c r="T5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10:35:31-0600',mode:absolute,to:'2016-05-25 11:19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5" s="73" t="str">
        <f t="shared" si="7"/>
        <v>N</v>
      </c>
      <c r="V55" s="73">
        <f t="shared" si="8"/>
        <v>1</v>
      </c>
      <c r="W55" s="73">
        <f t="shared" si="9"/>
        <v>23.2989</v>
      </c>
      <c r="X55" s="73">
        <f t="shared" si="10"/>
        <v>1.3599999999999999E-2</v>
      </c>
      <c r="Y55" s="73">
        <f t="shared" si="11"/>
        <v>23.285299999999999</v>
      </c>
      <c r="Z55" s="74" t="e">
        <f>VLOOKUP(A55,Enforcements!$C$3:$J$40,8,0)</f>
        <v>#N/A</v>
      </c>
      <c r="AA55" s="74" t="e">
        <f>VLOOKUP(A55,Enforcements!$C$3:$J$40,3,0)</f>
        <v>#N/A</v>
      </c>
    </row>
    <row r="56" spans="1:27" s="2" customFormat="1" x14ac:dyDescent="0.25">
      <c r="A56" s="60" t="s">
        <v>411</v>
      </c>
      <c r="B56" s="60">
        <v>4009</v>
      </c>
      <c r="C56" s="60" t="s">
        <v>66</v>
      </c>
      <c r="D56" s="60" t="s">
        <v>77</v>
      </c>
      <c r="E56" s="30">
        <v>42515.41134259259</v>
      </c>
      <c r="F56" s="30">
        <v>42515.412245370368</v>
      </c>
      <c r="G56" s="38">
        <v>1</v>
      </c>
      <c r="H56" s="30" t="s">
        <v>412</v>
      </c>
      <c r="I56" s="30">
        <v>42515.442326388889</v>
      </c>
      <c r="J56" s="60">
        <v>0</v>
      </c>
      <c r="K56" s="60" t="str">
        <f t="shared" si="4"/>
        <v>4009/4010</v>
      </c>
      <c r="L56" s="60" t="str">
        <f>VLOOKUP(A56,'Trips&amp;Operators'!$C$1:$E$9999,3,FALSE)</f>
        <v>ACKERMAN</v>
      </c>
      <c r="M56" s="12">
        <f t="shared" si="5"/>
        <v>3.0081018521741498E-2</v>
      </c>
      <c r="N56" s="13">
        <f t="shared" si="3"/>
        <v>43.316666671307757</v>
      </c>
      <c r="O56" s="13"/>
      <c r="P56" s="13"/>
      <c r="Q56" s="61"/>
      <c r="R56" s="61"/>
      <c r="T5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09:51:20-0600',mode:absolute,to:'2016-05-25 10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6" s="73" t="str">
        <f t="shared" si="7"/>
        <v>N</v>
      </c>
      <c r="V56" s="73">
        <f t="shared" si="8"/>
        <v>1</v>
      </c>
      <c r="W56" s="73">
        <f t="shared" si="9"/>
        <v>4.5499999999999999E-2</v>
      </c>
      <c r="X56" s="73">
        <f t="shared" si="10"/>
        <v>23.328399999999998</v>
      </c>
      <c r="Y56" s="73">
        <f t="shared" si="11"/>
        <v>23.282899999999998</v>
      </c>
      <c r="Z56" s="74" t="e">
        <f>VLOOKUP(A56,Enforcements!$C$3:$J$40,8,0)</f>
        <v>#N/A</v>
      </c>
      <c r="AA56" s="74" t="e">
        <f>VLOOKUP(A56,Enforcements!$C$3:$J$40,3,0)</f>
        <v>#N/A</v>
      </c>
    </row>
    <row r="57" spans="1:27" s="2" customFormat="1" x14ac:dyDescent="0.25">
      <c r="A57" s="60" t="s">
        <v>413</v>
      </c>
      <c r="B57" s="60">
        <v>4010</v>
      </c>
      <c r="C57" s="60" t="s">
        <v>66</v>
      </c>
      <c r="D57" s="60" t="s">
        <v>151</v>
      </c>
      <c r="E57" s="30">
        <v>42515.44872685185</v>
      </c>
      <c r="F57" s="30">
        <v>42515.449513888889</v>
      </c>
      <c r="G57" s="38">
        <v>1</v>
      </c>
      <c r="H57" s="30" t="s">
        <v>91</v>
      </c>
      <c r="I57" s="30">
        <v>42515.481562499997</v>
      </c>
      <c r="J57" s="60">
        <v>0</v>
      </c>
      <c r="K57" s="60" t="str">
        <f t="shared" si="4"/>
        <v>4009/4010</v>
      </c>
      <c r="L57" s="60" t="str">
        <f>VLOOKUP(A57,'Trips&amp;Operators'!$C$1:$E$9999,3,FALSE)</f>
        <v>ACKERMAN</v>
      </c>
      <c r="M57" s="12">
        <f t="shared" si="5"/>
        <v>3.2048611108621117E-2</v>
      </c>
      <c r="N57" s="13">
        <f t="shared" si="3"/>
        <v>46.149999996414408</v>
      </c>
      <c r="O57" s="13"/>
      <c r="P57" s="13"/>
      <c r="Q57" s="61"/>
      <c r="R57" s="61"/>
      <c r="T5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10:45:10-0600',mode:absolute,to:'2016-05-25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7" s="73" t="str">
        <f t="shared" si="7"/>
        <v>N</v>
      </c>
      <c r="V57" s="73">
        <f t="shared" si="8"/>
        <v>1</v>
      </c>
      <c r="W57" s="73">
        <f t="shared" si="9"/>
        <v>23.296900000000001</v>
      </c>
      <c r="X57" s="73">
        <f t="shared" si="10"/>
        <v>1.4999999999999999E-2</v>
      </c>
      <c r="Y57" s="73">
        <f t="shared" si="11"/>
        <v>23.2819</v>
      </c>
      <c r="Z57" s="74" t="e">
        <f>VLOOKUP(A57,Enforcements!$C$3:$J$40,8,0)</f>
        <v>#N/A</v>
      </c>
      <c r="AA57" s="74" t="e">
        <f>VLOOKUP(A57,Enforcements!$C$3:$J$40,3,0)</f>
        <v>#N/A</v>
      </c>
    </row>
    <row r="58" spans="1:27" s="2" customFormat="1" x14ac:dyDescent="0.25">
      <c r="A58" s="60" t="s">
        <v>414</v>
      </c>
      <c r="B58" s="60">
        <v>4007</v>
      </c>
      <c r="C58" s="60" t="s">
        <v>66</v>
      </c>
      <c r="D58" s="60" t="s">
        <v>415</v>
      </c>
      <c r="E58" s="30">
        <v>42515.422222222223</v>
      </c>
      <c r="F58" s="30">
        <v>42515.423275462963</v>
      </c>
      <c r="G58" s="38">
        <v>1</v>
      </c>
      <c r="H58" s="30" t="s">
        <v>272</v>
      </c>
      <c r="I58" s="30">
        <v>42515.451469907406</v>
      </c>
      <c r="J58" s="60">
        <v>0</v>
      </c>
      <c r="K58" s="60" t="str">
        <f t="shared" si="4"/>
        <v>4007/4008</v>
      </c>
      <c r="L58" s="60" t="str">
        <f>VLOOKUP(A58,'Trips&amp;Operators'!$C$1:$E$9999,3,FALSE)</f>
        <v>SPECTOR</v>
      </c>
      <c r="M58" s="12">
        <f t="shared" si="5"/>
        <v>2.8194444443215616E-2</v>
      </c>
      <c r="N58" s="13">
        <f t="shared" si="3"/>
        <v>40.599999998230487</v>
      </c>
      <c r="O58" s="13"/>
      <c r="P58" s="13"/>
      <c r="Q58" s="61"/>
      <c r="R58" s="61"/>
      <c r="T5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10:07:00-0600',mode:absolute,to:'2016-05-25 10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8" s="73" t="str">
        <f t="shared" si="7"/>
        <v>N</v>
      </c>
      <c r="V58" s="73">
        <f t="shared" si="8"/>
        <v>1</v>
      </c>
      <c r="W58" s="73">
        <f t="shared" si="9"/>
        <v>4.9700000000000001E-2</v>
      </c>
      <c r="X58" s="73">
        <f t="shared" si="10"/>
        <v>23.331900000000001</v>
      </c>
      <c r="Y58" s="73">
        <f t="shared" si="11"/>
        <v>23.2822</v>
      </c>
      <c r="Z58" s="74" t="e">
        <f>VLOOKUP(A58,Enforcements!$C$3:$J$40,8,0)</f>
        <v>#N/A</v>
      </c>
      <c r="AA58" s="74" t="e">
        <f>VLOOKUP(A58,Enforcements!$C$3:$J$40,3,0)</f>
        <v>#N/A</v>
      </c>
    </row>
    <row r="59" spans="1:27" s="2" customFormat="1" x14ac:dyDescent="0.25">
      <c r="A59" s="60" t="s">
        <v>317</v>
      </c>
      <c r="B59" s="60">
        <v>4008</v>
      </c>
      <c r="C59" s="60" t="s">
        <v>66</v>
      </c>
      <c r="D59" s="60" t="s">
        <v>72</v>
      </c>
      <c r="E59" s="30">
        <v>42515.460358796299</v>
      </c>
      <c r="F59" s="30">
        <v>42515.461574074077</v>
      </c>
      <c r="G59" s="38">
        <v>1</v>
      </c>
      <c r="H59" s="30" t="s">
        <v>404</v>
      </c>
      <c r="I59" s="30">
        <v>42515.492743055554</v>
      </c>
      <c r="J59" s="60">
        <v>2</v>
      </c>
      <c r="K59" s="60" t="str">
        <f t="shared" si="4"/>
        <v>4007/4008</v>
      </c>
      <c r="L59" s="60" t="str">
        <f>VLOOKUP(A59,'Trips&amp;Operators'!$C$1:$E$9999,3,FALSE)</f>
        <v>SPECTOR</v>
      </c>
      <c r="M59" s="12">
        <f t="shared" si="5"/>
        <v>3.1168981477094349E-2</v>
      </c>
      <c r="N59" s="13">
        <f t="shared" si="3"/>
        <v>44.883333327015862</v>
      </c>
      <c r="O59" s="13"/>
      <c r="P59" s="13"/>
      <c r="Q59" s="61"/>
      <c r="R59" s="61"/>
      <c r="T5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11:01:55-0600',mode:absolute,to:'2016-05-25 11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9" s="73" t="str">
        <f t="shared" si="7"/>
        <v>N</v>
      </c>
      <c r="V59" s="73">
        <f t="shared" si="8"/>
        <v>1</v>
      </c>
      <c r="W59" s="73">
        <f t="shared" si="9"/>
        <v>23.2989</v>
      </c>
      <c r="X59" s="73">
        <f t="shared" si="10"/>
        <v>1.41E-2</v>
      </c>
      <c r="Y59" s="73">
        <f t="shared" si="11"/>
        <v>23.284800000000001</v>
      </c>
      <c r="Z59" s="74">
        <f>VLOOKUP(A59,Enforcements!$C$3:$J$40,8,0)</f>
        <v>224581</v>
      </c>
      <c r="AA59" s="74" t="str">
        <f>VLOOKUP(A59,Enforcements!$C$3:$J$40,3,0)</f>
        <v>PERMANENT SPEED RESTRICTION</v>
      </c>
    </row>
    <row r="60" spans="1:27" s="2" customFormat="1" x14ac:dyDescent="0.25">
      <c r="A60" s="60" t="s">
        <v>416</v>
      </c>
      <c r="B60" s="60">
        <v>4020</v>
      </c>
      <c r="C60" s="60" t="s">
        <v>66</v>
      </c>
      <c r="D60" s="60" t="s">
        <v>261</v>
      </c>
      <c r="E60" s="30">
        <v>42515.433379629627</v>
      </c>
      <c r="F60" s="30">
        <v>42515.434918981482</v>
      </c>
      <c r="G60" s="38">
        <v>2</v>
      </c>
      <c r="H60" s="30" t="s">
        <v>289</v>
      </c>
      <c r="I60" s="30">
        <v>42515.461944444447</v>
      </c>
      <c r="J60" s="60">
        <v>0</v>
      </c>
      <c r="K60" s="60" t="str">
        <f t="shared" si="4"/>
        <v>4019/4020</v>
      </c>
      <c r="L60" s="60" t="str">
        <f>VLOOKUP(A60,'Trips&amp;Operators'!$C$1:$E$9999,3,FALSE)</f>
        <v>BRANNON</v>
      </c>
      <c r="M60" s="12">
        <f t="shared" si="5"/>
        <v>2.7025462964957114E-2</v>
      </c>
      <c r="N60" s="13">
        <f t="shared" si="3"/>
        <v>38.916666669538245</v>
      </c>
      <c r="O60" s="13"/>
      <c r="P60" s="13"/>
      <c r="Q60" s="61"/>
      <c r="R60" s="61"/>
      <c r="T6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10:23:04-0600',mode:absolute,to:'2016-05-25 11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0" s="73" t="str">
        <f t="shared" si="7"/>
        <v>N</v>
      </c>
      <c r="V60" s="73">
        <f t="shared" si="8"/>
        <v>1</v>
      </c>
      <c r="W60" s="73">
        <f t="shared" si="9"/>
        <v>4.5699999999999998E-2</v>
      </c>
      <c r="X60" s="73">
        <f t="shared" si="10"/>
        <v>23.330500000000001</v>
      </c>
      <c r="Y60" s="73">
        <f t="shared" si="11"/>
        <v>23.284800000000001</v>
      </c>
      <c r="Z60" s="74" t="e">
        <f>VLOOKUP(A60,Enforcements!$C$3:$J$40,8,0)</f>
        <v>#N/A</v>
      </c>
      <c r="AA60" s="74" t="e">
        <f>VLOOKUP(A60,Enforcements!$C$3:$J$40,3,0)</f>
        <v>#N/A</v>
      </c>
    </row>
    <row r="61" spans="1:27" s="2" customFormat="1" x14ac:dyDescent="0.25">
      <c r="A61" s="60" t="s">
        <v>318</v>
      </c>
      <c r="B61" s="60">
        <v>4019</v>
      </c>
      <c r="C61" s="60" t="s">
        <v>66</v>
      </c>
      <c r="D61" s="60" t="s">
        <v>69</v>
      </c>
      <c r="E61" s="30">
        <v>42515.472662037035</v>
      </c>
      <c r="F61" s="30">
        <v>42515.473946759259</v>
      </c>
      <c r="G61" s="38">
        <v>1</v>
      </c>
      <c r="H61" s="30" t="s">
        <v>145</v>
      </c>
      <c r="I61" s="30">
        <v>42515.50204861111</v>
      </c>
      <c r="J61" s="60">
        <v>1</v>
      </c>
      <c r="K61" s="60" t="str">
        <f t="shared" si="4"/>
        <v>4019/4020</v>
      </c>
      <c r="L61" s="60" t="str">
        <f>VLOOKUP(A61,'Trips&amp;Operators'!$C$1:$E$9999,3,FALSE)</f>
        <v>BRANNON</v>
      </c>
      <c r="M61" s="12">
        <f t="shared" si="5"/>
        <v>2.810185185080627E-2</v>
      </c>
      <c r="N61" s="13">
        <f t="shared" si="3"/>
        <v>40.466666665161029</v>
      </c>
      <c r="O61" s="13"/>
      <c r="P61" s="13"/>
      <c r="Q61" s="61"/>
      <c r="R61" s="61"/>
      <c r="T6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11:19:38-0600',mode:absolute,to:'2016-05-25 12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1" s="73" t="str">
        <f t="shared" si="7"/>
        <v>N</v>
      </c>
      <c r="V61" s="73">
        <f t="shared" si="8"/>
        <v>1</v>
      </c>
      <c r="W61" s="73">
        <f t="shared" si="9"/>
        <v>23.297799999999999</v>
      </c>
      <c r="X61" s="73">
        <f t="shared" si="10"/>
        <v>1.43E-2</v>
      </c>
      <c r="Y61" s="73">
        <f t="shared" si="11"/>
        <v>23.2835</v>
      </c>
      <c r="Z61" s="74">
        <f>VLOOKUP(A61,Enforcements!$C$3:$J$40,8,0)</f>
        <v>1</v>
      </c>
      <c r="AA61" s="74" t="str">
        <f>VLOOKUP(A61,Enforcements!$C$3:$J$40,3,0)</f>
        <v>TRACK WARRANT AUTHORITY</v>
      </c>
    </row>
    <row r="62" spans="1:27" s="2" customFormat="1" x14ac:dyDescent="0.25">
      <c r="A62" s="60" t="s">
        <v>417</v>
      </c>
      <c r="B62" s="60">
        <v>4040</v>
      </c>
      <c r="C62" s="60" t="s">
        <v>66</v>
      </c>
      <c r="D62" s="60" t="s">
        <v>268</v>
      </c>
      <c r="E62" s="30">
        <v>42515.443599537037</v>
      </c>
      <c r="F62" s="30">
        <v>42515.445370370369</v>
      </c>
      <c r="G62" s="38">
        <v>2</v>
      </c>
      <c r="H62" s="30" t="s">
        <v>94</v>
      </c>
      <c r="I62" s="30">
        <v>42515.473020833335</v>
      </c>
      <c r="J62" s="60">
        <v>0</v>
      </c>
      <c r="K62" s="60" t="str">
        <f t="shared" si="4"/>
        <v>4039/4040</v>
      </c>
      <c r="L62" s="60" t="str">
        <f>VLOOKUP(A62,'Trips&amp;Operators'!$C$1:$E$9999,3,FALSE)</f>
        <v>RIVERA</v>
      </c>
      <c r="M62" s="12">
        <f t="shared" si="5"/>
        <v>2.7650462965539191E-2</v>
      </c>
      <c r="N62" s="13">
        <f t="shared" si="3"/>
        <v>39.816666670376435</v>
      </c>
      <c r="O62" s="13"/>
      <c r="P62" s="13"/>
      <c r="Q62" s="61"/>
      <c r="R62" s="61"/>
      <c r="T6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10:37:47-0600',mode:absolute,to:'2016-05-25 11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2" s="73" t="str">
        <f t="shared" si="7"/>
        <v>N</v>
      </c>
      <c r="V62" s="73">
        <f t="shared" si="8"/>
        <v>1</v>
      </c>
      <c r="W62" s="73">
        <f t="shared" si="9"/>
        <v>4.7500000000000001E-2</v>
      </c>
      <c r="X62" s="73">
        <f t="shared" si="10"/>
        <v>23.331499999999998</v>
      </c>
      <c r="Y62" s="73">
        <f t="shared" si="11"/>
        <v>23.283999999999999</v>
      </c>
      <c r="Z62" s="74" t="e">
        <f>VLOOKUP(A62,Enforcements!$C$3:$J$40,8,0)</f>
        <v>#N/A</v>
      </c>
      <c r="AA62" s="74" t="e">
        <f>VLOOKUP(A62,Enforcements!$C$3:$J$40,3,0)</f>
        <v>#N/A</v>
      </c>
    </row>
    <row r="63" spans="1:27" s="2" customFormat="1" x14ac:dyDescent="0.25">
      <c r="A63" s="60" t="s">
        <v>418</v>
      </c>
      <c r="B63" s="60">
        <v>4039</v>
      </c>
      <c r="C63" s="60" t="s">
        <v>66</v>
      </c>
      <c r="D63" s="60" t="s">
        <v>382</v>
      </c>
      <c r="E63" s="30">
        <v>42515.480416666665</v>
      </c>
      <c r="F63" s="30">
        <v>42515.483460648145</v>
      </c>
      <c r="G63" s="38">
        <v>4</v>
      </c>
      <c r="H63" s="30" t="s">
        <v>73</v>
      </c>
      <c r="I63" s="30">
        <v>42515.517858796295</v>
      </c>
      <c r="J63" s="60">
        <v>0</v>
      </c>
      <c r="K63" s="60" t="str">
        <f t="shared" si="4"/>
        <v>4039/4040</v>
      </c>
      <c r="L63" s="60" t="str">
        <f>VLOOKUP(A63,'Trips&amp;Operators'!$C$1:$E$9999,3,FALSE)</f>
        <v>RIVERA</v>
      </c>
      <c r="M63" s="12">
        <f t="shared" si="5"/>
        <v>3.439814814919373E-2</v>
      </c>
      <c r="N63" s="13">
        <f t="shared" si="3"/>
        <v>49.533333334838971</v>
      </c>
      <c r="O63" s="13"/>
      <c r="P63" s="13"/>
      <c r="Q63" s="61"/>
      <c r="R63" s="61"/>
      <c r="T6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11:30:48-0600',mode:absolute,to:'2016-05-25 12:26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3" s="73" t="str">
        <f t="shared" si="7"/>
        <v>N</v>
      </c>
      <c r="V63" s="73">
        <f t="shared" si="8"/>
        <v>1</v>
      </c>
      <c r="W63" s="73">
        <f t="shared" si="9"/>
        <v>23.299800000000001</v>
      </c>
      <c r="X63" s="73">
        <f t="shared" si="10"/>
        <v>1.4500000000000001E-2</v>
      </c>
      <c r="Y63" s="73">
        <f t="shared" si="11"/>
        <v>23.285299999999999</v>
      </c>
      <c r="Z63" s="74" t="e">
        <f>VLOOKUP(A63,Enforcements!$C$3:$J$40,8,0)</f>
        <v>#N/A</v>
      </c>
      <c r="AA63" s="74" t="e">
        <f>VLOOKUP(A63,Enforcements!$C$3:$J$40,3,0)</f>
        <v>#N/A</v>
      </c>
    </row>
    <row r="64" spans="1:27" s="2" customFormat="1" x14ac:dyDescent="0.25">
      <c r="A64" s="60" t="s">
        <v>419</v>
      </c>
      <c r="B64" s="60">
        <v>4038</v>
      </c>
      <c r="C64" s="60" t="s">
        <v>66</v>
      </c>
      <c r="D64" s="60" t="s">
        <v>271</v>
      </c>
      <c r="E64" s="30">
        <v>42515.453032407408</v>
      </c>
      <c r="F64" s="30">
        <v>42515.45417824074</v>
      </c>
      <c r="G64" s="38">
        <v>1</v>
      </c>
      <c r="H64" s="30" t="s">
        <v>289</v>
      </c>
      <c r="I64" s="30">
        <v>42515.482928240737</v>
      </c>
      <c r="J64" s="60">
        <v>0</v>
      </c>
      <c r="K64" s="60" t="str">
        <f t="shared" si="4"/>
        <v>4037/4038</v>
      </c>
      <c r="L64" s="60" t="str">
        <f>VLOOKUP(A64,'Trips&amp;Operators'!$C$1:$E$9999,3,FALSE)</f>
        <v>ROCHA</v>
      </c>
      <c r="M64" s="12">
        <f t="shared" si="5"/>
        <v>2.8749999997671694E-2</v>
      </c>
      <c r="N64" s="13">
        <f t="shared" si="3"/>
        <v>41.399999996647239</v>
      </c>
      <c r="O64" s="13"/>
      <c r="P64" s="13"/>
      <c r="Q64" s="61"/>
      <c r="R64" s="61"/>
      <c r="T6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10:51:22-0600',mode:absolute,to:'2016-05-25 11:36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4" s="73" t="str">
        <f t="shared" si="7"/>
        <v>N</v>
      </c>
      <c r="V64" s="73">
        <f t="shared" si="8"/>
        <v>1</v>
      </c>
      <c r="W64" s="73">
        <f t="shared" si="9"/>
        <v>4.3799999999999999E-2</v>
      </c>
      <c r="X64" s="73">
        <f t="shared" si="10"/>
        <v>23.330500000000001</v>
      </c>
      <c r="Y64" s="73">
        <f t="shared" si="11"/>
        <v>23.2867</v>
      </c>
      <c r="Z64" s="74" t="e">
        <f>VLOOKUP(A64,Enforcements!$C$3:$J$40,8,0)</f>
        <v>#N/A</v>
      </c>
      <c r="AA64" s="74" t="e">
        <f>VLOOKUP(A64,Enforcements!$C$3:$J$40,3,0)</f>
        <v>#N/A</v>
      </c>
    </row>
    <row r="65" spans="1:27" s="2" customFormat="1" x14ac:dyDescent="0.25">
      <c r="A65" s="60" t="s">
        <v>420</v>
      </c>
      <c r="B65" s="60">
        <v>4037</v>
      </c>
      <c r="C65" s="60" t="s">
        <v>66</v>
      </c>
      <c r="D65" s="60" t="s">
        <v>421</v>
      </c>
      <c r="E65" s="30">
        <v>42515.488055555557</v>
      </c>
      <c r="F65" s="30">
        <v>42515.489004629628</v>
      </c>
      <c r="G65" s="38">
        <v>1</v>
      </c>
      <c r="H65" s="30" t="s">
        <v>71</v>
      </c>
      <c r="I65" s="30">
        <v>42515.523032407407</v>
      </c>
      <c r="J65" s="60">
        <v>0</v>
      </c>
      <c r="K65" s="60" t="str">
        <f t="shared" si="4"/>
        <v>4037/4038</v>
      </c>
      <c r="L65" s="60" t="str">
        <f>VLOOKUP(A65,'Trips&amp;Operators'!$C$1:$E$9999,3,FALSE)</f>
        <v>ROCHA</v>
      </c>
      <c r="M65" s="12">
        <f t="shared" si="5"/>
        <v>3.4027777779556345E-2</v>
      </c>
      <c r="N65" s="13">
        <f t="shared" si="3"/>
        <v>49.000000002561137</v>
      </c>
      <c r="O65" s="13"/>
      <c r="P65" s="13"/>
      <c r="Q65" s="61"/>
      <c r="R65" s="61"/>
      <c r="T6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11:41:48-0600',mode:absolute,to:'2016-05-25 12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5" s="73" t="str">
        <f t="shared" si="7"/>
        <v>N</v>
      </c>
      <c r="V65" s="73">
        <f t="shared" si="8"/>
        <v>1</v>
      </c>
      <c r="W65" s="73">
        <f t="shared" si="9"/>
        <v>23.298200000000001</v>
      </c>
      <c r="X65" s="73">
        <f t="shared" si="10"/>
        <v>1.54E-2</v>
      </c>
      <c r="Y65" s="73">
        <f t="shared" si="11"/>
        <v>23.282800000000002</v>
      </c>
      <c r="Z65" s="74" t="e">
        <f>VLOOKUP(A65,Enforcements!$C$3:$J$40,8,0)</f>
        <v>#N/A</v>
      </c>
      <c r="AA65" s="74" t="e">
        <f>VLOOKUP(A65,Enforcements!$C$3:$J$40,3,0)</f>
        <v>#N/A</v>
      </c>
    </row>
    <row r="66" spans="1:27" s="2" customFormat="1" x14ac:dyDescent="0.25">
      <c r="A66" s="60" t="s">
        <v>422</v>
      </c>
      <c r="B66" s="60">
        <v>4029</v>
      </c>
      <c r="C66" s="60" t="s">
        <v>66</v>
      </c>
      <c r="D66" s="60" t="s">
        <v>423</v>
      </c>
      <c r="E66" s="30">
        <v>42515.47384259259</v>
      </c>
      <c r="F66" s="30">
        <v>42515.474502314813</v>
      </c>
      <c r="G66" s="38">
        <v>0</v>
      </c>
      <c r="H66" s="30" t="s">
        <v>424</v>
      </c>
      <c r="I66" s="30">
        <v>42515.475138888891</v>
      </c>
      <c r="J66" s="60">
        <v>0</v>
      </c>
      <c r="K66" s="60" t="str">
        <f t="shared" si="4"/>
        <v>4029/4030</v>
      </c>
      <c r="L66" s="60" t="str">
        <f>VLOOKUP(A66,'Trips&amp;Operators'!$C$1:$E$9999,3,FALSE)</f>
        <v>LOZA</v>
      </c>
      <c r="M66" s="12">
        <f t="shared" si="5"/>
        <v>6.36574077361729E-4</v>
      </c>
      <c r="N66" s="13"/>
      <c r="O66" s="13"/>
      <c r="P66" s="13">
        <f>24*60*SUM($M66:$M67)</f>
        <v>9.9499999999534339</v>
      </c>
      <c r="Q66" s="61" t="s">
        <v>274</v>
      </c>
      <c r="R66" s="61" t="s">
        <v>603</v>
      </c>
      <c r="T6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11:21:20-0600',mode:absolute,to:'2016-05-25 11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6" s="73" t="str">
        <f t="shared" si="7"/>
        <v>Y</v>
      </c>
      <c r="V66" s="73">
        <f t="shared" si="8"/>
        <v>1</v>
      </c>
      <c r="W66" s="73">
        <f t="shared" si="9"/>
        <v>1.9120999999999999</v>
      </c>
      <c r="X66" s="73">
        <f t="shared" si="10"/>
        <v>2.0731000000000002</v>
      </c>
      <c r="Y66" s="73">
        <f t="shared" si="11"/>
        <v>0.16100000000000025</v>
      </c>
      <c r="Z66" s="74" t="e">
        <f>VLOOKUP(A66,Enforcements!$C$3:$J$40,8,0)</f>
        <v>#N/A</v>
      </c>
      <c r="AA66" s="74" t="e">
        <f>VLOOKUP(A66,Enforcements!$C$3:$J$40,3,0)</f>
        <v>#N/A</v>
      </c>
    </row>
    <row r="67" spans="1:27" s="2" customFormat="1" x14ac:dyDescent="0.25">
      <c r="A67" s="60" t="s">
        <v>422</v>
      </c>
      <c r="B67" s="60">
        <v>4029</v>
      </c>
      <c r="C67" s="60" t="s">
        <v>66</v>
      </c>
      <c r="D67" s="60" t="s">
        <v>77</v>
      </c>
      <c r="E67" s="30">
        <v>42515.466203703705</v>
      </c>
      <c r="F67" s="30">
        <v>42515.467488425929</v>
      </c>
      <c r="G67" s="38">
        <v>1</v>
      </c>
      <c r="H67" s="30" t="s">
        <v>425</v>
      </c>
      <c r="I67" s="30">
        <v>42515.473761574074</v>
      </c>
      <c r="J67" s="60">
        <v>0</v>
      </c>
      <c r="K67" s="60" t="str">
        <f t="shared" si="4"/>
        <v>4029/4030</v>
      </c>
      <c r="L67" s="60" t="str">
        <f>VLOOKUP(A67,'Trips&amp;Operators'!$C$1:$E$9999,3,FALSE)</f>
        <v>LOZA</v>
      </c>
      <c r="M67" s="12">
        <f t="shared" si="5"/>
        <v>6.2731481448281556E-3</v>
      </c>
      <c r="N67" s="13"/>
      <c r="O67" s="13"/>
      <c r="P67" s="13"/>
      <c r="Q67" s="61"/>
      <c r="R67" s="61"/>
      <c r="T6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11:10:20-0600',mode:absolute,to:'2016-05-25 11:23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3" t="str">
        <f t="shared" si="7"/>
        <v>Y</v>
      </c>
      <c r="V67" s="73">
        <f t="shared" si="8"/>
        <v>0</v>
      </c>
      <c r="W67" s="73">
        <f t="shared" si="9"/>
        <v>4.5499999999999999E-2</v>
      </c>
      <c r="X67" s="73">
        <f t="shared" si="10"/>
        <v>1.9117</v>
      </c>
      <c r="Y67" s="73">
        <f t="shared" si="11"/>
        <v>1.8661999999999999</v>
      </c>
      <c r="Z67" s="74" t="e">
        <f>VLOOKUP(A67,Enforcements!$C$3:$J$40,8,0)</f>
        <v>#N/A</v>
      </c>
      <c r="AA67" s="74" t="e">
        <f>VLOOKUP(A67,Enforcements!$C$3:$J$40,3,0)</f>
        <v>#N/A</v>
      </c>
    </row>
    <row r="68" spans="1:27" s="2" customFormat="1" x14ac:dyDescent="0.25">
      <c r="A68" s="60" t="s">
        <v>426</v>
      </c>
      <c r="B68" s="60">
        <v>4030</v>
      </c>
      <c r="C68" s="60" t="s">
        <v>66</v>
      </c>
      <c r="D68" s="60" t="s">
        <v>427</v>
      </c>
      <c r="E68" s="30">
        <v>42515.518530092595</v>
      </c>
      <c r="F68" s="30">
        <v>42515.519189814811</v>
      </c>
      <c r="G68" s="38">
        <v>0</v>
      </c>
      <c r="H68" s="30" t="s">
        <v>95</v>
      </c>
      <c r="I68" s="30">
        <v>42515.534675925926</v>
      </c>
      <c r="J68" s="60">
        <v>0</v>
      </c>
      <c r="K68" s="60" t="str">
        <f t="shared" si="4"/>
        <v>4029/4030</v>
      </c>
      <c r="L68" s="60" t="str">
        <f>VLOOKUP(A68,'Trips&amp;Operators'!$C$1:$E$9999,3,FALSE)</f>
        <v>LOZA</v>
      </c>
      <c r="M68" s="12">
        <f t="shared" si="5"/>
        <v>1.5486111115023959E-2</v>
      </c>
      <c r="N68" s="13"/>
      <c r="O68" s="13"/>
      <c r="P68" s="13">
        <f>24*60*SUM($M68:$M69)</f>
        <v>39.866666671587154</v>
      </c>
      <c r="Q68" s="61" t="s">
        <v>274</v>
      </c>
      <c r="R68" s="61" t="s">
        <v>603</v>
      </c>
      <c r="T6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12:25:41-0600',mode:absolute,to:'2016-05-25 12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3" t="str">
        <f t="shared" si="7"/>
        <v>Y</v>
      </c>
      <c r="V68" s="73">
        <f t="shared" si="8"/>
        <v>1</v>
      </c>
      <c r="W68" s="73">
        <f t="shared" si="9"/>
        <v>12.7874</v>
      </c>
      <c r="X68" s="73">
        <f t="shared" si="10"/>
        <v>1.47E-2</v>
      </c>
      <c r="Y68" s="73">
        <f t="shared" si="11"/>
        <v>12.7727</v>
      </c>
      <c r="Z68" s="74" t="e">
        <f>VLOOKUP(A68,Enforcements!$C$3:$J$40,8,0)</f>
        <v>#N/A</v>
      </c>
      <c r="AA68" s="74" t="e">
        <f>VLOOKUP(A68,Enforcements!$C$3:$J$40,3,0)</f>
        <v>#N/A</v>
      </c>
    </row>
    <row r="69" spans="1:27" s="2" customFormat="1" x14ac:dyDescent="0.25">
      <c r="A69" s="60" t="s">
        <v>426</v>
      </c>
      <c r="B69" s="60">
        <v>4030</v>
      </c>
      <c r="C69" s="60" t="s">
        <v>66</v>
      </c>
      <c r="D69" s="60" t="s">
        <v>428</v>
      </c>
      <c r="E69" s="30">
        <v>42515.504953703705</v>
      </c>
      <c r="F69" s="30">
        <v>42515.506249999999</v>
      </c>
      <c r="G69" s="38">
        <v>1</v>
      </c>
      <c r="H69" s="30" t="s">
        <v>429</v>
      </c>
      <c r="I69" s="30">
        <v>42515.518449074072</v>
      </c>
      <c r="J69" s="60">
        <v>0</v>
      </c>
      <c r="K69" s="60" t="str">
        <f t="shared" ref="K69:K132" si="12">IF(ISEVEN(B69),(B69-1)&amp;"/"&amp;B69,B69&amp;"/"&amp;(B69+1))</f>
        <v>4029/4030</v>
      </c>
      <c r="L69" s="60" t="str">
        <f>VLOOKUP(A69,'Trips&amp;Operators'!$C$1:$E$9999,3,FALSE)</f>
        <v>LOZA</v>
      </c>
      <c r="M69" s="12">
        <f t="shared" ref="M69:M132" si="13">I69-F69</f>
        <v>1.2199074073578231E-2</v>
      </c>
      <c r="N69" s="13"/>
      <c r="O69" s="13"/>
      <c r="P69" s="13"/>
      <c r="Q69" s="61"/>
      <c r="R69" s="61"/>
      <c r="T69" s="73" t="str">
        <f t="shared" ref="T69:T132" si="14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https://search-rtdc-monitor-bjffxe2xuh6vdkpspy63sjmuny.us-east-1.es.amazonaws.com/_plugin/kibana/#/discover/Steve-Slow-Train-Analysis-(2080s-and-2083s)?_g=(refreshInterval:(display:Off,section:0,value:0),time:(from:'2016-05-25 12:06:08-0600',mode:absolute,to:'2016-05-25 12:27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9" s="73" t="str">
        <f t="shared" ref="U69:U132" si="15">IF(Y69&lt;23,"Y","N")</f>
        <v>Y</v>
      </c>
      <c r="V69" s="73">
        <f t="shared" ref="V69:V132" si="16">VALUE(LEFT(A69,3))-VALUE(LEFT(A68,3))</f>
        <v>0</v>
      </c>
      <c r="W69" s="73">
        <f t="shared" ref="W69:W132" si="17">RIGHT(D69,LEN(D69)-4)/10000</f>
        <v>23.302700000000002</v>
      </c>
      <c r="X69" s="73">
        <f t="shared" ref="X69:X132" si="18">RIGHT(H69,LEN(H69)-4)/10000</f>
        <v>12.7872</v>
      </c>
      <c r="Y69" s="73">
        <f t="shared" ref="Y69:Y132" si="19">ABS(X69-W69)</f>
        <v>10.515500000000001</v>
      </c>
      <c r="Z69" s="74" t="e">
        <f>VLOOKUP(A69,Enforcements!$C$3:$J$40,8,0)</f>
        <v>#N/A</v>
      </c>
      <c r="AA69" s="74" t="e">
        <f>VLOOKUP(A69,Enforcements!$C$3:$J$40,3,0)</f>
        <v>#N/A</v>
      </c>
    </row>
    <row r="70" spans="1:27" s="2" customFormat="1" x14ac:dyDescent="0.25">
      <c r="A70" s="60" t="s">
        <v>430</v>
      </c>
      <c r="B70" s="60">
        <v>4031</v>
      </c>
      <c r="C70" s="60" t="s">
        <v>66</v>
      </c>
      <c r="D70" s="60" t="s">
        <v>78</v>
      </c>
      <c r="E70" s="30">
        <v>42515.473136574074</v>
      </c>
      <c r="F70" s="30">
        <v>42515.474548611113</v>
      </c>
      <c r="G70" s="38">
        <v>2</v>
      </c>
      <c r="H70" s="30" t="s">
        <v>431</v>
      </c>
      <c r="I70" s="30">
        <v>42515.483958333331</v>
      </c>
      <c r="J70" s="60">
        <v>0</v>
      </c>
      <c r="K70" s="60" t="str">
        <f t="shared" si="12"/>
        <v>4031/4032</v>
      </c>
      <c r="L70" s="60" t="str">
        <f>VLOOKUP(A70,'Trips&amp;Operators'!$C$1:$E$9999,3,FALSE)</f>
        <v>YORK</v>
      </c>
      <c r="M70" s="12">
        <f t="shared" si="13"/>
        <v>9.4097222172422335E-3</v>
      </c>
      <c r="N70" s="13"/>
      <c r="O70" s="13"/>
      <c r="P70" s="13">
        <f>24*60*SUM($M70:$M71)</f>
        <v>16.716666655847803</v>
      </c>
      <c r="Q70" s="61" t="s">
        <v>274</v>
      </c>
      <c r="R70" s="61" t="s">
        <v>603</v>
      </c>
      <c r="T7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11:20:19-0600',mode:absolute,to:'2016-05-25 11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0" s="73" t="str">
        <f t="shared" si="15"/>
        <v>Y</v>
      </c>
      <c r="V70" s="73">
        <f t="shared" si="16"/>
        <v>1</v>
      </c>
      <c r="W70" s="73">
        <f t="shared" si="17"/>
        <v>4.5100000000000001E-2</v>
      </c>
      <c r="X70" s="73">
        <f t="shared" si="18"/>
        <v>1.9136</v>
      </c>
      <c r="Y70" s="73">
        <f t="shared" si="19"/>
        <v>1.8685</v>
      </c>
      <c r="Z70" s="74" t="e">
        <f>VLOOKUP(A70,Enforcements!$C$3:$J$40,8,0)</f>
        <v>#N/A</v>
      </c>
      <c r="AA70" s="74" t="e">
        <f>VLOOKUP(A70,Enforcements!$C$3:$J$40,3,0)</f>
        <v>#N/A</v>
      </c>
    </row>
    <row r="71" spans="1:27" s="2" customFormat="1" x14ac:dyDescent="0.25">
      <c r="A71" s="60" t="s">
        <v>430</v>
      </c>
      <c r="B71" s="60">
        <v>4031</v>
      </c>
      <c r="C71" s="60" t="s">
        <v>66</v>
      </c>
      <c r="D71" s="60" t="s">
        <v>432</v>
      </c>
      <c r="E71" s="30">
        <v>42515.489398148151</v>
      </c>
      <c r="F71" s="30">
        <v>42515.49019675926</v>
      </c>
      <c r="G71" s="38">
        <v>1</v>
      </c>
      <c r="H71" s="30" t="s">
        <v>433</v>
      </c>
      <c r="I71" s="30">
        <v>42515.492395833331</v>
      </c>
      <c r="J71" s="60">
        <v>0</v>
      </c>
      <c r="K71" s="60" t="str">
        <f t="shared" si="12"/>
        <v>4031/4032</v>
      </c>
      <c r="L71" s="60" t="str">
        <f>VLOOKUP(A71,'Trips&amp;Operators'!$C$1:$E$9999,3,FALSE)</f>
        <v>YORK</v>
      </c>
      <c r="M71" s="12">
        <f t="shared" si="13"/>
        <v>2.1990740715409629E-3</v>
      </c>
      <c r="N71" s="13"/>
      <c r="O71" s="13"/>
      <c r="P71" s="13"/>
      <c r="Q71" s="61"/>
      <c r="R71" s="61"/>
      <c r="T7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11:43:44-0600',mode:absolute,to:'2016-05-25 11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1" s="73" t="str">
        <f t="shared" si="15"/>
        <v>Y</v>
      </c>
      <c r="V71" s="73">
        <f t="shared" si="16"/>
        <v>0</v>
      </c>
      <c r="W71" s="73">
        <f t="shared" si="17"/>
        <v>6.4690000000000003</v>
      </c>
      <c r="X71" s="73">
        <f t="shared" si="18"/>
        <v>8.6374999999999993</v>
      </c>
      <c r="Y71" s="73">
        <f t="shared" si="19"/>
        <v>2.168499999999999</v>
      </c>
      <c r="Z71" s="74" t="e">
        <f>VLOOKUP(A71,Enforcements!$C$3:$J$40,8,0)</f>
        <v>#N/A</v>
      </c>
      <c r="AA71" s="74" t="e">
        <f>VLOOKUP(A71,Enforcements!$C$3:$J$40,3,0)</f>
        <v>#N/A</v>
      </c>
    </row>
    <row r="72" spans="1:27" s="2" customFormat="1" x14ac:dyDescent="0.25">
      <c r="A72" s="60" t="s">
        <v>434</v>
      </c>
      <c r="B72" s="60">
        <v>4032</v>
      </c>
      <c r="C72" s="60" t="s">
        <v>66</v>
      </c>
      <c r="D72" s="60" t="s">
        <v>142</v>
      </c>
      <c r="E72" s="30">
        <v>42515.508125</v>
      </c>
      <c r="F72" s="30">
        <v>42515.50953703704</v>
      </c>
      <c r="G72" s="38">
        <v>2</v>
      </c>
      <c r="H72" s="30" t="s">
        <v>69</v>
      </c>
      <c r="I72" s="30">
        <v>42515.516145833331</v>
      </c>
      <c r="J72" s="60">
        <v>0</v>
      </c>
      <c r="K72" s="60" t="str">
        <f t="shared" si="12"/>
        <v>4031/4032</v>
      </c>
      <c r="L72" s="60" t="str">
        <f>VLOOKUP(A72,'Trips&amp;Operators'!$C$1:$E$9999,3,FALSE)</f>
        <v>YORK</v>
      </c>
      <c r="M72" s="12">
        <f t="shared" si="13"/>
        <v>6.6087962914025411E-3</v>
      </c>
      <c r="N72" s="13"/>
      <c r="O72" s="13"/>
      <c r="P72" s="13">
        <f t="shared" si="3"/>
        <v>9.5166666596196592</v>
      </c>
      <c r="Q72" s="61" t="s">
        <v>274</v>
      </c>
      <c r="R72" s="61" t="s">
        <v>603</v>
      </c>
      <c r="T7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12:10:42-0600',mode:absolute,to:'2016-05-25 12:24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2" s="73" t="str">
        <f t="shared" si="15"/>
        <v>Y</v>
      </c>
      <c r="V72" s="73">
        <f t="shared" si="16"/>
        <v>1</v>
      </c>
      <c r="W72" s="73">
        <f t="shared" si="17"/>
        <v>23.297699999999999</v>
      </c>
      <c r="X72" s="73">
        <f t="shared" si="18"/>
        <v>23.297799999999999</v>
      </c>
      <c r="Y72" s="73">
        <f t="shared" si="19"/>
        <v>9.9999999999766942E-5</v>
      </c>
      <c r="Z72" s="74" t="e">
        <f>VLOOKUP(A72,Enforcements!$C$3:$J$40,8,0)</f>
        <v>#N/A</v>
      </c>
      <c r="AA72" s="74" t="e">
        <f>VLOOKUP(A72,Enforcements!$C$3:$J$40,3,0)</f>
        <v>#N/A</v>
      </c>
    </row>
    <row r="73" spans="1:27" s="2" customFormat="1" x14ac:dyDescent="0.25">
      <c r="A73" s="60" t="s">
        <v>435</v>
      </c>
      <c r="B73" s="60">
        <v>4009</v>
      </c>
      <c r="C73" s="60" t="s">
        <v>66</v>
      </c>
      <c r="D73" s="60" t="s">
        <v>436</v>
      </c>
      <c r="E73" s="30">
        <v>42515.493761574071</v>
      </c>
      <c r="F73" s="30">
        <v>42515.494513888887</v>
      </c>
      <c r="G73" s="38">
        <v>1</v>
      </c>
      <c r="H73" s="30" t="s">
        <v>437</v>
      </c>
      <c r="I73" s="30">
        <v>42515.494942129626</v>
      </c>
      <c r="J73" s="60">
        <v>0</v>
      </c>
      <c r="K73" s="60" t="str">
        <f t="shared" si="12"/>
        <v>4009/4010</v>
      </c>
      <c r="L73" s="60" t="str">
        <f>VLOOKUP(A73,'Trips&amp;Operators'!$C$1:$E$9999,3,FALSE)</f>
        <v>BUTLER</v>
      </c>
      <c r="M73" s="12">
        <f t="shared" si="13"/>
        <v>4.2824073898373172E-4</v>
      </c>
      <c r="N73" s="13"/>
      <c r="O73" s="13"/>
      <c r="P73" s="13">
        <f>24*60*SUM($M73:$M74)</f>
        <v>7.4166666611563414</v>
      </c>
      <c r="Q73" s="61" t="s">
        <v>274</v>
      </c>
      <c r="R73" s="61" t="s">
        <v>603</v>
      </c>
      <c r="T7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11:50:01-0600',mode:absolute,to:'2016-05-25 11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3" s="73" t="str">
        <f t="shared" si="15"/>
        <v>Y</v>
      </c>
      <c r="V73" s="73">
        <f t="shared" si="16"/>
        <v>1</v>
      </c>
      <c r="W73" s="73">
        <f t="shared" si="17"/>
        <v>1.9137</v>
      </c>
      <c r="X73" s="73">
        <f t="shared" si="18"/>
        <v>1.9421999999999999</v>
      </c>
      <c r="Y73" s="73">
        <f t="shared" si="19"/>
        <v>2.849999999999997E-2</v>
      </c>
      <c r="Z73" s="74" t="e">
        <f>VLOOKUP(A73,Enforcements!$C$3:$J$40,8,0)</f>
        <v>#N/A</v>
      </c>
      <c r="AA73" s="74" t="e">
        <f>VLOOKUP(A73,Enforcements!$C$3:$J$40,3,0)</f>
        <v>#N/A</v>
      </c>
    </row>
    <row r="74" spans="1:27" s="2" customFormat="1" x14ac:dyDescent="0.25">
      <c r="A74" s="60" t="s">
        <v>435</v>
      </c>
      <c r="B74" s="60">
        <v>4009</v>
      </c>
      <c r="C74" s="60" t="s">
        <v>66</v>
      </c>
      <c r="D74" s="60" t="s">
        <v>74</v>
      </c>
      <c r="E74" s="30">
        <v>42515.484074074076</v>
      </c>
      <c r="F74" s="30">
        <v>42515.485601851855</v>
      </c>
      <c r="G74" s="38">
        <v>2</v>
      </c>
      <c r="H74" s="30" t="s">
        <v>438</v>
      </c>
      <c r="I74" s="30">
        <v>42515.490324074075</v>
      </c>
      <c r="J74" s="60">
        <v>0</v>
      </c>
      <c r="K74" s="60" t="str">
        <f t="shared" si="12"/>
        <v>4009/4010</v>
      </c>
      <c r="L74" s="60" t="str">
        <f>VLOOKUP(A74,'Trips&amp;Operators'!$C$1:$E$9999,3,FALSE)</f>
        <v>BUTLER</v>
      </c>
      <c r="M74" s="12">
        <f t="shared" si="13"/>
        <v>4.7222222201526165E-3</v>
      </c>
      <c r="N74" s="13"/>
      <c r="O74" s="13"/>
      <c r="P74" s="13"/>
      <c r="Q74" s="61"/>
      <c r="R74" s="61"/>
      <c r="T7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11:36:04-0600',mode:absolute,to:'2016-05-25 11:47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4" s="73" t="str">
        <f t="shared" si="15"/>
        <v>Y</v>
      </c>
      <c r="V74" s="73">
        <f t="shared" si="16"/>
        <v>0</v>
      </c>
      <c r="W74" s="73">
        <f t="shared" si="17"/>
        <v>4.4699999999999997E-2</v>
      </c>
      <c r="X74" s="73">
        <f t="shared" si="18"/>
        <v>0.12239999999999999</v>
      </c>
      <c r="Y74" s="73">
        <f t="shared" si="19"/>
        <v>7.7699999999999991E-2</v>
      </c>
      <c r="Z74" s="74" t="e">
        <f>VLOOKUP(A74,Enforcements!$C$3:$J$40,8,0)</f>
        <v>#N/A</v>
      </c>
      <c r="AA74" s="74" t="e">
        <f>VLOOKUP(A74,Enforcements!$C$3:$J$40,3,0)</f>
        <v>#N/A</v>
      </c>
    </row>
    <row r="75" spans="1:27" s="2" customFormat="1" x14ac:dyDescent="0.25">
      <c r="A75" s="60" t="s">
        <v>439</v>
      </c>
      <c r="B75" s="60">
        <v>4010</v>
      </c>
      <c r="C75" s="60" t="s">
        <v>66</v>
      </c>
      <c r="D75" s="60" t="s">
        <v>118</v>
      </c>
      <c r="E75" s="30">
        <v>42515.520925925928</v>
      </c>
      <c r="F75" s="30">
        <v>42515.522581018522</v>
      </c>
      <c r="G75" s="38">
        <v>2</v>
      </c>
      <c r="H75" s="30" t="s">
        <v>440</v>
      </c>
      <c r="I75" s="30">
        <v>42515.529456018521</v>
      </c>
      <c r="J75" s="60">
        <v>0</v>
      </c>
      <c r="K75" s="60" t="str">
        <f t="shared" si="12"/>
        <v>4009/4010</v>
      </c>
      <c r="L75" s="60" t="str">
        <f>VLOOKUP(A75,'Trips&amp;Operators'!$C$1:$E$9999,3,FALSE)</f>
        <v>BUTLER</v>
      </c>
      <c r="M75" s="12">
        <f t="shared" si="13"/>
        <v>6.8749999991268851E-3</v>
      </c>
      <c r="N75" s="13"/>
      <c r="O75" s="13"/>
      <c r="P75" s="13">
        <f t="shared" si="3"/>
        <v>9.8999999987427145</v>
      </c>
      <c r="Q75" s="61" t="s">
        <v>274</v>
      </c>
      <c r="R75" s="61" t="s">
        <v>603</v>
      </c>
      <c r="T7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12:29:08-0600',mode:absolute,to:'2016-05-25 12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5" s="73" t="str">
        <f t="shared" si="15"/>
        <v>Y</v>
      </c>
      <c r="V75" s="73">
        <f t="shared" si="16"/>
        <v>1</v>
      </c>
      <c r="W75" s="73">
        <f t="shared" si="17"/>
        <v>23.299600000000002</v>
      </c>
      <c r="X75" s="73">
        <f t="shared" si="18"/>
        <v>23.239599999999999</v>
      </c>
      <c r="Y75" s="73">
        <f t="shared" si="19"/>
        <v>6.0000000000002274E-2</v>
      </c>
      <c r="Z75" s="74" t="e">
        <f>VLOOKUP(A75,Enforcements!$C$3:$J$40,8,0)</f>
        <v>#N/A</v>
      </c>
      <c r="AA75" s="74" t="e">
        <f>VLOOKUP(A75,Enforcements!$C$3:$J$40,3,0)</f>
        <v>#N/A</v>
      </c>
    </row>
    <row r="76" spans="1:27" s="2" customFormat="1" x14ac:dyDescent="0.25">
      <c r="A76" s="60" t="s">
        <v>441</v>
      </c>
      <c r="B76" s="60">
        <v>4027</v>
      </c>
      <c r="C76" s="60" t="s">
        <v>66</v>
      </c>
      <c r="D76" s="60" t="s">
        <v>442</v>
      </c>
      <c r="E76" s="30">
        <v>42515.499710648146</v>
      </c>
      <c r="F76" s="30">
        <v>42515.500983796293</v>
      </c>
      <c r="G76" s="38">
        <v>1</v>
      </c>
      <c r="H76" s="30" t="s">
        <v>443</v>
      </c>
      <c r="I76" s="30">
        <v>42515.525740740741</v>
      </c>
      <c r="J76" s="60">
        <v>0</v>
      </c>
      <c r="K76" s="60" t="str">
        <f t="shared" si="12"/>
        <v>4027/4028</v>
      </c>
      <c r="L76" s="60" t="str">
        <f>VLOOKUP(A76,'Trips&amp;Operators'!$C$1:$E$9999,3,FALSE)</f>
        <v>SPECTOR</v>
      </c>
      <c r="M76" s="12">
        <f t="shared" si="13"/>
        <v>2.4756944447290152E-2</v>
      </c>
      <c r="N76" s="13">
        <f t="shared" si="3"/>
        <v>35.650000004097819</v>
      </c>
      <c r="O76" s="13"/>
      <c r="P76" s="13"/>
      <c r="Q76" s="61"/>
      <c r="R76" s="61"/>
      <c r="T7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11:58:35-0600',mode:absolute,to:'2016-05-25 12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6" s="73" t="str">
        <f t="shared" si="15"/>
        <v>N</v>
      </c>
      <c r="V76" s="73">
        <f t="shared" si="16"/>
        <v>1</v>
      </c>
      <c r="W76" s="73">
        <f t="shared" si="17"/>
        <v>0.14940000000000001</v>
      </c>
      <c r="X76" s="73">
        <f t="shared" si="18"/>
        <v>23.332799999999999</v>
      </c>
      <c r="Y76" s="73">
        <f t="shared" si="19"/>
        <v>23.183399999999999</v>
      </c>
      <c r="Z76" s="74" t="e">
        <f>VLOOKUP(A76,Enforcements!$C$3:$J$40,8,0)</f>
        <v>#N/A</v>
      </c>
      <c r="AA76" s="74" t="e">
        <f>VLOOKUP(A76,Enforcements!$C$3:$J$40,3,0)</f>
        <v>#N/A</v>
      </c>
    </row>
    <row r="77" spans="1:27" s="2" customFormat="1" x14ac:dyDescent="0.25">
      <c r="A77" s="60" t="s">
        <v>319</v>
      </c>
      <c r="B77" s="60">
        <v>4028</v>
      </c>
      <c r="C77" s="60" t="s">
        <v>66</v>
      </c>
      <c r="D77" s="60" t="s">
        <v>382</v>
      </c>
      <c r="E77" s="30">
        <v>42515.534722222219</v>
      </c>
      <c r="F77" s="30">
        <v>42515.536203703705</v>
      </c>
      <c r="G77" s="38">
        <v>2</v>
      </c>
      <c r="H77" s="30" t="s">
        <v>343</v>
      </c>
      <c r="I77" s="30">
        <v>42515.574340277781</v>
      </c>
      <c r="J77" s="60">
        <v>1</v>
      </c>
      <c r="K77" s="60" t="str">
        <f t="shared" si="12"/>
        <v>4027/4028</v>
      </c>
      <c r="L77" s="60" t="str">
        <f>VLOOKUP(A77,'Trips&amp;Operators'!$C$1:$E$9999,3,FALSE)</f>
        <v>SPECTOR</v>
      </c>
      <c r="M77" s="12">
        <f t="shared" si="13"/>
        <v>3.8136574075906537E-2</v>
      </c>
      <c r="N77" s="13">
        <f t="shared" si="3"/>
        <v>54.916666669305414</v>
      </c>
      <c r="O77" s="13"/>
      <c r="P77" s="13"/>
      <c r="Q77" s="61"/>
      <c r="R77" s="61"/>
      <c r="T7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12:49:00-0600',mode:absolute,to:'2016-05-25 13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7" s="73" t="str">
        <f t="shared" si="15"/>
        <v>N</v>
      </c>
      <c r="V77" s="73">
        <f t="shared" si="16"/>
        <v>1</v>
      </c>
      <c r="W77" s="73">
        <f t="shared" si="17"/>
        <v>23.299800000000001</v>
      </c>
      <c r="X77" s="73">
        <f t="shared" si="18"/>
        <v>1.7999999999999999E-2</v>
      </c>
      <c r="Y77" s="73">
        <f t="shared" si="19"/>
        <v>23.2818</v>
      </c>
      <c r="Z77" s="74">
        <f>VLOOKUP(A77,Enforcements!$C$3:$J$40,8,0)</f>
        <v>1</v>
      </c>
      <c r="AA77" s="74" t="str">
        <f>VLOOKUP(A77,Enforcements!$C$3:$J$40,3,0)</f>
        <v>TRACK WARRANT AUTHORITY</v>
      </c>
    </row>
    <row r="78" spans="1:27" s="2" customFormat="1" x14ac:dyDescent="0.25">
      <c r="A78" s="60" t="s">
        <v>444</v>
      </c>
      <c r="B78" s="60">
        <v>4020</v>
      </c>
      <c r="C78" s="60" t="s">
        <v>66</v>
      </c>
      <c r="D78" s="60" t="s">
        <v>436</v>
      </c>
      <c r="E78" s="30">
        <v>42515.514456018522</v>
      </c>
      <c r="F78" s="30">
        <v>42515.515231481484</v>
      </c>
      <c r="G78" s="38">
        <v>1</v>
      </c>
      <c r="H78" s="30" t="s">
        <v>445</v>
      </c>
      <c r="I78" s="30">
        <v>42515.516238425924</v>
      </c>
      <c r="J78" s="60">
        <v>0</v>
      </c>
      <c r="K78" s="60" t="str">
        <f t="shared" si="12"/>
        <v>4019/4020</v>
      </c>
      <c r="L78" s="60" t="str">
        <f>VLOOKUP(A78,'Trips&amp;Operators'!$C$1:$E$9999,3,FALSE)</f>
        <v>STEWART</v>
      </c>
      <c r="M78" s="12">
        <f t="shared" si="13"/>
        <v>1.0069444397231564E-3</v>
      </c>
      <c r="N78" s="13"/>
      <c r="O78" s="13"/>
      <c r="P78" s="13">
        <f>24*60*SUM($M78:$M79)</f>
        <v>8.0833333265036345</v>
      </c>
      <c r="Q78" s="61" t="s">
        <v>274</v>
      </c>
      <c r="R78" s="61" t="s">
        <v>603</v>
      </c>
      <c r="T7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12:19:49-0600',mode:absolute,to:'2016-05-25 12:24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3" t="str">
        <f t="shared" si="15"/>
        <v>Y</v>
      </c>
      <c r="V78" s="73">
        <f t="shared" si="16"/>
        <v>1</v>
      </c>
      <c r="W78" s="73">
        <f t="shared" si="17"/>
        <v>1.9137</v>
      </c>
      <c r="X78" s="73">
        <f t="shared" si="18"/>
        <v>1.9597</v>
      </c>
      <c r="Y78" s="73">
        <f t="shared" si="19"/>
        <v>4.6000000000000041E-2</v>
      </c>
      <c r="Z78" s="74" t="e">
        <f>VLOOKUP(A78,Enforcements!$C$3:$J$40,8,0)</f>
        <v>#N/A</v>
      </c>
      <c r="AA78" s="74" t="e">
        <f>VLOOKUP(A78,Enforcements!$C$3:$J$40,3,0)</f>
        <v>#N/A</v>
      </c>
    </row>
    <row r="79" spans="1:27" s="2" customFormat="1" x14ac:dyDescent="0.25">
      <c r="A79" s="60" t="s">
        <v>444</v>
      </c>
      <c r="B79" s="60">
        <v>4020</v>
      </c>
      <c r="C79" s="60" t="s">
        <v>66</v>
      </c>
      <c r="D79" s="60" t="s">
        <v>375</v>
      </c>
      <c r="E79" s="30">
        <v>42515.505671296298</v>
      </c>
      <c r="F79" s="30">
        <v>42515.506921296299</v>
      </c>
      <c r="G79" s="38">
        <v>1</v>
      </c>
      <c r="H79" s="30" t="s">
        <v>446</v>
      </c>
      <c r="I79" s="30">
        <v>42515.51152777778</v>
      </c>
      <c r="J79" s="60">
        <v>0</v>
      </c>
      <c r="K79" s="60" t="str">
        <f t="shared" si="12"/>
        <v>4019/4020</v>
      </c>
      <c r="L79" s="60" t="str">
        <f>VLOOKUP(A79,'Trips&amp;Operators'!$C$1:$E$9999,3,FALSE)</f>
        <v>STEWART</v>
      </c>
      <c r="M79" s="12">
        <f t="shared" si="13"/>
        <v>4.6064814814599231E-3</v>
      </c>
      <c r="N79" s="13"/>
      <c r="O79" s="13"/>
      <c r="P79" s="13"/>
      <c r="Q79" s="61"/>
      <c r="R79" s="61"/>
      <c r="T7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12:07:10-0600',mode:absolute,to:'2016-05-25 12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9" s="73" t="str">
        <f t="shared" si="15"/>
        <v>Y</v>
      </c>
      <c r="V79" s="73">
        <f t="shared" si="16"/>
        <v>0</v>
      </c>
      <c r="W79" s="73">
        <f t="shared" si="17"/>
        <v>4.53E-2</v>
      </c>
      <c r="X79" s="73">
        <f t="shared" si="18"/>
        <v>0.12529999999999999</v>
      </c>
      <c r="Y79" s="73">
        <f t="shared" si="19"/>
        <v>7.9999999999999988E-2</v>
      </c>
      <c r="Z79" s="74" t="e">
        <f>VLOOKUP(A79,Enforcements!$C$3:$J$40,8,0)</f>
        <v>#N/A</v>
      </c>
      <c r="AA79" s="74" t="e">
        <f>VLOOKUP(A79,Enforcements!$C$3:$J$40,3,0)</f>
        <v>#N/A</v>
      </c>
    </row>
    <row r="80" spans="1:27" s="2" customFormat="1" x14ac:dyDescent="0.25">
      <c r="A80" s="60" t="s">
        <v>447</v>
      </c>
      <c r="B80" s="60">
        <v>4019</v>
      </c>
      <c r="C80" s="60" t="s">
        <v>66</v>
      </c>
      <c r="D80" s="60" t="s">
        <v>139</v>
      </c>
      <c r="E80" s="30">
        <v>42515.545578703706</v>
      </c>
      <c r="F80" s="30">
        <v>42515.547511574077</v>
      </c>
      <c r="G80" s="38">
        <v>2</v>
      </c>
      <c r="H80" s="30" t="s">
        <v>448</v>
      </c>
      <c r="I80" s="30">
        <v>42515.550069444442</v>
      </c>
      <c r="J80" s="60">
        <v>0</v>
      </c>
      <c r="K80" s="60" t="str">
        <f t="shared" si="12"/>
        <v>4019/4020</v>
      </c>
      <c r="L80" s="60" t="str">
        <f>VLOOKUP(A80,'Trips&amp;Operators'!$C$1:$E$9999,3,FALSE)</f>
        <v>STEWART</v>
      </c>
      <c r="M80" s="12">
        <f t="shared" si="13"/>
        <v>2.5578703643986955E-3</v>
      </c>
      <c r="N80" s="13"/>
      <c r="O80" s="13"/>
      <c r="P80" s="13">
        <f t="shared" si="3"/>
        <v>3.6833333247341216</v>
      </c>
      <c r="Q80" s="61" t="s">
        <v>274</v>
      </c>
      <c r="R80" s="61" t="s">
        <v>603</v>
      </c>
      <c r="T8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13:04:38-0600',mode:absolute,to:'2016-05-25 13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0" s="73" t="str">
        <f t="shared" si="15"/>
        <v>Y</v>
      </c>
      <c r="V80" s="73">
        <f t="shared" si="16"/>
        <v>1</v>
      </c>
      <c r="W80" s="73">
        <f t="shared" si="17"/>
        <v>23.299299999999999</v>
      </c>
      <c r="X80" s="73">
        <f t="shared" si="18"/>
        <v>23.242799999999999</v>
      </c>
      <c r="Y80" s="73">
        <f t="shared" si="19"/>
        <v>5.6499999999999773E-2</v>
      </c>
      <c r="Z80" s="74" t="e">
        <f>VLOOKUP(A80,Enforcements!$C$3:$J$40,8,0)</f>
        <v>#N/A</v>
      </c>
      <c r="AA80" s="74" t="e">
        <f>VLOOKUP(A80,Enforcements!$C$3:$J$40,3,0)</f>
        <v>#N/A</v>
      </c>
    </row>
    <row r="81" spans="1:27" s="2" customFormat="1" x14ac:dyDescent="0.25">
      <c r="A81" s="60" t="s">
        <v>449</v>
      </c>
      <c r="B81" s="60">
        <v>4040</v>
      </c>
      <c r="C81" s="60" t="s">
        <v>66</v>
      </c>
      <c r="D81" s="60" t="s">
        <v>153</v>
      </c>
      <c r="E81" s="30">
        <v>42515.519432870373</v>
      </c>
      <c r="F81" s="30">
        <v>42515.520486111112</v>
      </c>
      <c r="G81" s="38">
        <v>1</v>
      </c>
      <c r="H81" s="30" t="s">
        <v>307</v>
      </c>
      <c r="I81" s="30">
        <v>42515.545347222222</v>
      </c>
      <c r="J81" s="60">
        <v>0</v>
      </c>
      <c r="K81" s="60" t="str">
        <f t="shared" si="12"/>
        <v>4039/4040</v>
      </c>
      <c r="L81" s="60" t="str">
        <f>VLOOKUP(A81,'Trips&amp;Operators'!$C$1:$E$9999,3,FALSE)</f>
        <v>RIVERA</v>
      </c>
      <c r="M81" s="12">
        <f t="shared" si="13"/>
        <v>2.4861111109203193E-2</v>
      </c>
      <c r="N81" s="13">
        <f t="shared" si="3"/>
        <v>35.799999997252598</v>
      </c>
      <c r="O81" s="13"/>
      <c r="P81" s="13"/>
      <c r="Q81" s="61"/>
      <c r="R81" s="61"/>
      <c r="T8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12:26:59-0600',mode:absolute,to:'2016-05-25 13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1" s="73" t="str">
        <f t="shared" si="15"/>
        <v>N</v>
      </c>
      <c r="V81" s="73">
        <f t="shared" si="16"/>
        <v>1</v>
      </c>
      <c r="W81" s="73">
        <f t="shared" si="17"/>
        <v>4.6199999999999998E-2</v>
      </c>
      <c r="X81" s="73">
        <f t="shared" si="18"/>
        <v>23.331199999999999</v>
      </c>
      <c r="Y81" s="73">
        <f t="shared" si="19"/>
        <v>23.285</v>
      </c>
      <c r="Z81" s="74" t="e">
        <f>VLOOKUP(A81,Enforcements!$C$3:$J$40,8,0)</f>
        <v>#N/A</v>
      </c>
      <c r="AA81" s="74" t="e">
        <f>VLOOKUP(A81,Enforcements!$C$3:$J$40,3,0)</f>
        <v>#N/A</v>
      </c>
    </row>
    <row r="82" spans="1:27" s="2" customFormat="1" x14ac:dyDescent="0.25">
      <c r="A82" s="60" t="s">
        <v>450</v>
      </c>
      <c r="B82" s="60">
        <v>4039</v>
      </c>
      <c r="C82" s="60" t="s">
        <v>66</v>
      </c>
      <c r="D82" s="60" t="s">
        <v>69</v>
      </c>
      <c r="E82" s="30">
        <v>42515.55232638889</v>
      </c>
      <c r="F82" s="30">
        <v>42515.55327546296</v>
      </c>
      <c r="G82" s="38">
        <v>1</v>
      </c>
      <c r="H82" s="30" t="s">
        <v>73</v>
      </c>
      <c r="I82" s="30">
        <v>42515.591516203705</v>
      </c>
      <c r="J82" s="60">
        <v>0</v>
      </c>
      <c r="K82" s="60" t="str">
        <f t="shared" si="12"/>
        <v>4039/4040</v>
      </c>
      <c r="L82" s="60" t="str">
        <f>VLOOKUP(A82,'Trips&amp;Operators'!$C$1:$E$9999,3,FALSE)</f>
        <v>RIVERA</v>
      </c>
      <c r="M82" s="12">
        <f t="shared" si="13"/>
        <v>3.8240740745095536E-2</v>
      </c>
      <c r="N82" s="13">
        <f t="shared" si="3"/>
        <v>55.066666672937572</v>
      </c>
      <c r="O82" s="13"/>
      <c r="P82" s="13"/>
      <c r="Q82" s="61"/>
      <c r="R82" s="61"/>
      <c r="T8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13:14:21-0600',mode:absolute,to:'2016-05-25 14:12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2" s="73" t="str">
        <f t="shared" si="15"/>
        <v>N</v>
      </c>
      <c r="V82" s="73">
        <f t="shared" si="16"/>
        <v>1</v>
      </c>
      <c r="W82" s="73">
        <f t="shared" si="17"/>
        <v>23.297799999999999</v>
      </c>
      <c r="X82" s="73">
        <f t="shared" si="18"/>
        <v>1.4500000000000001E-2</v>
      </c>
      <c r="Y82" s="73">
        <f t="shared" si="19"/>
        <v>23.283299999999997</v>
      </c>
      <c r="Z82" s="74" t="e">
        <f>VLOOKUP(A82,Enforcements!$C$3:$J$40,8,0)</f>
        <v>#N/A</v>
      </c>
      <c r="AA82" s="74" t="e">
        <f>VLOOKUP(A82,Enforcements!$C$3:$J$40,3,0)</f>
        <v>#N/A</v>
      </c>
    </row>
    <row r="83" spans="1:27" s="2" customFormat="1" x14ac:dyDescent="0.25">
      <c r="A83" s="60" t="s">
        <v>451</v>
      </c>
      <c r="B83" s="60">
        <v>4038</v>
      </c>
      <c r="C83" s="60" t="s">
        <v>66</v>
      </c>
      <c r="D83" s="60" t="s">
        <v>305</v>
      </c>
      <c r="E83" s="30">
        <v>42515.527638888889</v>
      </c>
      <c r="F83" s="30">
        <v>42515.528784722221</v>
      </c>
      <c r="G83" s="38">
        <v>1</v>
      </c>
      <c r="H83" s="30" t="s">
        <v>436</v>
      </c>
      <c r="I83" s="30">
        <v>42515.53496527778</v>
      </c>
      <c r="J83" s="60">
        <v>0</v>
      </c>
      <c r="K83" s="60" t="str">
        <f t="shared" si="12"/>
        <v>4037/4038</v>
      </c>
      <c r="L83" s="60" t="str">
        <f>VLOOKUP(A83,'Trips&amp;Operators'!$C$1:$E$9999,3,FALSE)</f>
        <v>YOUNG</v>
      </c>
      <c r="M83" s="12">
        <f t="shared" si="13"/>
        <v>6.180555559694767E-3</v>
      </c>
      <c r="N83" s="13"/>
      <c r="O83" s="13"/>
      <c r="P83" s="13">
        <f>24*60*SUM($M83:$M83)+1</f>
        <v>9.9000000059604645</v>
      </c>
      <c r="Q83" s="61" t="s">
        <v>274</v>
      </c>
      <c r="R83" s="61" t="s">
        <v>603</v>
      </c>
      <c r="T8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12:38:48-0600',mode:absolute,to:'2016-05-25 12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3" s="73" t="str">
        <f t="shared" si="15"/>
        <v>Y</v>
      </c>
      <c r="V83" s="73">
        <f t="shared" si="16"/>
        <v>1</v>
      </c>
      <c r="W83" s="73">
        <f t="shared" si="17"/>
        <v>4.4600000000000001E-2</v>
      </c>
      <c r="X83" s="73">
        <f t="shared" si="18"/>
        <v>1.9137</v>
      </c>
      <c r="Y83" s="73">
        <f t="shared" si="19"/>
        <v>1.8691</v>
      </c>
      <c r="Z83" s="74" t="e">
        <f>VLOOKUP(A83,Enforcements!$C$3:$J$40,8,0)</f>
        <v>#N/A</v>
      </c>
      <c r="AA83" s="74" t="e">
        <f>VLOOKUP(A83,Enforcements!$C$3:$J$40,3,0)</f>
        <v>#N/A</v>
      </c>
    </row>
    <row r="84" spans="1:27" s="2" customFormat="1" x14ac:dyDescent="0.25">
      <c r="A84" s="60" t="s">
        <v>452</v>
      </c>
      <c r="B84" s="60">
        <v>4037</v>
      </c>
      <c r="C84" s="60" t="s">
        <v>66</v>
      </c>
      <c r="D84" s="60" t="s">
        <v>81</v>
      </c>
      <c r="E84" s="30">
        <v>42515.565752314818</v>
      </c>
      <c r="F84" s="30">
        <v>42515.566851851851</v>
      </c>
      <c r="G84" s="38">
        <v>1</v>
      </c>
      <c r="H84" s="30" t="s">
        <v>267</v>
      </c>
      <c r="I84" s="30">
        <v>42515.569421296299</v>
      </c>
      <c r="J84" s="60">
        <v>0</v>
      </c>
      <c r="K84" s="60" t="str">
        <f t="shared" si="12"/>
        <v>4037/4038</v>
      </c>
      <c r="L84" s="60" t="str">
        <f>VLOOKUP(A84,'Trips&amp;Operators'!$C$1:$E$9999,3,FALSE)</f>
        <v>YOUNG</v>
      </c>
      <c r="M84" s="12">
        <f t="shared" si="13"/>
        <v>2.5694444484543055E-3</v>
      </c>
      <c r="N84" s="13"/>
      <c r="O84" s="13"/>
      <c r="P84" s="13">
        <f t="shared" ref="P84:P90" si="20">24*60*SUM($M84:$M84)+1</f>
        <v>4.7000000057742</v>
      </c>
      <c r="Q84" s="61" t="s">
        <v>274</v>
      </c>
      <c r="R84" s="61" t="s">
        <v>603</v>
      </c>
      <c r="T8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13:33:41-0600',mode:absolute,to:'2016-05-25 13:40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4" s="73" t="str">
        <f t="shared" si="15"/>
        <v>Y</v>
      </c>
      <c r="V84" s="73">
        <f t="shared" si="16"/>
        <v>1</v>
      </c>
      <c r="W84" s="73">
        <f t="shared" si="17"/>
        <v>23.299399999999999</v>
      </c>
      <c r="X84" s="73">
        <f t="shared" si="18"/>
        <v>23.299099999999999</v>
      </c>
      <c r="Y84" s="73">
        <f t="shared" si="19"/>
        <v>2.9999999999930083E-4</v>
      </c>
      <c r="Z84" s="74" t="e">
        <f>VLOOKUP(A84,Enforcements!$C$3:$J$40,8,0)</f>
        <v>#N/A</v>
      </c>
      <c r="AA84" s="74" t="e">
        <f>VLOOKUP(A84,Enforcements!$C$3:$J$40,3,0)</f>
        <v>#N/A</v>
      </c>
    </row>
    <row r="85" spans="1:27" s="2" customFormat="1" x14ac:dyDescent="0.25">
      <c r="A85" s="60" t="s">
        <v>453</v>
      </c>
      <c r="B85" s="60">
        <v>4029</v>
      </c>
      <c r="C85" s="60" t="s">
        <v>66</v>
      </c>
      <c r="D85" s="60" t="s">
        <v>77</v>
      </c>
      <c r="E85" s="30">
        <v>42515.54078703704</v>
      </c>
      <c r="F85" s="30">
        <v>42515.541643518518</v>
      </c>
      <c r="G85" s="38">
        <v>1</v>
      </c>
      <c r="H85" s="30" t="s">
        <v>454</v>
      </c>
      <c r="I85" s="30">
        <v>42515.54278935185</v>
      </c>
      <c r="J85" s="60">
        <v>0</v>
      </c>
      <c r="K85" s="60" t="str">
        <f t="shared" si="12"/>
        <v>4029/4030</v>
      </c>
      <c r="L85" s="60" t="str">
        <f>VLOOKUP(A85,'Trips&amp;Operators'!$C$1:$E$9999,3,FALSE)</f>
        <v>LOZA</v>
      </c>
      <c r="M85" s="12">
        <f t="shared" si="13"/>
        <v>1.1458333319751546E-3</v>
      </c>
      <c r="N85" s="13"/>
      <c r="O85" s="13"/>
      <c r="P85" s="13">
        <f t="shared" si="20"/>
        <v>2.6499999980442226</v>
      </c>
      <c r="Q85" s="61" t="s">
        <v>274</v>
      </c>
      <c r="R85" s="61" t="s">
        <v>603</v>
      </c>
      <c r="T8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12:57:44-0600',mode:absolute,to:'2016-05-25 13:02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5" s="73" t="str">
        <f t="shared" si="15"/>
        <v>Y</v>
      </c>
      <c r="V85" s="73">
        <f t="shared" si="16"/>
        <v>1</v>
      </c>
      <c r="W85" s="73">
        <f t="shared" si="17"/>
        <v>4.5499999999999999E-2</v>
      </c>
      <c r="X85" s="73">
        <f t="shared" si="18"/>
        <v>0.15060000000000001</v>
      </c>
      <c r="Y85" s="73">
        <f t="shared" si="19"/>
        <v>0.10510000000000001</v>
      </c>
      <c r="Z85" s="74" t="e">
        <f>VLOOKUP(A85,Enforcements!$C$3:$J$40,8,0)</f>
        <v>#N/A</v>
      </c>
      <c r="AA85" s="74" t="e">
        <f>VLOOKUP(A85,Enforcements!$C$3:$J$40,3,0)</f>
        <v>#N/A</v>
      </c>
    </row>
    <row r="86" spans="1:27" s="2" customFormat="1" x14ac:dyDescent="0.25">
      <c r="A86" s="60" t="s">
        <v>455</v>
      </c>
      <c r="B86" s="60">
        <v>4030</v>
      </c>
      <c r="C86" s="60" t="s">
        <v>66</v>
      </c>
      <c r="D86" s="60" t="s">
        <v>270</v>
      </c>
      <c r="E86" s="30">
        <v>42515.579224537039</v>
      </c>
      <c r="F86" s="30">
        <v>42515.580347222225</v>
      </c>
      <c r="G86" s="38">
        <v>1</v>
      </c>
      <c r="H86" s="30" t="s">
        <v>456</v>
      </c>
      <c r="I86" s="30">
        <v>42515.592557870368</v>
      </c>
      <c r="J86" s="60">
        <v>0</v>
      </c>
      <c r="K86" s="60" t="str">
        <f t="shared" si="12"/>
        <v>4029/4030</v>
      </c>
      <c r="L86" s="60" t="str">
        <f>VLOOKUP(A86,'Trips&amp;Operators'!$C$1:$E$9999,3,FALSE)</f>
        <v>LOZA</v>
      </c>
      <c r="M86" s="12">
        <f t="shared" si="13"/>
        <v>1.2210648143081926E-2</v>
      </c>
      <c r="N86" s="13"/>
      <c r="O86" s="13"/>
      <c r="P86" s="13">
        <f t="shared" si="20"/>
        <v>18.583333326037973</v>
      </c>
      <c r="Q86" s="61" t="s">
        <v>274</v>
      </c>
      <c r="R86" s="61" t="s">
        <v>603</v>
      </c>
      <c r="T8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13:53:05-0600',mode:absolute,to:'2016-05-25 14:14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6" s="73" t="str">
        <f t="shared" si="15"/>
        <v>Y</v>
      </c>
      <c r="V86" s="73">
        <f t="shared" si="16"/>
        <v>1</v>
      </c>
      <c r="W86" s="73">
        <f t="shared" si="17"/>
        <v>23.3</v>
      </c>
      <c r="X86" s="73">
        <f t="shared" si="18"/>
        <v>12.787699999999999</v>
      </c>
      <c r="Y86" s="73">
        <f t="shared" si="19"/>
        <v>10.512300000000002</v>
      </c>
      <c r="Z86" s="74" t="e">
        <f>VLOOKUP(A86,Enforcements!$C$3:$J$40,8,0)</f>
        <v>#N/A</v>
      </c>
      <c r="AA86" s="74" t="e">
        <f>VLOOKUP(A86,Enforcements!$C$3:$J$40,3,0)</f>
        <v>#N/A</v>
      </c>
    </row>
    <row r="87" spans="1:27" s="2" customFormat="1" x14ac:dyDescent="0.25">
      <c r="A87" s="60" t="s">
        <v>457</v>
      </c>
      <c r="B87" s="60">
        <v>4031</v>
      </c>
      <c r="C87" s="60" t="s">
        <v>66</v>
      </c>
      <c r="D87" s="60" t="s">
        <v>100</v>
      </c>
      <c r="E87" s="30">
        <v>42515.549583333333</v>
      </c>
      <c r="F87" s="30">
        <v>42515.550810185188</v>
      </c>
      <c r="G87" s="38">
        <v>1</v>
      </c>
      <c r="H87" s="30" t="s">
        <v>100</v>
      </c>
      <c r="I87" s="30">
        <v>42515.550810185188</v>
      </c>
      <c r="J87" s="60">
        <v>0</v>
      </c>
      <c r="K87" s="60" t="str">
        <f t="shared" si="12"/>
        <v>4031/4032</v>
      </c>
      <c r="L87" s="60" t="str">
        <f>VLOOKUP(A87,'Trips&amp;Operators'!$C$1:$E$9999,3,FALSE)</f>
        <v>YORK</v>
      </c>
      <c r="M87" s="12">
        <f t="shared" si="13"/>
        <v>0</v>
      </c>
      <c r="N87" s="13"/>
      <c r="O87" s="13"/>
      <c r="P87" s="13">
        <f t="shared" si="20"/>
        <v>1</v>
      </c>
      <c r="Q87" s="61" t="s">
        <v>274</v>
      </c>
      <c r="R87" s="61" t="s">
        <v>603</v>
      </c>
      <c r="T8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13:10:24-0600',mode:absolute,to:'2016-05-25 13:14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7" s="73" t="str">
        <f t="shared" si="15"/>
        <v>Y</v>
      </c>
      <c r="V87" s="73">
        <f t="shared" si="16"/>
        <v>1</v>
      </c>
      <c r="W87" s="73">
        <f t="shared" si="17"/>
        <v>4.6699999999999998E-2</v>
      </c>
      <c r="X87" s="73">
        <f t="shared" si="18"/>
        <v>4.6699999999999998E-2</v>
      </c>
      <c r="Y87" s="73">
        <f t="shared" si="19"/>
        <v>0</v>
      </c>
      <c r="Z87" s="74" t="e">
        <f>VLOOKUP(A87,Enforcements!$C$3:$J$40,8,0)</f>
        <v>#N/A</v>
      </c>
      <c r="AA87" s="74" t="e">
        <f>VLOOKUP(A87,Enforcements!$C$3:$J$40,3,0)</f>
        <v>#N/A</v>
      </c>
    </row>
    <row r="88" spans="1:27" s="2" customFormat="1" x14ac:dyDescent="0.25">
      <c r="A88" s="60" t="s">
        <v>458</v>
      </c>
      <c r="B88" s="60">
        <v>4032</v>
      </c>
      <c r="C88" s="60" t="s">
        <v>66</v>
      </c>
      <c r="D88" s="60" t="s">
        <v>72</v>
      </c>
      <c r="E88" s="30">
        <v>42515.588634259257</v>
      </c>
      <c r="F88" s="30">
        <v>42515.589918981481</v>
      </c>
      <c r="G88" s="38">
        <v>1</v>
      </c>
      <c r="H88" s="30" t="s">
        <v>267</v>
      </c>
      <c r="I88" s="30">
        <v>42515.590046296296</v>
      </c>
      <c r="J88" s="60">
        <v>0</v>
      </c>
      <c r="K88" s="60" t="str">
        <f t="shared" si="12"/>
        <v>4031/4032</v>
      </c>
      <c r="L88" s="60" t="str">
        <f>VLOOKUP(A88,'Trips&amp;Operators'!$C$1:$E$9999,3,FALSE)</f>
        <v>YORK</v>
      </c>
      <c r="M88" s="12">
        <f t="shared" si="13"/>
        <v>1.273148154723458E-4</v>
      </c>
      <c r="N88" s="13"/>
      <c r="O88" s="13"/>
      <c r="P88" s="13">
        <f t="shared" si="20"/>
        <v>1.183333334280178</v>
      </c>
      <c r="Q88" s="61" t="s">
        <v>274</v>
      </c>
      <c r="R88" s="61" t="s">
        <v>603</v>
      </c>
      <c r="T8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14:06:38-0600',mode:absolute,to:'2016-05-25 14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8" s="73" t="str">
        <f t="shared" si="15"/>
        <v>Y</v>
      </c>
      <c r="V88" s="73">
        <f t="shared" si="16"/>
        <v>1</v>
      </c>
      <c r="W88" s="73">
        <f t="shared" si="17"/>
        <v>23.2989</v>
      </c>
      <c r="X88" s="73">
        <f t="shared" si="18"/>
        <v>23.299099999999999</v>
      </c>
      <c r="Y88" s="73">
        <f t="shared" si="19"/>
        <v>1.9999999999953388E-4</v>
      </c>
      <c r="Z88" s="74" t="e">
        <f>VLOOKUP(A88,Enforcements!$C$3:$J$40,8,0)</f>
        <v>#N/A</v>
      </c>
      <c r="AA88" s="74" t="e">
        <f>VLOOKUP(A88,Enforcements!$C$3:$J$40,3,0)</f>
        <v>#N/A</v>
      </c>
    </row>
    <row r="89" spans="1:27" s="2" customFormat="1" x14ac:dyDescent="0.25">
      <c r="A89" s="60" t="s">
        <v>459</v>
      </c>
      <c r="B89" s="60">
        <v>4009</v>
      </c>
      <c r="C89" s="60" t="s">
        <v>66</v>
      </c>
      <c r="D89" s="60" t="s">
        <v>460</v>
      </c>
      <c r="E89" s="30">
        <v>42515.557754629626</v>
      </c>
      <c r="F89" s="30">
        <v>42515.559317129628</v>
      </c>
      <c r="G89" s="38">
        <v>2</v>
      </c>
      <c r="H89" s="30" t="s">
        <v>460</v>
      </c>
      <c r="I89" s="30">
        <v>42515.559317129628</v>
      </c>
      <c r="J89" s="60">
        <v>0</v>
      </c>
      <c r="K89" s="60" t="str">
        <f t="shared" si="12"/>
        <v>4009/4010</v>
      </c>
      <c r="L89" s="60" t="str">
        <f>VLOOKUP(A89,'Trips&amp;Operators'!$C$1:$E$9999,3,FALSE)</f>
        <v>BUTLER</v>
      </c>
      <c r="M89" s="12">
        <f t="shared" si="13"/>
        <v>0</v>
      </c>
      <c r="N89" s="13"/>
      <c r="O89" s="13"/>
      <c r="P89" s="13">
        <f t="shared" si="20"/>
        <v>1</v>
      </c>
      <c r="Q89" s="61" t="s">
        <v>274</v>
      </c>
      <c r="R89" s="61" t="s">
        <v>603</v>
      </c>
      <c r="T8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13:22:10-0600',mode:absolute,to:'2016-05-25 13:26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9" s="73" t="str">
        <f t="shared" si="15"/>
        <v>Y</v>
      </c>
      <c r="V89" s="73">
        <f t="shared" si="16"/>
        <v>1</v>
      </c>
      <c r="W89" s="73">
        <f t="shared" si="17"/>
        <v>4.4900000000000002E-2</v>
      </c>
      <c r="X89" s="73">
        <f t="shared" si="18"/>
        <v>4.4900000000000002E-2</v>
      </c>
      <c r="Y89" s="73">
        <f t="shared" si="19"/>
        <v>0</v>
      </c>
      <c r="Z89" s="74" t="e">
        <f>VLOOKUP(A89,Enforcements!$C$3:$J$40,8,0)</f>
        <v>#N/A</v>
      </c>
      <c r="AA89" s="74" t="e">
        <f>VLOOKUP(A89,Enforcements!$C$3:$J$40,3,0)</f>
        <v>#N/A</v>
      </c>
    </row>
    <row r="90" spans="1:27" s="2" customFormat="1" x14ac:dyDescent="0.25">
      <c r="A90" s="60" t="s">
        <v>461</v>
      </c>
      <c r="B90" s="60">
        <v>4010</v>
      </c>
      <c r="C90" s="60" t="s">
        <v>66</v>
      </c>
      <c r="D90" s="60" t="s">
        <v>290</v>
      </c>
      <c r="E90" s="30">
        <v>42515.5934375</v>
      </c>
      <c r="F90" s="30">
        <v>42515.594618055555</v>
      </c>
      <c r="G90" s="38">
        <v>1</v>
      </c>
      <c r="H90" s="30" t="s">
        <v>296</v>
      </c>
      <c r="I90" s="30">
        <v>42515.594722222224</v>
      </c>
      <c r="J90" s="60">
        <v>0</v>
      </c>
      <c r="K90" s="60" t="str">
        <f t="shared" si="12"/>
        <v>4009/4010</v>
      </c>
      <c r="L90" s="60" t="str">
        <f>VLOOKUP(A90,'Trips&amp;Operators'!$C$1:$E$9999,3,FALSE)</f>
        <v>BUTLER</v>
      </c>
      <c r="M90" s="12">
        <f t="shared" si="13"/>
        <v>1.0416666918899864E-4</v>
      </c>
      <c r="N90" s="13"/>
      <c r="O90" s="13"/>
      <c r="P90" s="13">
        <f t="shared" si="20"/>
        <v>1.150000003632158</v>
      </c>
      <c r="Q90" s="61" t="s">
        <v>274</v>
      </c>
      <c r="R90" s="61" t="s">
        <v>603</v>
      </c>
      <c r="T9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14:13:33-0600',mode:absolute,to:'2016-05-25 14:17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0" s="73" t="str">
        <f t="shared" si="15"/>
        <v>Y</v>
      </c>
      <c r="V90" s="73">
        <f t="shared" si="16"/>
        <v>1</v>
      </c>
      <c r="W90" s="73">
        <f t="shared" si="17"/>
        <v>23.298999999999999</v>
      </c>
      <c r="X90" s="73">
        <f t="shared" si="18"/>
        <v>23.2986</v>
      </c>
      <c r="Y90" s="73">
        <f t="shared" si="19"/>
        <v>3.9999999999906777E-4</v>
      </c>
      <c r="Z90" s="74" t="e">
        <f>VLOOKUP(A90,Enforcements!$C$3:$J$40,8,0)</f>
        <v>#N/A</v>
      </c>
      <c r="AA90" s="74" t="e">
        <f>VLOOKUP(A90,Enforcements!$C$3:$J$40,3,0)</f>
        <v>#N/A</v>
      </c>
    </row>
    <row r="91" spans="1:27" s="2" customFormat="1" x14ac:dyDescent="0.25">
      <c r="A91" s="60" t="s">
        <v>320</v>
      </c>
      <c r="B91" s="60">
        <v>4027</v>
      </c>
      <c r="C91" s="60" t="s">
        <v>66</v>
      </c>
      <c r="D91" s="60" t="s">
        <v>462</v>
      </c>
      <c r="E91" s="30">
        <v>42515.578703703701</v>
      </c>
      <c r="F91" s="30">
        <v>42515.579525462963</v>
      </c>
      <c r="G91" s="38">
        <v>1</v>
      </c>
      <c r="H91" s="30" t="s">
        <v>154</v>
      </c>
      <c r="I91" s="30">
        <v>42515.609664351854</v>
      </c>
      <c r="J91" s="60">
        <v>1</v>
      </c>
      <c r="K91" s="60" t="str">
        <f t="shared" si="12"/>
        <v>4027/4028</v>
      </c>
      <c r="L91" s="60" t="str">
        <f>VLOOKUP(A91,'Trips&amp;Operators'!$C$1:$E$9999,3,FALSE)</f>
        <v>SPECTOR</v>
      </c>
      <c r="M91" s="12">
        <f t="shared" si="13"/>
        <v>3.0138888891087845E-2</v>
      </c>
      <c r="N91" s="13">
        <f t="shared" si="3"/>
        <v>43.400000003166497</v>
      </c>
      <c r="O91" s="13"/>
      <c r="P91" s="13"/>
      <c r="Q91" s="61"/>
      <c r="R91" s="61"/>
      <c r="T9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13:52:20-0600',mode:absolute,to:'2016-05-25 14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1" s="73" t="str">
        <f t="shared" si="15"/>
        <v>N</v>
      </c>
      <c r="V91" s="73">
        <f t="shared" si="16"/>
        <v>1</v>
      </c>
      <c r="W91" s="73">
        <f t="shared" si="17"/>
        <v>4.9500000000000002E-2</v>
      </c>
      <c r="X91" s="73">
        <f t="shared" si="18"/>
        <v>23.331700000000001</v>
      </c>
      <c r="Y91" s="73">
        <f t="shared" si="19"/>
        <v>23.282200000000003</v>
      </c>
      <c r="Z91" s="74">
        <f>VLOOKUP(A91,Enforcements!$C$3:$J$40,8,0)</f>
        <v>224231</v>
      </c>
      <c r="AA91" s="74" t="str">
        <f>VLOOKUP(A91,Enforcements!$C$3:$J$40,3,0)</f>
        <v>SIGNAL</v>
      </c>
    </row>
    <row r="92" spans="1:27" s="2" customFormat="1" x14ac:dyDescent="0.25">
      <c r="A92" s="60" t="s">
        <v>463</v>
      </c>
      <c r="B92" s="60">
        <v>4028</v>
      </c>
      <c r="C92" s="60" t="s">
        <v>66</v>
      </c>
      <c r="D92" s="60" t="s">
        <v>464</v>
      </c>
      <c r="E92" s="30">
        <v>42515.612743055557</v>
      </c>
      <c r="F92" s="30">
        <v>42515.613842592589</v>
      </c>
      <c r="G92" s="38">
        <v>1</v>
      </c>
      <c r="H92" s="30" t="s">
        <v>404</v>
      </c>
      <c r="I92" s="30">
        <v>42515.646631944444</v>
      </c>
      <c r="J92" s="60">
        <v>0</v>
      </c>
      <c r="K92" s="60" t="str">
        <f t="shared" si="12"/>
        <v>4027/4028</v>
      </c>
      <c r="L92" s="60" t="str">
        <f>VLOOKUP(A92,'Trips&amp;Operators'!$C$1:$E$9999,3,FALSE)</f>
        <v>SPECTOR</v>
      </c>
      <c r="M92" s="12">
        <f t="shared" si="13"/>
        <v>3.2789351855171844E-2</v>
      </c>
      <c r="N92" s="13">
        <f t="shared" si="3"/>
        <v>47.216666671447456</v>
      </c>
      <c r="O92" s="13"/>
      <c r="P92" s="13"/>
      <c r="Q92" s="61"/>
      <c r="R92" s="61"/>
      <c r="T9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14:41:21-0600',mode:absolute,to:'2016-05-25 15:32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2" s="73" t="str">
        <f t="shared" si="15"/>
        <v>N</v>
      </c>
      <c r="V92" s="73">
        <f t="shared" si="16"/>
        <v>1</v>
      </c>
      <c r="W92" s="73">
        <f t="shared" si="17"/>
        <v>23.300799999999999</v>
      </c>
      <c r="X92" s="73">
        <f t="shared" si="18"/>
        <v>1.41E-2</v>
      </c>
      <c r="Y92" s="73">
        <f t="shared" si="19"/>
        <v>23.2867</v>
      </c>
      <c r="Z92" s="74" t="e">
        <f>VLOOKUP(A92,Enforcements!$C$3:$J$40,8,0)</f>
        <v>#N/A</v>
      </c>
      <c r="AA92" s="74" t="e">
        <f>VLOOKUP(A92,Enforcements!$C$3:$J$40,3,0)</f>
        <v>#N/A</v>
      </c>
    </row>
    <row r="93" spans="1:27" s="2" customFormat="1" x14ac:dyDescent="0.25">
      <c r="A93" s="60" t="s">
        <v>465</v>
      </c>
      <c r="B93" s="60">
        <v>4020</v>
      </c>
      <c r="C93" s="60" t="s">
        <v>66</v>
      </c>
      <c r="D93" s="60" t="s">
        <v>102</v>
      </c>
      <c r="E93" s="30">
        <v>42515.590775462966</v>
      </c>
      <c r="F93" s="30">
        <v>42515.591944444444</v>
      </c>
      <c r="G93" s="38">
        <v>1</v>
      </c>
      <c r="H93" s="30" t="s">
        <v>466</v>
      </c>
      <c r="I93" s="30">
        <v>42515.593564814815</v>
      </c>
      <c r="J93" s="60">
        <v>0</v>
      </c>
      <c r="K93" s="60" t="str">
        <f t="shared" si="12"/>
        <v>4019/4020</v>
      </c>
      <c r="L93" s="60" t="str">
        <f>VLOOKUP(A93,'Trips&amp;Operators'!$C$1:$E$9999,3,FALSE)</f>
        <v>STEWART</v>
      </c>
      <c r="M93" s="12">
        <f t="shared" si="13"/>
        <v>1.6203703708015382E-3</v>
      </c>
      <c r="N93" s="13"/>
      <c r="O93" s="13"/>
      <c r="P93" s="13">
        <f t="shared" si="3"/>
        <v>2.333333333954215</v>
      </c>
      <c r="Q93" s="61" t="s">
        <v>274</v>
      </c>
      <c r="R93" s="61" t="s">
        <v>603</v>
      </c>
      <c r="T9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14:09:43-0600',mode:absolute,to:'2016-05-25 14:15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3" t="str">
        <f t="shared" si="15"/>
        <v>Y</v>
      </c>
      <c r="V93" s="73">
        <f t="shared" si="16"/>
        <v>1</v>
      </c>
      <c r="W93" s="73">
        <f t="shared" si="17"/>
        <v>4.58E-2</v>
      </c>
      <c r="X93" s="73">
        <f t="shared" si="18"/>
        <v>0.10199999999999999</v>
      </c>
      <c r="Y93" s="73">
        <f t="shared" si="19"/>
        <v>5.6199999999999993E-2</v>
      </c>
      <c r="Z93" s="74" t="e">
        <f>VLOOKUP(A93,Enforcements!$C$3:$J$40,8,0)</f>
        <v>#N/A</v>
      </c>
      <c r="AA93" s="74" t="e">
        <f>VLOOKUP(A93,Enforcements!$C$3:$J$40,3,0)</f>
        <v>#N/A</v>
      </c>
    </row>
    <row r="94" spans="1:27" s="2" customFormat="1" x14ac:dyDescent="0.25">
      <c r="A94" s="60" t="s">
        <v>321</v>
      </c>
      <c r="B94" s="60">
        <v>4019</v>
      </c>
      <c r="C94" s="60" t="s">
        <v>66</v>
      </c>
      <c r="D94" s="60" t="s">
        <v>270</v>
      </c>
      <c r="E94" s="30">
        <v>42515.619733796295</v>
      </c>
      <c r="F94" s="30">
        <v>42515.620856481481</v>
      </c>
      <c r="G94" s="38">
        <v>1</v>
      </c>
      <c r="H94" s="30" t="s">
        <v>404</v>
      </c>
      <c r="I94" s="30">
        <v>42515.651828703703</v>
      </c>
      <c r="J94" s="60">
        <v>1</v>
      </c>
      <c r="K94" s="60" t="str">
        <f t="shared" si="12"/>
        <v>4019/4020</v>
      </c>
      <c r="L94" s="60" t="str">
        <f>VLOOKUP(A94,'Trips&amp;Operators'!$C$1:$E$9999,3,FALSE)</f>
        <v>STEWART</v>
      </c>
      <c r="M94" s="12">
        <f t="shared" si="13"/>
        <v>3.0972222222771961E-2</v>
      </c>
      <c r="N94" s="13">
        <f t="shared" si="3"/>
        <v>44.600000000791624</v>
      </c>
      <c r="O94" s="13"/>
      <c r="P94" s="13"/>
      <c r="Q94" s="61"/>
      <c r="R94" s="61"/>
      <c r="T9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14:51:25-0600',mode:absolute,to:'2016-05-25 15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4" s="73" t="str">
        <f t="shared" si="15"/>
        <v>N</v>
      </c>
      <c r="V94" s="73">
        <f t="shared" si="16"/>
        <v>1</v>
      </c>
      <c r="W94" s="73">
        <f t="shared" si="17"/>
        <v>23.3</v>
      </c>
      <c r="X94" s="73">
        <f t="shared" si="18"/>
        <v>1.41E-2</v>
      </c>
      <c r="Y94" s="73">
        <f t="shared" si="19"/>
        <v>23.285900000000002</v>
      </c>
      <c r="Z94" s="74">
        <f>VLOOKUP(A94,Enforcements!$C$3:$J$40,8,0)</f>
        <v>1</v>
      </c>
      <c r="AA94" s="74" t="str">
        <f>VLOOKUP(A94,Enforcements!$C$3:$J$40,3,0)</f>
        <v>TRACK WARRANT AUTHORITY</v>
      </c>
    </row>
    <row r="95" spans="1:27" s="2" customFormat="1" x14ac:dyDescent="0.25">
      <c r="A95" s="60" t="s">
        <v>467</v>
      </c>
      <c r="B95" s="60">
        <v>4040</v>
      </c>
      <c r="C95" s="60" t="s">
        <v>66</v>
      </c>
      <c r="D95" s="60" t="s">
        <v>82</v>
      </c>
      <c r="E95" s="30">
        <v>42515.592962962961</v>
      </c>
      <c r="F95" s="30">
        <v>42515.594143518516</v>
      </c>
      <c r="G95" s="38">
        <v>1</v>
      </c>
      <c r="H95" s="30" t="s">
        <v>94</v>
      </c>
      <c r="I95" s="30">
        <v>42515.626319444447</v>
      </c>
      <c r="J95" s="60">
        <v>0</v>
      </c>
      <c r="K95" s="60" t="str">
        <f t="shared" si="12"/>
        <v>4039/4040</v>
      </c>
      <c r="L95" s="60" t="str">
        <f>VLOOKUP(A95,'Trips&amp;Operators'!$C$1:$E$9999,3,FALSE)</f>
        <v>RIVERA</v>
      </c>
      <c r="M95" s="12">
        <f t="shared" si="13"/>
        <v>3.217592593136942E-2</v>
      </c>
      <c r="N95" s="13">
        <f t="shared" ref="N95:P155" si="21">24*60*SUM($M95:$M95)</f>
        <v>46.333333341171965</v>
      </c>
      <c r="O95" s="13"/>
      <c r="P95" s="13"/>
      <c r="Q95" s="61"/>
      <c r="R95" s="61"/>
      <c r="T9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14:12:52-0600',mode:absolute,to:'2016-05-25 15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5" s="73" t="str">
        <f t="shared" si="15"/>
        <v>N</v>
      </c>
      <c r="V95" s="73">
        <f t="shared" si="16"/>
        <v>1</v>
      </c>
      <c r="W95" s="73">
        <f t="shared" si="17"/>
        <v>4.6399999999999997E-2</v>
      </c>
      <c r="X95" s="73">
        <f t="shared" si="18"/>
        <v>23.331499999999998</v>
      </c>
      <c r="Y95" s="73">
        <f t="shared" si="19"/>
        <v>23.2851</v>
      </c>
      <c r="Z95" s="74" t="e">
        <f>VLOOKUP(A95,Enforcements!$C$3:$J$40,8,0)</f>
        <v>#N/A</v>
      </c>
      <c r="AA95" s="74" t="e">
        <f>VLOOKUP(A95,Enforcements!$C$3:$J$40,3,0)</f>
        <v>#N/A</v>
      </c>
    </row>
    <row r="96" spans="1:27" s="2" customFormat="1" x14ac:dyDescent="0.25">
      <c r="A96" s="60" t="s">
        <v>322</v>
      </c>
      <c r="B96" s="60">
        <v>4039</v>
      </c>
      <c r="C96" s="60" t="s">
        <v>66</v>
      </c>
      <c r="D96" s="60" t="s">
        <v>118</v>
      </c>
      <c r="E96" s="30">
        <v>42515.629895833335</v>
      </c>
      <c r="F96" s="30">
        <v>42515.63082175926</v>
      </c>
      <c r="G96" s="38">
        <v>1</v>
      </c>
      <c r="H96" s="30" t="s">
        <v>468</v>
      </c>
      <c r="I96" s="30">
        <v>42515.659317129626</v>
      </c>
      <c r="J96" s="60">
        <v>1</v>
      </c>
      <c r="K96" s="60" t="str">
        <f t="shared" si="12"/>
        <v>4039/4040</v>
      </c>
      <c r="L96" s="60" t="str">
        <f>VLOOKUP(A96,'Trips&amp;Operators'!$C$1:$E$9999,3,FALSE)</f>
        <v>RIVERA</v>
      </c>
      <c r="M96" s="12">
        <f t="shared" si="13"/>
        <v>2.8495370366727002E-2</v>
      </c>
      <c r="N96" s="13">
        <f t="shared" si="21"/>
        <v>41.033333328086883</v>
      </c>
      <c r="O96" s="13"/>
      <c r="P96" s="13"/>
      <c r="Q96" s="61"/>
      <c r="R96" s="61"/>
      <c r="T9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15:06:03-0600',mode:absolute,to:'2016-05-25 15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6" s="73" t="str">
        <f t="shared" si="15"/>
        <v>N</v>
      </c>
      <c r="V96" s="73">
        <f t="shared" si="16"/>
        <v>1</v>
      </c>
      <c r="W96" s="73">
        <f t="shared" si="17"/>
        <v>23.299600000000002</v>
      </c>
      <c r="X96" s="73">
        <f t="shared" si="18"/>
        <v>0.02</v>
      </c>
      <c r="Y96" s="73">
        <f t="shared" si="19"/>
        <v>23.279600000000002</v>
      </c>
      <c r="Z96" s="74">
        <f>VLOOKUP(A96,Enforcements!$C$3:$J$40,8,0)</f>
        <v>1</v>
      </c>
      <c r="AA96" s="74" t="str">
        <f>VLOOKUP(A96,Enforcements!$C$3:$J$40,3,0)</f>
        <v>TRACK WARRANT AUTHORITY</v>
      </c>
    </row>
    <row r="97" spans="1:27" s="2" customFormat="1" x14ac:dyDescent="0.25">
      <c r="A97" s="60" t="s">
        <v>469</v>
      </c>
      <c r="B97" s="60">
        <v>4038</v>
      </c>
      <c r="C97" s="60" t="s">
        <v>66</v>
      </c>
      <c r="D97" s="60" t="s">
        <v>144</v>
      </c>
      <c r="E97" s="30">
        <v>42515.603368055556</v>
      </c>
      <c r="F97" s="30">
        <v>42515.604270833333</v>
      </c>
      <c r="G97" s="38">
        <v>1</v>
      </c>
      <c r="H97" s="30" t="s">
        <v>470</v>
      </c>
      <c r="I97" s="30">
        <v>42515.605740740742</v>
      </c>
      <c r="J97" s="60">
        <v>0</v>
      </c>
      <c r="K97" s="60" t="str">
        <f t="shared" si="12"/>
        <v>4037/4038</v>
      </c>
      <c r="L97" s="60" t="str">
        <f>VLOOKUP(A97,'Trips&amp;Operators'!$C$1:$E$9999,3,FALSE)</f>
        <v>YOUNG</v>
      </c>
      <c r="M97" s="12">
        <f t="shared" si="13"/>
        <v>1.4699074090458453E-3</v>
      </c>
      <c r="N97" s="13"/>
      <c r="O97" s="13"/>
      <c r="P97" s="13">
        <f t="shared" si="21"/>
        <v>2.1166666690260172</v>
      </c>
      <c r="Q97" s="61" t="s">
        <v>274</v>
      </c>
      <c r="R97" s="61" t="s">
        <v>603</v>
      </c>
      <c r="T9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14:27:51-0600',mode:absolute,to:'2016-05-25 14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7" s="73" t="str">
        <f t="shared" si="15"/>
        <v>Y</v>
      </c>
      <c r="V97" s="73">
        <f t="shared" si="16"/>
        <v>1</v>
      </c>
      <c r="W97" s="73">
        <f t="shared" si="17"/>
        <v>4.6600000000000003E-2</v>
      </c>
      <c r="X97" s="73">
        <f t="shared" si="18"/>
        <v>0.14219999999999999</v>
      </c>
      <c r="Y97" s="73">
        <f t="shared" si="19"/>
        <v>9.5599999999999991E-2</v>
      </c>
      <c r="Z97" s="74" t="e">
        <f>VLOOKUP(A97,Enforcements!$C$3:$J$40,8,0)</f>
        <v>#N/A</v>
      </c>
      <c r="AA97" s="74" t="e">
        <f>VLOOKUP(A97,Enforcements!$C$3:$J$40,3,0)</f>
        <v>#N/A</v>
      </c>
    </row>
    <row r="98" spans="1:27" s="2" customFormat="1" x14ac:dyDescent="0.25">
      <c r="A98" s="60" t="s">
        <v>471</v>
      </c>
      <c r="B98" s="60">
        <v>4037</v>
      </c>
      <c r="C98" s="60" t="s">
        <v>66</v>
      </c>
      <c r="D98" s="60" t="s">
        <v>299</v>
      </c>
      <c r="E98" s="30">
        <v>42515.639363425929</v>
      </c>
      <c r="F98" s="30">
        <v>42515.640474537038</v>
      </c>
      <c r="G98" s="38">
        <v>1</v>
      </c>
      <c r="H98" s="30" t="s">
        <v>299</v>
      </c>
      <c r="I98" s="30">
        <v>42515.640474537038</v>
      </c>
      <c r="J98" s="60">
        <v>0</v>
      </c>
      <c r="K98" s="60" t="str">
        <f t="shared" si="12"/>
        <v>4037/4038</v>
      </c>
      <c r="L98" s="60" t="str">
        <f>VLOOKUP(A98,'Trips&amp;Operators'!$C$1:$E$9999,3,FALSE)</f>
        <v>YOUNG</v>
      </c>
      <c r="M98" s="12">
        <f t="shared" si="13"/>
        <v>0</v>
      </c>
      <c r="N98" s="13"/>
      <c r="O98" s="13"/>
      <c r="P98" s="13">
        <f>24*60*SUM($M98:$M99)</f>
        <v>4.7333333396818489</v>
      </c>
      <c r="Q98" s="61" t="s">
        <v>308</v>
      </c>
      <c r="R98" s="61" t="s">
        <v>600</v>
      </c>
      <c r="T9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15:19:41-0600',mode:absolute,to:'2016-05-25 15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8" s="73" t="str">
        <f t="shared" si="15"/>
        <v>Y</v>
      </c>
      <c r="V98" s="73">
        <f t="shared" si="16"/>
        <v>1</v>
      </c>
      <c r="W98" s="73">
        <f t="shared" si="17"/>
        <v>23.296700000000001</v>
      </c>
      <c r="X98" s="73">
        <f t="shared" si="18"/>
        <v>23.296700000000001</v>
      </c>
      <c r="Y98" s="73">
        <f t="shared" si="19"/>
        <v>0</v>
      </c>
      <c r="Z98" s="74" t="e">
        <f>VLOOKUP(A98,Enforcements!$C$3:$J$40,8,0)</f>
        <v>#N/A</v>
      </c>
      <c r="AA98" s="74" t="e">
        <f>VLOOKUP(A98,Enforcements!$C$3:$J$40,3,0)</f>
        <v>#N/A</v>
      </c>
    </row>
    <row r="99" spans="1:27" s="2" customFormat="1" x14ac:dyDescent="0.25">
      <c r="A99" s="60" t="s">
        <v>471</v>
      </c>
      <c r="B99" s="60">
        <v>4037</v>
      </c>
      <c r="C99" s="60" t="s">
        <v>66</v>
      </c>
      <c r="D99" s="60" t="s">
        <v>84</v>
      </c>
      <c r="E99" s="30">
        <v>42515.635277777779</v>
      </c>
      <c r="F99" s="30">
        <v>42515.635983796295</v>
      </c>
      <c r="G99" s="38">
        <v>1</v>
      </c>
      <c r="H99" s="30" t="s">
        <v>300</v>
      </c>
      <c r="I99" s="30">
        <v>42515.639270833337</v>
      </c>
      <c r="J99" s="60">
        <v>0</v>
      </c>
      <c r="K99" s="60" t="str">
        <f t="shared" si="12"/>
        <v>4037/4038</v>
      </c>
      <c r="L99" s="60" t="str">
        <f>VLOOKUP(A99,'Trips&amp;Operators'!$C$1:$E$9999,3,FALSE)</f>
        <v>YOUNG</v>
      </c>
      <c r="M99" s="12">
        <f t="shared" si="13"/>
        <v>3.2870370414457284E-3</v>
      </c>
      <c r="N99" s="13"/>
      <c r="O99" s="13"/>
      <c r="P99" s="13"/>
      <c r="Q99" s="61"/>
      <c r="R99" s="61"/>
      <c r="T9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15:13:48-0600',mode:absolute,to:'2016-05-25 15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9" s="73" t="str">
        <f t="shared" si="15"/>
        <v>Y</v>
      </c>
      <c r="V99" s="73">
        <f t="shared" si="16"/>
        <v>0</v>
      </c>
      <c r="W99" s="73">
        <f t="shared" si="17"/>
        <v>23.297999999999998</v>
      </c>
      <c r="X99" s="73">
        <f t="shared" si="18"/>
        <v>23.2971</v>
      </c>
      <c r="Y99" s="73">
        <f t="shared" si="19"/>
        <v>8.9999999999790248E-4</v>
      </c>
      <c r="Z99" s="74" t="e">
        <f>VLOOKUP(A99,Enforcements!$C$3:$J$40,8,0)</f>
        <v>#N/A</v>
      </c>
      <c r="AA99" s="74" t="e">
        <f>VLOOKUP(A99,Enforcements!$C$3:$J$40,3,0)</f>
        <v>#N/A</v>
      </c>
    </row>
    <row r="100" spans="1:27" s="2" customFormat="1" x14ac:dyDescent="0.25">
      <c r="A100" s="60" t="s">
        <v>472</v>
      </c>
      <c r="B100" s="60">
        <v>4029</v>
      </c>
      <c r="C100" s="60" t="s">
        <v>66</v>
      </c>
      <c r="D100" s="60" t="s">
        <v>305</v>
      </c>
      <c r="E100" s="30">
        <v>42515.61204861111</v>
      </c>
      <c r="F100" s="30">
        <v>42515.613275462965</v>
      </c>
      <c r="G100" s="38">
        <v>1</v>
      </c>
      <c r="H100" s="30" t="s">
        <v>473</v>
      </c>
      <c r="I100" s="30">
        <v>42515.618668981479</v>
      </c>
      <c r="J100" s="60">
        <v>0</v>
      </c>
      <c r="K100" s="60" t="str">
        <f t="shared" si="12"/>
        <v>4029/4030</v>
      </c>
      <c r="L100" s="60" t="str">
        <f>VLOOKUP(A100,'Trips&amp;Operators'!$C$1:$E$9999,3,FALSE)</f>
        <v>LOZA</v>
      </c>
      <c r="M100" s="12">
        <f t="shared" si="13"/>
        <v>5.3935185133013874E-3</v>
      </c>
      <c r="N100" s="13"/>
      <c r="O100" s="13"/>
      <c r="P100" s="13">
        <f t="shared" si="21"/>
        <v>7.7666666591539979</v>
      </c>
      <c r="Q100" s="61" t="s">
        <v>274</v>
      </c>
      <c r="R100" s="61" t="s">
        <v>603</v>
      </c>
      <c r="T10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14:40:21-0600',mode:absolute,to:'2016-05-25 14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0" s="73" t="str">
        <f t="shared" si="15"/>
        <v>Y</v>
      </c>
      <c r="V100" s="73">
        <f t="shared" si="16"/>
        <v>1</v>
      </c>
      <c r="W100" s="73">
        <f t="shared" si="17"/>
        <v>4.4600000000000001E-2</v>
      </c>
      <c r="X100" s="73">
        <f t="shared" si="18"/>
        <v>1.9115</v>
      </c>
      <c r="Y100" s="73">
        <f t="shared" si="19"/>
        <v>1.8669</v>
      </c>
      <c r="Z100" s="74" t="e">
        <f>VLOOKUP(A100,Enforcements!$C$3:$J$40,8,0)</f>
        <v>#N/A</v>
      </c>
      <c r="AA100" s="74" t="e">
        <f>VLOOKUP(A100,Enforcements!$C$3:$J$40,3,0)</f>
        <v>#N/A</v>
      </c>
    </row>
    <row r="101" spans="1:27" s="2" customFormat="1" x14ac:dyDescent="0.25">
      <c r="A101" s="60" t="s">
        <v>325</v>
      </c>
      <c r="B101" s="60">
        <v>4030</v>
      </c>
      <c r="C101" s="60" t="s">
        <v>66</v>
      </c>
      <c r="D101" s="60" t="s">
        <v>428</v>
      </c>
      <c r="E101" s="30">
        <v>42515.649421296293</v>
      </c>
      <c r="F101" s="30">
        <v>42515.650717592594</v>
      </c>
      <c r="G101" s="38">
        <v>1</v>
      </c>
      <c r="H101" s="30" t="s">
        <v>404</v>
      </c>
      <c r="I101" s="30">
        <v>42515.682430555556</v>
      </c>
      <c r="J101" s="60">
        <v>1</v>
      </c>
      <c r="K101" s="60" t="str">
        <f t="shared" si="12"/>
        <v>4029/4030</v>
      </c>
      <c r="L101" s="60" t="str">
        <f>VLOOKUP(A101,'Trips&amp;Operators'!$C$1:$E$9999,3,FALSE)</f>
        <v>LOZA</v>
      </c>
      <c r="M101" s="12">
        <f t="shared" si="13"/>
        <v>3.1712962962046731E-2</v>
      </c>
      <c r="N101" s="13">
        <f t="shared" si="21"/>
        <v>45.666666665347293</v>
      </c>
      <c r="O101" s="13"/>
      <c r="P101" s="13"/>
      <c r="Q101" s="61"/>
      <c r="R101" s="61"/>
      <c r="T10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15:34:10-0600',mode:absolute,to:'2016-05-25 16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1" s="73" t="str">
        <f t="shared" si="15"/>
        <v>N</v>
      </c>
      <c r="V101" s="73">
        <f t="shared" si="16"/>
        <v>1</v>
      </c>
      <c r="W101" s="73">
        <f t="shared" si="17"/>
        <v>23.302700000000002</v>
      </c>
      <c r="X101" s="73">
        <f t="shared" si="18"/>
        <v>1.41E-2</v>
      </c>
      <c r="Y101" s="73">
        <f t="shared" si="19"/>
        <v>23.288600000000002</v>
      </c>
      <c r="Z101" s="74">
        <f>VLOOKUP(A101,Enforcements!$C$3:$J$40,8,0)</f>
        <v>1</v>
      </c>
      <c r="AA101" s="74" t="str">
        <f>VLOOKUP(A101,Enforcements!$C$3:$J$40,3,0)</f>
        <v>TRACK WARRANT AUTHORITY</v>
      </c>
    </row>
    <row r="102" spans="1:27" s="2" customFormat="1" x14ac:dyDescent="0.25">
      <c r="A102" s="60" t="s">
        <v>474</v>
      </c>
      <c r="B102" s="60">
        <v>4031</v>
      </c>
      <c r="C102" s="60" t="s">
        <v>66</v>
      </c>
      <c r="D102" s="60" t="s">
        <v>475</v>
      </c>
      <c r="E102" s="30">
        <v>42515.619803240741</v>
      </c>
      <c r="F102" s="30">
        <v>42515.620682870373</v>
      </c>
      <c r="G102" s="38">
        <v>1</v>
      </c>
      <c r="H102" s="30" t="s">
        <v>354</v>
      </c>
      <c r="I102" s="30">
        <v>42515.623749999999</v>
      </c>
      <c r="J102" s="60">
        <v>0</v>
      </c>
      <c r="K102" s="60" t="str">
        <f t="shared" si="12"/>
        <v>4031/4032</v>
      </c>
      <c r="L102" s="60" t="str">
        <f>VLOOKUP(A102,'Trips&amp;Operators'!$C$1:$E$9999,3,FALSE)</f>
        <v>YORK</v>
      </c>
      <c r="M102" s="12">
        <f t="shared" si="13"/>
        <v>3.0671296262880787E-3</v>
      </c>
      <c r="N102" s="13"/>
      <c r="O102" s="13"/>
      <c r="P102" s="13">
        <f t="shared" si="21"/>
        <v>4.4166666618548334</v>
      </c>
      <c r="Q102" s="61" t="s">
        <v>274</v>
      </c>
      <c r="R102" s="61" t="s">
        <v>601</v>
      </c>
      <c r="T10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14:51:31-0600',mode:absolute,to:'2016-05-25 14:59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2" s="73" t="str">
        <f t="shared" si="15"/>
        <v>Y</v>
      </c>
      <c r="V102" s="73">
        <f t="shared" si="16"/>
        <v>1</v>
      </c>
      <c r="W102" s="73">
        <f t="shared" si="17"/>
        <v>4.3700000000000003E-2</v>
      </c>
      <c r="X102" s="73">
        <f t="shared" si="18"/>
        <v>4.2700000000000002E-2</v>
      </c>
      <c r="Y102" s="73">
        <f t="shared" si="19"/>
        <v>1.0000000000000009E-3</v>
      </c>
      <c r="Z102" s="74" t="e">
        <f>VLOOKUP(A102,Enforcements!$C$3:$J$40,8,0)</f>
        <v>#N/A</v>
      </c>
      <c r="AA102" s="74" t="e">
        <f>VLOOKUP(A102,Enforcements!$C$3:$J$40,3,0)</f>
        <v>#N/A</v>
      </c>
    </row>
    <row r="103" spans="1:27" s="2" customFormat="1" x14ac:dyDescent="0.25">
      <c r="A103" s="60" t="s">
        <v>476</v>
      </c>
      <c r="B103" s="60">
        <v>4032</v>
      </c>
      <c r="C103" s="60" t="s">
        <v>66</v>
      </c>
      <c r="D103" s="60" t="s">
        <v>477</v>
      </c>
      <c r="E103" s="30">
        <v>42515.660775462966</v>
      </c>
      <c r="F103" s="30">
        <v>42515.661643518521</v>
      </c>
      <c r="G103" s="38">
        <v>1</v>
      </c>
      <c r="H103" s="30" t="s">
        <v>91</v>
      </c>
      <c r="I103" s="30">
        <v>42515.690578703703</v>
      </c>
      <c r="J103" s="60">
        <v>0</v>
      </c>
      <c r="K103" s="60" t="str">
        <f t="shared" si="12"/>
        <v>4031/4032</v>
      </c>
      <c r="L103" s="60" t="str">
        <f>VLOOKUP(A103,'Trips&amp;Operators'!$C$1:$E$9999,3,FALSE)</f>
        <v>YORK</v>
      </c>
      <c r="M103" s="12">
        <f t="shared" si="13"/>
        <v>2.8935185182490386E-2</v>
      </c>
      <c r="N103" s="13">
        <f t="shared" si="21"/>
        <v>41.666666662786156</v>
      </c>
      <c r="O103" s="13"/>
      <c r="P103" s="13"/>
      <c r="Q103" s="61"/>
      <c r="R103" s="61"/>
      <c r="T10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15:50:31-0600',mode:absolute,to:'2016-05-25 16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3" s="73" t="str">
        <f t="shared" si="15"/>
        <v>N</v>
      </c>
      <c r="V103" s="73">
        <f t="shared" si="16"/>
        <v>1</v>
      </c>
      <c r="W103" s="73">
        <f t="shared" si="17"/>
        <v>23.2988</v>
      </c>
      <c r="X103" s="73">
        <f t="shared" si="18"/>
        <v>1.4999999999999999E-2</v>
      </c>
      <c r="Y103" s="73">
        <f t="shared" si="19"/>
        <v>23.283799999999999</v>
      </c>
      <c r="Z103" s="74" t="e">
        <f>VLOOKUP(A103,Enforcements!$C$3:$J$40,8,0)</f>
        <v>#N/A</v>
      </c>
      <c r="AA103" s="74" t="e">
        <f>VLOOKUP(A103,Enforcements!$C$3:$J$40,3,0)</f>
        <v>#N/A</v>
      </c>
    </row>
    <row r="104" spans="1:27" s="2" customFormat="1" x14ac:dyDescent="0.25">
      <c r="A104" s="60" t="s">
        <v>323</v>
      </c>
      <c r="B104" s="60">
        <v>4009</v>
      </c>
      <c r="C104" s="60" t="s">
        <v>66</v>
      </c>
      <c r="D104" s="60" t="s">
        <v>259</v>
      </c>
      <c r="E104" s="30">
        <v>42515.629004629627</v>
      </c>
      <c r="F104" s="30">
        <v>42515.630613425928</v>
      </c>
      <c r="G104" s="38">
        <v>2</v>
      </c>
      <c r="H104" s="30" t="s">
        <v>109</v>
      </c>
      <c r="I104" s="30">
        <v>42515.660231481481</v>
      </c>
      <c r="J104" s="60">
        <v>0</v>
      </c>
      <c r="K104" s="60" t="str">
        <f t="shared" si="12"/>
        <v>4009/4010</v>
      </c>
      <c r="L104" s="60" t="str">
        <f>VLOOKUP(A104,'Trips&amp;Operators'!$C$1:$E$9999,3,FALSE)</f>
        <v>BUTLER</v>
      </c>
      <c r="M104" s="12">
        <f t="shared" si="13"/>
        <v>2.9618055552418809E-2</v>
      </c>
      <c r="N104" s="13">
        <f t="shared" si="21"/>
        <v>42.649999995483086</v>
      </c>
      <c r="O104" s="13"/>
      <c r="P104" s="13"/>
      <c r="Q104" s="61"/>
      <c r="R104" s="61"/>
      <c r="T10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15:04:46-0600',mode:absolute,to:'2016-05-25 15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4" s="73" t="str">
        <f t="shared" si="15"/>
        <v>N</v>
      </c>
      <c r="V104" s="73">
        <f t="shared" si="16"/>
        <v>1</v>
      </c>
      <c r="W104" s="73">
        <f t="shared" si="17"/>
        <v>4.4200000000000003E-2</v>
      </c>
      <c r="X104" s="73">
        <f t="shared" si="18"/>
        <v>23.3306</v>
      </c>
      <c r="Y104" s="73">
        <f t="shared" si="19"/>
        <v>23.2864</v>
      </c>
      <c r="Z104" s="74">
        <f>VLOOKUP(A104,Enforcements!$C$3:$J$40,8,0)</f>
        <v>233491</v>
      </c>
      <c r="AA104" s="74" t="str">
        <f>VLOOKUP(A104,Enforcements!$C$3:$J$40,3,0)</f>
        <v>TRACK WARRANT AUTHORITY</v>
      </c>
    </row>
    <row r="105" spans="1:27" s="2" customFormat="1" x14ac:dyDescent="0.25">
      <c r="A105" s="60" t="s">
        <v>478</v>
      </c>
      <c r="B105" s="60">
        <v>4010</v>
      </c>
      <c r="C105" s="60" t="s">
        <v>66</v>
      </c>
      <c r="D105" s="60" t="s">
        <v>267</v>
      </c>
      <c r="E105" s="30">
        <v>42515.662870370368</v>
      </c>
      <c r="F105" s="30">
        <v>42515.664189814815</v>
      </c>
      <c r="G105" s="38">
        <v>1</v>
      </c>
      <c r="H105" s="30" t="s">
        <v>119</v>
      </c>
      <c r="I105" s="30">
        <v>42515.699444444443</v>
      </c>
      <c r="J105" s="60">
        <v>0</v>
      </c>
      <c r="K105" s="60" t="str">
        <f t="shared" si="12"/>
        <v>4009/4010</v>
      </c>
      <c r="L105" s="60" t="str">
        <f>VLOOKUP(A105,'Trips&amp;Operators'!$C$1:$E$9999,3,FALSE)</f>
        <v>BUTLER</v>
      </c>
      <c r="M105" s="12">
        <f t="shared" si="13"/>
        <v>3.5254629627161194E-2</v>
      </c>
      <c r="N105" s="13">
        <f t="shared" si="21"/>
        <v>50.766666663112119</v>
      </c>
      <c r="O105" s="13"/>
      <c r="P105" s="13"/>
      <c r="Q105" s="61"/>
      <c r="R105" s="61"/>
      <c r="T10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15:53:32-0600',mode:absolute,to:'2016-05-25 16:48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5" s="73" t="str">
        <f t="shared" si="15"/>
        <v>N</v>
      </c>
      <c r="V105" s="73">
        <f t="shared" si="16"/>
        <v>1</v>
      </c>
      <c r="W105" s="73">
        <f t="shared" si="17"/>
        <v>23.299099999999999</v>
      </c>
      <c r="X105" s="73">
        <f t="shared" si="18"/>
        <v>1.6E-2</v>
      </c>
      <c r="Y105" s="73">
        <f t="shared" si="19"/>
        <v>23.283100000000001</v>
      </c>
      <c r="Z105" s="74" t="e">
        <f>VLOOKUP(A105,Enforcements!$C$3:$J$40,8,0)</f>
        <v>#N/A</v>
      </c>
      <c r="AA105" s="74" t="e">
        <f>VLOOKUP(A105,Enforcements!$C$3:$J$40,3,0)</f>
        <v>#N/A</v>
      </c>
    </row>
    <row r="106" spans="1:27" s="2" customFormat="1" x14ac:dyDescent="0.25">
      <c r="A106" s="60" t="s">
        <v>479</v>
      </c>
      <c r="B106" s="60">
        <v>4027</v>
      </c>
      <c r="C106" s="60" t="s">
        <v>66</v>
      </c>
      <c r="D106" s="60" t="s">
        <v>460</v>
      </c>
      <c r="E106" s="30">
        <v>42515.650023148148</v>
      </c>
      <c r="F106" s="30">
        <v>42515.651446759257</v>
      </c>
      <c r="G106" s="38">
        <v>2</v>
      </c>
      <c r="H106" s="30" t="s">
        <v>480</v>
      </c>
      <c r="I106" s="30">
        <v>42515.678726851853</v>
      </c>
      <c r="J106" s="60">
        <v>0</v>
      </c>
      <c r="K106" s="60" t="str">
        <f t="shared" si="12"/>
        <v>4027/4028</v>
      </c>
      <c r="L106" s="60" t="str">
        <f>VLOOKUP(A106,'Trips&amp;Operators'!$C$1:$E$9999,3,FALSE)</f>
        <v>SPECTOR</v>
      </c>
      <c r="M106" s="12">
        <f t="shared" si="13"/>
        <v>2.7280092595901806E-2</v>
      </c>
      <c r="N106" s="13">
        <f t="shared" si="21"/>
        <v>39.283333338098601</v>
      </c>
      <c r="O106" s="13"/>
      <c r="P106" s="13"/>
      <c r="Q106" s="61"/>
      <c r="R106" s="61"/>
      <c r="T10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15:35:02-0600',mode:absolute,to:'2016-05-25 16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6" s="73" t="str">
        <f t="shared" si="15"/>
        <v>N</v>
      </c>
      <c r="V106" s="73">
        <f t="shared" si="16"/>
        <v>1</v>
      </c>
      <c r="W106" s="73">
        <f t="shared" si="17"/>
        <v>4.4900000000000002E-2</v>
      </c>
      <c r="X106" s="73">
        <f t="shared" si="18"/>
        <v>23.331600000000002</v>
      </c>
      <c r="Y106" s="73">
        <f t="shared" si="19"/>
        <v>23.286700000000003</v>
      </c>
      <c r="Z106" s="74" t="e">
        <f>VLOOKUP(A106,Enforcements!$C$3:$J$40,8,0)</f>
        <v>#N/A</v>
      </c>
      <c r="AA106" s="74" t="e">
        <f>VLOOKUP(A106,Enforcements!$C$3:$J$40,3,0)</f>
        <v>#N/A</v>
      </c>
    </row>
    <row r="107" spans="1:27" s="2" customFormat="1" x14ac:dyDescent="0.25">
      <c r="A107" s="60" t="s">
        <v>326</v>
      </c>
      <c r="B107" s="60">
        <v>4028</v>
      </c>
      <c r="C107" s="60" t="s">
        <v>66</v>
      </c>
      <c r="D107" s="60" t="s">
        <v>421</v>
      </c>
      <c r="E107" s="30">
        <v>42515.683171296296</v>
      </c>
      <c r="F107" s="30">
        <v>42515.68414351852</v>
      </c>
      <c r="G107" s="38">
        <v>1</v>
      </c>
      <c r="H107" s="30" t="s">
        <v>80</v>
      </c>
      <c r="I107" s="30">
        <v>42515.711064814815</v>
      </c>
      <c r="J107" s="60">
        <v>1</v>
      </c>
      <c r="K107" s="60" t="str">
        <f t="shared" si="12"/>
        <v>4027/4028</v>
      </c>
      <c r="L107" s="60" t="str">
        <f>VLOOKUP(A107,'Trips&amp;Operators'!$C$1:$E$9999,3,FALSE)</f>
        <v>SPECTOR</v>
      </c>
      <c r="M107" s="12">
        <f t="shared" si="13"/>
        <v>2.6921296295768116E-2</v>
      </c>
      <c r="N107" s="13">
        <f t="shared" si="21"/>
        <v>38.766666665906087</v>
      </c>
      <c r="O107" s="13"/>
      <c r="P107" s="13"/>
      <c r="Q107" s="61"/>
      <c r="R107" s="61"/>
      <c r="T10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16:22:46-0600',mode:absolute,to:'2016-05-25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7" s="73" t="str">
        <f t="shared" si="15"/>
        <v>N</v>
      </c>
      <c r="V107" s="73">
        <f t="shared" si="16"/>
        <v>1</v>
      </c>
      <c r="W107" s="73">
        <f t="shared" si="17"/>
        <v>23.298200000000001</v>
      </c>
      <c r="X107" s="73">
        <f t="shared" si="18"/>
        <v>1.52E-2</v>
      </c>
      <c r="Y107" s="73">
        <f t="shared" si="19"/>
        <v>23.283000000000001</v>
      </c>
      <c r="Z107" s="74">
        <f>VLOOKUP(A107,Enforcements!$C$3:$J$40,8,0)</f>
        <v>1</v>
      </c>
      <c r="AA107" s="74" t="str">
        <f>VLOOKUP(A107,Enforcements!$C$3:$J$40,3,0)</f>
        <v>TRACK WARRANT AUTHORITY</v>
      </c>
    </row>
    <row r="108" spans="1:27" s="2" customFormat="1" x14ac:dyDescent="0.25">
      <c r="A108" s="60" t="s">
        <v>324</v>
      </c>
      <c r="B108" s="60">
        <v>4020</v>
      </c>
      <c r="C108" s="60" t="s">
        <v>66</v>
      </c>
      <c r="D108" s="60" t="s">
        <v>460</v>
      </c>
      <c r="E108" s="30">
        <v>42515.654398148145</v>
      </c>
      <c r="F108" s="30">
        <v>42515.655694444446</v>
      </c>
      <c r="G108" s="38">
        <v>1</v>
      </c>
      <c r="H108" s="30" t="s">
        <v>481</v>
      </c>
      <c r="I108" s="30">
        <v>42515.682291666664</v>
      </c>
      <c r="J108" s="60">
        <v>1</v>
      </c>
      <c r="K108" s="60" t="str">
        <f t="shared" si="12"/>
        <v>4019/4020</v>
      </c>
      <c r="L108" s="60" t="str">
        <f>VLOOKUP(A108,'Trips&amp;Operators'!$C$1:$E$9999,3,FALSE)</f>
        <v>STEWART</v>
      </c>
      <c r="M108" s="12">
        <f t="shared" si="13"/>
        <v>2.6597222218697425E-2</v>
      </c>
      <c r="N108" s="13">
        <f t="shared" si="21"/>
        <v>38.299999994924292</v>
      </c>
      <c r="O108" s="13"/>
      <c r="P108" s="13"/>
      <c r="Q108" s="61"/>
      <c r="R108" s="61"/>
      <c r="T10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15:41:20-0600',mode:absolute,to:'2016-05-25 16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8" s="73" t="str">
        <f t="shared" si="15"/>
        <v>N</v>
      </c>
      <c r="V108" s="73">
        <f t="shared" si="16"/>
        <v>1</v>
      </c>
      <c r="W108" s="73">
        <f t="shared" si="17"/>
        <v>4.4900000000000002E-2</v>
      </c>
      <c r="X108" s="73">
        <f t="shared" si="18"/>
        <v>23.320399999999999</v>
      </c>
      <c r="Y108" s="73">
        <f t="shared" si="19"/>
        <v>23.275500000000001</v>
      </c>
      <c r="Z108" s="74">
        <f>VLOOKUP(A108,Enforcements!$C$3:$J$40,8,0)</f>
        <v>233491</v>
      </c>
      <c r="AA108" s="74" t="str">
        <f>VLOOKUP(A108,Enforcements!$C$3:$J$40,3,0)</f>
        <v>TRACK WARRANT AUTHORITY</v>
      </c>
    </row>
    <row r="109" spans="1:27" s="2" customFormat="1" x14ac:dyDescent="0.25">
      <c r="A109" s="60" t="s">
        <v>482</v>
      </c>
      <c r="B109" s="60">
        <v>4019</v>
      </c>
      <c r="C109" s="60" t="s">
        <v>66</v>
      </c>
      <c r="D109" s="60" t="s">
        <v>483</v>
      </c>
      <c r="E109" s="30">
        <v>42515.691701388889</v>
      </c>
      <c r="F109" s="30">
        <v>42515.693171296298</v>
      </c>
      <c r="G109" s="38">
        <v>2</v>
      </c>
      <c r="H109" s="30" t="s">
        <v>484</v>
      </c>
      <c r="I109" s="30">
        <v>42515.722141203703</v>
      </c>
      <c r="J109" s="60">
        <v>0</v>
      </c>
      <c r="K109" s="60" t="str">
        <f t="shared" si="12"/>
        <v>4019/4020</v>
      </c>
      <c r="L109" s="60" t="str">
        <f>VLOOKUP(A109,'Trips&amp;Operators'!$C$1:$E$9999,3,FALSE)</f>
        <v>STEWART</v>
      </c>
      <c r="M109" s="12">
        <f t="shared" si="13"/>
        <v>2.8969907405553386E-2</v>
      </c>
      <c r="N109" s="13">
        <f t="shared" si="21"/>
        <v>41.716666663996875</v>
      </c>
      <c r="O109" s="13"/>
      <c r="P109" s="13"/>
      <c r="Q109" s="61"/>
      <c r="R109" s="61"/>
      <c r="T10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16:35:03-0600',mode:absolute,to:'2016-05-25 17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9" s="73" t="str">
        <f t="shared" si="15"/>
        <v>N</v>
      </c>
      <c r="V109" s="73">
        <f t="shared" si="16"/>
        <v>1</v>
      </c>
      <c r="W109" s="73">
        <f t="shared" si="17"/>
        <v>23.288900000000002</v>
      </c>
      <c r="X109" s="73">
        <f t="shared" si="18"/>
        <v>1.2999999999999999E-2</v>
      </c>
      <c r="Y109" s="73">
        <f t="shared" si="19"/>
        <v>23.2759</v>
      </c>
      <c r="Z109" s="74" t="e">
        <f>VLOOKUP(A109,Enforcements!$C$3:$J$40,8,0)</f>
        <v>#N/A</v>
      </c>
      <c r="AA109" s="74" t="e">
        <f>VLOOKUP(A109,Enforcements!$C$3:$J$40,3,0)</f>
        <v>#N/A</v>
      </c>
    </row>
    <row r="110" spans="1:27" s="2" customFormat="1" x14ac:dyDescent="0.25">
      <c r="A110" s="60" t="s">
        <v>485</v>
      </c>
      <c r="B110" s="60">
        <v>4040</v>
      </c>
      <c r="C110" s="60" t="s">
        <v>66</v>
      </c>
      <c r="D110" s="60" t="s">
        <v>486</v>
      </c>
      <c r="E110" s="30">
        <v>42515.661817129629</v>
      </c>
      <c r="F110" s="30">
        <v>42515.663217592592</v>
      </c>
      <c r="G110" s="38">
        <v>2</v>
      </c>
      <c r="H110" s="30" t="s">
        <v>487</v>
      </c>
      <c r="I110" s="30">
        <v>42515.691423611112</v>
      </c>
      <c r="J110" s="60">
        <v>0</v>
      </c>
      <c r="K110" s="60" t="str">
        <f t="shared" si="12"/>
        <v>4039/4040</v>
      </c>
      <c r="L110" s="60" t="str">
        <f>VLOOKUP(A110,'Trips&amp;Operators'!$C$1:$E$9999,3,FALSE)</f>
        <v>RIVERA</v>
      </c>
      <c r="M110" s="12">
        <f t="shared" si="13"/>
        <v>2.8206018519995268E-2</v>
      </c>
      <c r="N110" s="13">
        <f t="shared" si="21"/>
        <v>40.616666668793187</v>
      </c>
      <c r="O110" s="13"/>
      <c r="P110" s="13"/>
      <c r="Q110" s="61"/>
      <c r="R110" s="61"/>
      <c r="T11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15:52:01-0600',mode:absolute,to:'2016-05-25 16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0" s="73" t="str">
        <f t="shared" si="15"/>
        <v>N</v>
      </c>
      <c r="V110" s="73">
        <f t="shared" si="16"/>
        <v>1</v>
      </c>
      <c r="W110" s="73">
        <f t="shared" si="17"/>
        <v>5.0900000000000001E-2</v>
      </c>
      <c r="X110" s="73">
        <f t="shared" si="18"/>
        <v>23.3291</v>
      </c>
      <c r="Y110" s="73">
        <f t="shared" si="19"/>
        <v>23.278200000000002</v>
      </c>
      <c r="Z110" s="74" t="e">
        <f>VLOOKUP(A110,Enforcements!$C$3:$J$40,8,0)</f>
        <v>#N/A</v>
      </c>
      <c r="AA110" s="74" t="e">
        <f>VLOOKUP(A110,Enforcements!$C$3:$J$40,3,0)</f>
        <v>#N/A</v>
      </c>
    </row>
    <row r="111" spans="1:27" s="2" customFormat="1" x14ac:dyDescent="0.25">
      <c r="A111" s="60" t="s">
        <v>327</v>
      </c>
      <c r="B111" s="60">
        <v>4039</v>
      </c>
      <c r="C111" s="60" t="s">
        <v>66</v>
      </c>
      <c r="D111" s="60" t="s">
        <v>69</v>
      </c>
      <c r="E111" s="30">
        <v>42515.702673611115</v>
      </c>
      <c r="F111" s="30">
        <v>42515.703738425924</v>
      </c>
      <c r="G111" s="38">
        <v>1</v>
      </c>
      <c r="H111" s="30" t="s">
        <v>95</v>
      </c>
      <c r="I111" s="30">
        <v>42515.731585648151</v>
      </c>
      <c r="J111" s="60">
        <v>1</v>
      </c>
      <c r="K111" s="60" t="str">
        <f t="shared" si="12"/>
        <v>4039/4040</v>
      </c>
      <c r="L111" s="60" t="str">
        <f>VLOOKUP(A111,'Trips&amp;Operators'!$C$1:$E$9999,3,FALSE)</f>
        <v>RIVERA</v>
      </c>
      <c r="M111" s="12">
        <f t="shared" si="13"/>
        <v>2.7847222227137536E-2</v>
      </c>
      <c r="N111" s="13">
        <f t="shared" si="21"/>
        <v>40.100000007078052</v>
      </c>
      <c r="O111" s="13"/>
      <c r="P111" s="13"/>
      <c r="Q111" s="61"/>
      <c r="R111" s="61"/>
      <c r="T11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16:50:51-0600',mode:absolute,to:'2016-05-25 17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1" s="73" t="str">
        <f t="shared" si="15"/>
        <v>N</v>
      </c>
      <c r="V111" s="73">
        <f t="shared" si="16"/>
        <v>1</v>
      </c>
      <c r="W111" s="73">
        <f t="shared" si="17"/>
        <v>23.297799999999999</v>
      </c>
      <c r="X111" s="73">
        <f t="shared" si="18"/>
        <v>1.47E-2</v>
      </c>
      <c r="Y111" s="73">
        <f t="shared" si="19"/>
        <v>23.283099999999997</v>
      </c>
      <c r="Z111" s="74">
        <f>VLOOKUP(A111,Enforcements!$C$3:$J$40,8,0)</f>
        <v>1</v>
      </c>
      <c r="AA111" s="74" t="str">
        <f>VLOOKUP(A111,Enforcements!$C$3:$J$40,3,0)</f>
        <v>TRACK WARRANT AUTHORITY</v>
      </c>
    </row>
    <row r="112" spans="1:27" s="2" customFormat="1" x14ac:dyDescent="0.25">
      <c r="A112" s="60" t="s">
        <v>488</v>
      </c>
      <c r="B112" s="60">
        <v>4038</v>
      </c>
      <c r="C112" s="60" t="s">
        <v>66</v>
      </c>
      <c r="D112" s="60" t="s">
        <v>102</v>
      </c>
      <c r="E112" s="30">
        <v>42515.672511574077</v>
      </c>
      <c r="F112" s="30">
        <v>42515.674409722225</v>
      </c>
      <c r="G112" s="38">
        <v>2</v>
      </c>
      <c r="H112" s="30" t="s">
        <v>102</v>
      </c>
      <c r="I112" s="30">
        <v>42515.674409722225</v>
      </c>
      <c r="J112" s="60">
        <v>0</v>
      </c>
      <c r="K112" s="60" t="str">
        <f t="shared" si="12"/>
        <v>4037/4038</v>
      </c>
      <c r="L112" s="60" t="str">
        <f>VLOOKUP(A112,'Trips&amp;Operators'!$C$1:$E$9999,3,FALSE)</f>
        <v>YOUNG</v>
      </c>
      <c r="M112" s="12">
        <f t="shared" si="13"/>
        <v>0</v>
      </c>
      <c r="N112" s="13"/>
      <c r="O112" s="13"/>
      <c r="P112" s="13">
        <f>24*60*SUM($M112:$M112)+1</f>
        <v>1</v>
      </c>
      <c r="Q112" s="61" t="s">
        <v>274</v>
      </c>
      <c r="R112" s="61" t="s">
        <v>602</v>
      </c>
      <c r="T11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16:07:25-0600',mode:absolute,to:'2016-05-25 16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2" s="73" t="str">
        <f t="shared" si="15"/>
        <v>Y</v>
      </c>
      <c r="V112" s="73">
        <f t="shared" si="16"/>
        <v>1</v>
      </c>
      <c r="W112" s="73">
        <f t="shared" si="17"/>
        <v>4.58E-2</v>
      </c>
      <c r="X112" s="73">
        <f t="shared" si="18"/>
        <v>4.58E-2</v>
      </c>
      <c r="Y112" s="73">
        <f t="shared" si="19"/>
        <v>0</v>
      </c>
      <c r="Z112" s="74" t="e">
        <f>VLOOKUP(A112,Enforcements!$C$3:$J$40,8,0)</f>
        <v>#N/A</v>
      </c>
      <c r="AA112" s="74" t="e">
        <f>VLOOKUP(A112,Enforcements!$C$3:$J$40,3,0)</f>
        <v>#N/A</v>
      </c>
    </row>
    <row r="113" spans="1:27" s="2" customFormat="1" x14ac:dyDescent="0.25">
      <c r="A113" s="60" t="s">
        <v>489</v>
      </c>
      <c r="B113" s="60">
        <v>4037</v>
      </c>
      <c r="C113" s="60" t="s">
        <v>66</v>
      </c>
      <c r="D113" s="60" t="s">
        <v>81</v>
      </c>
      <c r="E113" s="30">
        <v>42515.710231481484</v>
      </c>
      <c r="F113" s="30">
        <v>42515.712060185186</v>
      </c>
      <c r="G113" s="38">
        <v>2</v>
      </c>
      <c r="H113" s="30" t="s">
        <v>490</v>
      </c>
      <c r="I113" s="30">
        <v>42515.712442129632</v>
      </c>
      <c r="J113" s="60">
        <v>0</v>
      </c>
      <c r="K113" s="60" t="str">
        <f t="shared" si="12"/>
        <v>4037/4038</v>
      </c>
      <c r="L113" s="60" t="str">
        <f>VLOOKUP(A113,'Trips&amp;Operators'!$C$1:$E$9999,3,FALSE)</f>
        <v>YOUNG</v>
      </c>
      <c r="M113" s="12">
        <f t="shared" si="13"/>
        <v>3.819444464170374E-4</v>
      </c>
      <c r="N113" s="13"/>
      <c r="O113" s="13"/>
      <c r="P113" s="13">
        <f t="shared" si="21"/>
        <v>0.55000000284053385</v>
      </c>
      <c r="Q113" s="61" t="s">
        <v>274</v>
      </c>
      <c r="R113" s="61" t="s">
        <v>602</v>
      </c>
      <c r="T11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17:01:44-0600',mode:absolute,to:'2016-05-25 17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3" s="73" t="str">
        <f t="shared" si="15"/>
        <v>Y</v>
      </c>
      <c r="V113" s="73">
        <f t="shared" si="16"/>
        <v>1</v>
      </c>
      <c r="W113" s="73">
        <f t="shared" si="17"/>
        <v>23.299399999999999</v>
      </c>
      <c r="X113" s="73">
        <f t="shared" si="18"/>
        <v>23.298500000000001</v>
      </c>
      <c r="Y113" s="73">
        <f t="shared" si="19"/>
        <v>8.9999999999790248E-4</v>
      </c>
      <c r="Z113" s="74" t="e">
        <f>VLOOKUP(A113,Enforcements!$C$3:$J$40,8,0)</f>
        <v>#N/A</v>
      </c>
      <c r="AA113" s="74" t="e">
        <f>VLOOKUP(A113,Enforcements!$C$3:$J$40,3,0)</f>
        <v>#N/A</v>
      </c>
    </row>
    <row r="114" spans="1:27" s="2" customFormat="1" x14ac:dyDescent="0.25">
      <c r="A114" s="60" t="s">
        <v>491</v>
      </c>
      <c r="B114" s="60">
        <v>4029</v>
      </c>
      <c r="C114" s="60" t="s">
        <v>66</v>
      </c>
      <c r="D114" s="60" t="s">
        <v>259</v>
      </c>
      <c r="E114" s="30">
        <v>42515.684305555558</v>
      </c>
      <c r="F114" s="30">
        <v>42515.685590277775</v>
      </c>
      <c r="G114" s="38">
        <v>1</v>
      </c>
      <c r="H114" s="30" t="s">
        <v>492</v>
      </c>
      <c r="I114" s="30">
        <v>42515.713645833333</v>
      </c>
      <c r="J114" s="60">
        <v>0</v>
      </c>
      <c r="K114" s="60" t="str">
        <f t="shared" si="12"/>
        <v>4029/4030</v>
      </c>
      <c r="L114" s="60" t="str">
        <f>VLOOKUP(A114,'Trips&amp;Operators'!$C$1:$E$9999,3,FALSE)</f>
        <v>LOZA</v>
      </c>
      <c r="M114" s="12">
        <f t="shared" si="13"/>
        <v>2.8055555558239575E-2</v>
      </c>
      <c r="N114" s="13">
        <f t="shared" si="21"/>
        <v>40.400000003864989</v>
      </c>
      <c r="O114" s="13"/>
      <c r="P114" s="13"/>
      <c r="Q114" s="61"/>
      <c r="R114" s="61"/>
      <c r="T11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16:24:24-0600',mode:absolute,to:'2016-05-25 17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4" s="73" t="str">
        <f t="shared" si="15"/>
        <v>N</v>
      </c>
      <c r="V114" s="73">
        <f t="shared" si="16"/>
        <v>1</v>
      </c>
      <c r="W114" s="73">
        <f t="shared" si="17"/>
        <v>4.4200000000000003E-2</v>
      </c>
      <c r="X114" s="73">
        <f t="shared" si="18"/>
        <v>23.3322</v>
      </c>
      <c r="Y114" s="73">
        <f t="shared" si="19"/>
        <v>23.288</v>
      </c>
      <c r="Z114" s="74" t="e">
        <f>VLOOKUP(A114,Enforcements!$C$3:$J$40,8,0)</f>
        <v>#N/A</v>
      </c>
      <c r="AA114" s="74" t="e">
        <f>VLOOKUP(A114,Enforcements!$C$3:$J$40,3,0)</f>
        <v>#N/A</v>
      </c>
    </row>
    <row r="115" spans="1:27" s="2" customFormat="1" x14ac:dyDescent="0.25">
      <c r="A115" s="60" t="s">
        <v>493</v>
      </c>
      <c r="B115" s="60">
        <v>4030</v>
      </c>
      <c r="C115" s="60" t="s">
        <v>66</v>
      </c>
      <c r="D115" s="60" t="s">
        <v>494</v>
      </c>
      <c r="E115" s="30">
        <v>42515.7184375</v>
      </c>
      <c r="F115" s="30">
        <v>42515.719398148147</v>
      </c>
      <c r="G115" s="38">
        <v>1</v>
      </c>
      <c r="H115" s="30" t="s">
        <v>95</v>
      </c>
      <c r="I115" s="30">
        <v>42515.753622685188</v>
      </c>
      <c r="J115" s="60">
        <v>0</v>
      </c>
      <c r="K115" s="60" t="str">
        <f t="shared" si="12"/>
        <v>4029/4030</v>
      </c>
      <c r="L115" s="60" t="str">
        <f>VLOOKUP(A115,'Trips&amp;Operators'!$C$1:$E$9999,3,FALSE)</f>
        <v>LOZA</v>
      </c>
      <c r="M115" s="12">
        <f t="shared" si="13"/>
        <v>3.422453704115469E-2</v>
      </c>
      <c r="N115" s="13">
        <f t="shared" si="21"/>
        <v>49.283333339262754</v>
      </c>
      <c r="O115" s="13"/>
      <c r="P115" s="13"/>
      <c r="Q115" s="61"/>
      <c r="R115" s="61"/>
      <c r="T11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17:13:33-0600',mode:absolute,to:'2016-05-25 18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5" s="73" t="str">
        <f t="shared" si="15"/>
        <v>N</v>
      </c>
      <c r="V115" s="73">
        <f t="shared" si="16"/>
        <v>1</v>
      </c>
      <c r="W115" s="73">
        <f t="shared" si="17"/>
        <v>23.300699999999999</v>
      </c>
      <c r="X115" s="73">
        <f t="shared" si="18"/>
        <v>1.47E-2</v>
      </c>
      <c r="Y115" s="73">
        <f t="shared" si="19"/>
        <v>23.285999999999998</v>
      </c>
      <c r="Z115" s="74" t="e">
        <f>VLOOKUP(A115,Enforcements!$C$3:$J$40,8,0)</f>
        <v>#N/A</v>
      </c>
      <c r="AA115" s="74" t="e">
        <f>VLOOKUP(A115,Enforcements!$C$3:$J$40,3,0)</f>
        <v>#N/A</v>
      </c>
    </row>
    <row r="116" spans="1:27" s="2" customFormat="1" x14ac:dyDescent="0.25">
      <c r="A116" s="60" t="s">
        <v>495</v>
      </c>
      <c r="B116" s="60">
        <v>4031</v>
      </c>
      <c r="C116" s="60" t="s">
        <v>66</v>
      </c>
      <c r="D116" s="60" t="s">
        <v>82</v>
      </c>
      <c r="E116" s="30">
        <v>42515.692037037035</v>
      </c>
      <c r="F116" s="30">
        <v>42515.693090277775</v>
      </c>
      <c r="G116" s="38">
        <v>1</v>
      </c>
      <c r="H116" s="30" t="s">
        <v>294</v>
      </c>
      <c r="I116" s="30">
        <v>42515.722858796296</v>
      </c>
      <c r="J116" s="60">
        <v>0</v>
      </c>
      <c r="K116" s="60" t="str">
        <f t="shared" si="12"/>
        <v>4031/4032</v>
      </c>
      <c r="L116" s="60" t="str">
        <f>VLOOKUP(A116,'Trips&amp;Operators'!$C$1:$E$9999,3,FALSE)</f>
        <v>BONDS</v>
      </c>
      <c r="M116" s="12">
        <f t="shared" si="13"/>
        <v>2.976851852145046E-2</v>
      </c>
      <c r="N116" s="13">
        <f t="shared" si="21"/>
        <v>42.866666670888662</v>
      </c>
      <c r="O116" s="13"/>
      <c r="P116" s="13"/>
      <c r="Q116" s="61"/>
      <c r="R116" s="61"/>
      <c r="T11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16:35:32-0600',mode:absolute,to:'2016-05-25 17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6" s="73" t="str">
        <f t="shared" si="15"/>
        <v>N</v>
      </c>
      <c r="V116" s="73">
        <f t="shared" si="16"/>
        <v>1</v>
      </c>
      <c r="W116" s="73">
        <f t="shared" si="17"/>
        <v>4.6399999999999997E-2</v>
      </c>
      <c r="X116" s="73">
        <f t="shared" si="18"/>
        <v>23.333100000000002</v>
      </c>
      <c r="Y116" s="73">
        <f t="shared" si="19"/>
        <v>23.286700000000003</v>
      </c>
      <c r="Z116" s="74" t="e">
        <f>VLOOKUP(A116,Enforcements!$C$3:$J$40,8,0)</f>
        <v>#N/A</v>
      </c>
      <c r="AA116" s="74" t="e">
        <f>VLOOKUP(A116,Enforcements!$C$3:$J$40,3,0)</f>
        <v>#N/A</v>
      </c>
    </row>
    <row r="117" spans="1:27" s="2" customFormat="1" x14ac:dyDescent="0.25">
      <c r="A117" s="60" t="s">
        <v>330</v>
      </c>
      <c r="B117" s="60">
        <v>4032</v>
      </c>
      <c r="C117" s="60" t="s">
        <v>66</v>
      </c>
      <c r="D117" s="60" t="s">
        <v>496</v>
      </c>
      <c r="E117" s="30">
        <v>42515.732835648145</v>
      </c>
      <c r="F117" s="30">
        <v>42515.733900462961</v>
      </c>
      <c r="G117" s="38">
        <v>1</v>
      </c>
      <c r="H117" s="30" t="s">
        <v>497</v>
      </c>
      <c r="I117" s="30">
        <v>42515.764976851853</v>
      </c>
      <c r="J117" s="60">
        <v>1</v>
      </c>
      <c r="K117" s="60" t="str">
        <f t="shared" si="12"/>
        <v>4031/4032</v>
      </c>
      <c r="L117" s="60" t="str">
        <f>VLOOKUP(A117,'Trips&amp;Operators'!$C$1:$E$9999,3,FALSE)</f>
        <v>BONDS</v>
      </c>
      <c r="M117" s="12">
        <f t="shared" si="13"/>
        <v>3.107638889196096E-2</v>
      </c>
      <c r="N117" s="13">
        <f t="shared" si="21"/>
        <v>44.750000004423782</v>
      </c>
      <c r="O117" s="13"/>
      <c r="P117" s="13"/>
      <c r="Q117" s="61"/>
      <c r="R117" s="61"/>
      <c r="T11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17:34:17-0600',mode:absolute,to:'2016-05-25 18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7" s="73" t="str">
        <f t="shared" si="15"/>
        <v>N</v>
      </c>
      <c r="V117" s="73">
        <f t="shared" si="16"/>
        <v>1</v>
      </c>
      <c r="W117" s="73">
        <f t="shared" si="17"/>
        <v>23.301500000000001</v>
      </c>
      <c r="X117" s="73">
        <f t="shared" si="18"/>
        <v>1.34E-2</v>
      </c>
      <c r="Y117" s="73">
        <f t="shared" si="19"/>
        <v>23.2881</v>
      </c>
      <c r="Z117" s="74">
        <f>VLOOKUP(A117,Enforcements!$C$3:$J$40,8,0)</f>
        <v>1</v>
      </c>
      <c r="AA117" s="74" t="str">
        <f>VLOOKUP(A117,Enforcements!$C$3:$J$40,3,0)</f>
        <v>TRACK WARRANT AUTHORITY</v>
      </c>
    </row>
    <row r="118" spans="1:27" s="2" customFormat="1" x14ac:dyDescent="0.25">
      <c r="A118" s="60" t="s">
        <v>498</v>
      </c>
      <c r="B118" s="60">
        <v>4009</v>
      </c>
      <c r="C118" s="60" t="s">
        <v>66</v>
      </c>
      <c r="D118" s="60" t="s">
        <v>102</v>
      </c>
      <c r="E118" s="30">
        <v>42515.701516203706</v>
      </c>
      <c r="F118" s="30">
        <v>42515.702719907407</v>
      </c>
      <c r="G118" s="38">
        <v>1</v>
      </c>
      <c r="H118" s="30" t="s">
        <v>307</v>
      </c>
      <c r="I118" s="30">
        <v>42515.732858796298</v>
      </c>
      <c r="J118" s="60">
        <v>0</v>
      </c>
      <c r="K118" s="60" t="str">
        <f t="shared" si="12"/>
        <v>4009/4010</v>
      </c>
      <c r="L118" s="60" t="str">
        <f>VLOOKUP(A118,'Trips&amp;Operators'!$C$1:$E$9999,3,FALSE)</f>
        <v>BUTLER</v>
      </c>
      <c r="M118" s="12">
        <f t="shared" si="13"/>
        <v>3.0138888891087845E-2</v>
      </c>
      <c r="N118" s="13">
        <f t="shared" si="21"/>
        <v>43.400000003166497</v>
      </c>
      <c r="O118" s="13"/>
      <c r="P118" s="13"/>
      <c r="Q118" s="61"/>
      <c r="R118" s="61"/>
      <c r="T11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16:49:11-0600',mode:absolute,to:'2016-05-25 17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8" s="73" t="str">
        <f t="shared" si="15"/>
        <v>N</v>
      </c>
      <c r="V118" s="73">
        <f t="shared" si="16"/>
        <v>1</v>
      </c>
      <c r="W118" s="73">
        <f t="shared" si="17"/>
        <v>4.58E-2</v>
      </c>
      <c r="X118" s="73">
        <f t="shared" si="18"/>
        <v>23.331199999999999</v>
      </c>
      <c r="Y118" s="73">
        <f t="shared" si="19"/>
        <v>23.285399999999999</v>
      </c>
      <c r="Z118" s="74" t="e">
        <f>VLOOKUP(A118,Enforcements!$C$3:$J$40,8,0)</f>
        <v>#N/A</v>
      </c>
      <c r="AA118" s="74" t="e">
        <f>VLOOKUP(A118,Enforcements!$C$3:$J$40,3,0)</f>
        <v>#N/A</v>
      </c>
    </row>
    <row r="119" spans="1:27" s="2" customFormat="1" x14ac:dyDescent="0.25">
      <c r="A119" s="60" t="s">
        <v>499</v>
      </c>
      <c r="B119" s="60">
        <v>4010</v>
      </c>
      <c r="C119" s="60" t="s">
        <v>66</v>
      </c>
      <c r="D119" s="60" t="s">
        <v>84</v>
      </c>
      <c r="E119" s="30">
        <v>42515.739976851852</v>
      </c>
      <c r="F119" s="30">
        <v>42515.741180555553</v>
      </c>
      <c r="G119" s="38">
        <v>1</v>
      </c>
      <c r="H119" s="30" t="s">
        <v>404</v>
      </c>
      <c r="I119" s="30">
        <v>42515.772581018522</v>
      </c>
      <c r="J119" s="60">
        <v>0</v>
      </c>
      <c r="K119" s="60" t="str">
        <f t="shared" si="12"/>
        <v>4009/4010</v>
      </c>
      <c r="L119" s="60" t="str">
        <f>VLOOKUP(A119,'Trips&amp;Operators'!$C$1:$E$9999,3,FALSE)</f>
        <v>BUTLER</v>
      </c>
      <c r="M119" s="12">
        <f t="shared" si="13"/>
        <v>3.1400462969031651E-2</v>
      </c>
      <c r="N119" s="13">
        <f t="shared" si="21"/>
        <v>45.216666675405577</v>
      </c>
      <c r="O119" s="13"/>
      <c r="P119" s="13"/>
      <c r="Q119" s="61"/>
      <c r="R119" s="61"/>
      <c r="T11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17:44:34-0600',mode:absolute,to:'2016-05-25 18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3" t="str">
        <f t="shared" si="15"/>
        <v>N</v>
      </c>
      <c r="V119" s="73">
        <f t="shared" si="16"/>
        <v>1</v>
      </c>
      <c r="W119" s="73">
        <f t="shared" si="17"/>
        <v>23.297999999999998</v>
      </c>
      <c r="X119" s="73">
        <f t="shared" si="18"/>
        <v>1.41E-2</v>
      </c>
      <c r="Y119" s="73">
        <f t="shared" si="19"/>
        <v>23.283899999999999</v>
      </c>
      <c r="Z119" s="74" t="e">
        <f>VLOOKUP(A119,Enforcements!$C$3:$J$40,8,0)</f>
        <v>#N/A</v>
      </c>
      <c r="AA119" s="74" t="e">
        <f>VLOOKUP(A119,Enforcements!$C$3:$J$40,3,0)</f>
        <v>#N/A</v>
      </c>
    </row>
    <row r="120" spans="1:27" s="2" customFormat="1" x14ac:dyDescent="0.25">
      <c r="A120" s="60" t="s">
        <v>500</v>
      </c>
      <c r="B120" s="60">
        <v>4027</v>
      </c>
      <c r="C120" s="60" t="s">
        <v>66</v>
      </c>
      <c r="D120" s="60" t="s">
        <v>152</v>
      </c>
      <c r="E120" s="30">
        <v>42515.718495370369</v>
      </c>
      <c r="F120" s="30">
        <v>42515.71943287037</v>
      </c>
      <c r="G120" s="38">
        <v>1</v>
      </c>
      <c r="H120" s="30" t="s">
        <v>143</v>
      </c>
      <c r="I120" s="30">
        <v>42515.745451388888</v>
      </c>
      <c r="J120" s="60">
        <v>0</v>
      </c>
      <c r="K120" s="60" t="str">
        <f t="shared" si="12"/>
        <v>4027/4028</v>
      </c>
      <c r="L120" s="60" t="str">
        <f>VLOOKUP(A120,'Trips&amp;Operators'!$C$1:$E$9999,3,FALSE)</f>
        <v>STORY</v>
      </c>
      <c r="M120" s="12">
        <f t="shared" si="13"/>
        <v>2.6018518517958E-2</v>
      </c>
      <c r="N120" s="13">
        <f t="shared" si="21"/>
        <v>37.46666666585952</v>
      </c>
      <c r="O120" s="13"/>
      <c r="P120" s="13"/>
      <c r="Q120" s="61"/>
      <c r="R120" s="61"/>
      <c r="T12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17:13:38-0600',mode:absolute,to:'2016-05-25 17:54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20" s="73" t="str">
        <f t="shared" si="15"/>
        <v>N</v>
      </c>
      <c r="V120" s="73">
        <f t="shared" si="16"/>
        <v>1</v>
      </c>
      <c r="W120" s="73">
        <f t="shared" si="17"/>
        <v>4.3999999999999997E-2</v>
      </c>
      <c r="X120" s="73">
        <f t="shared" si="18"/>
        <v>23.330400000000001</v>
      </c>
      <c r="Y120" s="73">
        <f t="shared" si="19"/>
        <v>23.2864</v>
      </c>
      <c r="Z120" s="74" t="e">
        <f>VLOOKUP(A120,Enforcements!$C$3:$J$40,8,0)</f>
        <v>#N/A</v>
      </c>
      <c r="AA120" s="74" t="e">
        <f>VLOOKUP(A120,Enforcements!$C$3:$J$40,3,0)</f>
        <v>#N/A</v>
      </c>
    </row>
    <row r="121" spans="1:27" s="2" customFormat="1" x14ac:dyDescent="0.25">
      <c r="A121" s="60" t="s">
        <v>501</v>
      </c>
      <c r="B121" s="60">
        <v>4028</v>
      </c>
      <c r="C121" s="60" t="s">
        <v>66</v>
      </c>
      <c r="D121" s="60" t="s">
        <v>389</v>
      </c>
      <c r="E121" s="30">
        <v>42515.752418981479</v>
      </c>
      <c r="F121" s="30">
        <v>42515.753321759257</v>
      </c>
      <c r="G121" s="38">
        <v>1</v>
      </c>
      <c r="H121" s="30" t="s">
        <v>91</v>
      </c>
      <c r="I121" s="30">
        <v>42515.786215277774</v>
      </c>
      <c r="J121" s="60">
        <v>0</v>
      </c>
      <c r="K121" s="60" t="str">
        <f t="shared" si="12"/>
        <v>4027/4028</v>
      </c>
      <c r="L121" s="60" t="str">
        <f>VLOOKUP(A121,'Trips&amp;Operators'!$C$1:$E$9999,3,FALSE)</f>
        <v>STORY</v>
      </c>
      <c r="M121" s="12">
        <f t="shared" si="13"/>
        <v>3.2893518517084885E-2</v>
      </c>
      <c r="N121" s="13">
        <f t="shared" si="21"/>
        <v>47.366666664602235</v>
      </c>
      <c r="O121" s="13"/>
      <c r="P121" s="13"/>
      <c r="Q121" s="61"/>
      <c r="R121" s="61"/>
      <c r="T12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18:02:29-0600',mode:absolute,to:'2016-05-25 18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1" s="73" t="str">
        <f t="shared" si="15"/>
        <v>N</v>
      </c>
      <c r="V121" s="73">
        <f t="shared" si="16"/>
        <v>1</v>
      </c>
      <c r="W121" s="73">
        <f t="shared" si="17"/>
        <v>23.301100000000002</v>
      </c>
      <c r="X121" s="73">
        <f t="shared" si="18"/>
        <v>1.4999999999999999E-2</v>
      </c>
      <c r="Y121" s="73">
        <f t="shared" si="19"/>
        <v>23.286100000000001</v>
      </c>
      <c r="Z121" s="74" t="e">
        <f>VLOOKUP(A121,Enforcements!$C$3:$J$40,8,0)</f>
        <v>#N/A</v>
      </c>
      <c r="AA121" s="74" t="e">
        <f>VLOOKUP(A121,Enforcements!$C$3:$J$40,3,0)</f>
        <v>#N/A</v>
      </c>
    </row>
    <row r="122" spans="1:27" s="2" customFormat="1" x14ac:dyDescent="0.25">
      <c r="A122" s="60" t="s">
        <v>328</v>
      </c>
      <c r="B122" s="60">
        <v>4020</v>
      </c>
      <c r="C122" s="60" t="s">
        <v>66</v>
      </c>
      <c r="D122" s="60" t="s">
        <v>261</v>
      </c>
      <c r="E122" s="30">
        <v>42515.725925925923</v>
      </c>
      <c r="F122" s="30">
        <v>42515.726967592593</v>
      </c>
      <c r="G122" s="38">
        <v>1</v>
      </c>
      <c r="H122" s="30" t="s">
        <v>502</v>
      </c>
      <c r="I122" s="30">
        <v>42515.75403935185</v>
      </c>
      <c r="J122" s="60">
        <v>1</v>
      </c>
      <c r="K122" s="60" t="str">
        <f t="shared" si="12"/>
        <v>4019/4020</v>
      </c>
      <c r="L122" s="60" t="str">
        <f>VLOOKUP(A122,'Trips&amp;Operators'!$C$1:$E$9999,3,FALSE)</f>
        <v>STEWART</v>
      </c>
      <c r="M122" s="12">
        <f t="shared" si="13"/>
        <v>2.7071759257523809E-2</v>
      </c>
      <c r="N122" s="13">
        <f t="shared" si="21"/>
        <v>38.983333330834284</v>
      </c>
      <c r="O122" s="13"/>
      <c r="P122" s="13"/>
      <c r="Q122" s="61"/>
      <c r="R122" s="61"/>
      <c r="T12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17:24:20-0600',mode:absolute,to:'2016-05-25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2" s="73" t="str">
        <f t="shared" si="15"/>
        <v>N</v>
      </c>
      <c r="V122" s="73">
        <f t="shared" si="16"/>
        <v>1</v>
      </c>
      <c r="W122" s="73">
        <f t="shared" si="17"/>
        <v>4.5699999999999998E-2</v>
      </c>
      <c r="X122" s="73">
        <f t="shared" si="18"/>
        <v>23.334499999999998</v>
      </c>
      <c r="Y122" s="73">
        <f t="shared" si="19"/>
        <v>23.288799999999998</v>
      </c>
      <c r="Z122" s="74">
        <f>VLOOKUP(A122,Enforcements!$C$3:$J$40,8,0)</f>
        <v>233491</v>
      </c>
      <c r="AA122" s="74" t="str">
        <f>VLOOKUP(A122,Enforcements!$C$3:$J$40,3,0)</f>
        <v>TRACK WARRANT AUTHORITY</v>
      </c>
    </row>
    <row r="123" spans="1:27" s="2" customFormat="1" x14ac:dyDescent="0.25">
      <c r="A123" s="60" t="s">
        <v>503</v>
      </c>
      <c r="B123" s="60">
        <v>4019</v>
      </c>
      <c r="C123" s="60" t="s">
        <v>66</v>
      </c>
      <c r="D123" s="60" t="s">
        <v>295</v>
      </c>
      <c r="E123" s="30">
        <v>42515.763715277775</v>
      </c>
      <c r="F123" s="30">
        <v>42515.764988425923</v>
      </c>
      <c r="G123" s="38">
        <v>1</v>
      </c>
      <c r="H123" s="30" t="s">
        <v>73</v>
      </c>
      <c r="I123" s="30">
        <v>42515.797962962963</v>
      </c>
      <c r="J123" s="60">
        <v>0</v>
      </c>
      <c r="K123" s="60" t="str">
        <f t="shared" si="12"/>
        <v>4019/4020</v>
      </c>
      <c r="L123" s="60" t="str">
        <f>VLOOKUP(A123,'Trips&amp;Operators'!$C$1:$E$9999,3,FALSE)</f>
        <v>STEWART</v>
      </c>
      <c r="M123" s="12">
        <f t="shared" si="13"/>
        <v>3.2974537039990537E-2</v>
      </c>
      <c r="N123" s="13">
        <f t="shared" si="21"/>
        <v>47.483333337586373</v>
      </c>
      <c r="O123" s="13"/>
      <c r="P123" s="13"/>
      <c r="Q123" s="61"/>
      <c r="R123" s="61"/>
      <c r="T12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18:18:45-0600',mode:absolute,to:'2016-05-25 19:10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3" s="73" t="str">
        <f t="shared" si="15"/>
        <v>N</v>
      </c>
      <c r="V123" s="73">
        <f t="shared" si="16"/>
        <v>1</v>
      </c>
      <c r="W123" s="73">
        <f t="shared" si="17"/>
        <v>23.3019</v>
      </c>
      <c r="X123" s="73">
        <f t="shared" si="18"/>
        <v>1.4500000000000001E-2</v>
      </c>
      <c r="Y123" s="73">
        <f t="shared" si="19"/>
        <v>23.287399999999998</v>
      </c>
      <c r="Z123" s="74" t="e">
        <f>VLOOKUP(A123,Enforcements!$C$3:$J$40,8,0)</f>
        <v>#N/A</v>
      </c>
      <c r="AA123" s="74" t="e">
        <f>VLOOKUP(A123,Enforcements!$C$3:$J$40,3,0)</f>
        <v>#N/A</v>
      </c>
    </row>
    <row r="124" spans="1:27" s="2" customFormat="1" x14ac:dyDescent="0.25">
      <c r="A124" s="60" t="s">
        <v>329</v>
      </c>
      <c r="B124" s="60">
        <v>4040</v>
      </c>
      <c r="C124" s="60" t="s">
        <v>66</v>
      </c>
      <c r="D124" s="60" t="s">
        <v>74</v>
      </c>
      <c r="E124" s="30">
        <v>42515.736203703702</v>
      </c>
      <c r="F124" s="30">
        <v>42515.73704861111</v>
      </c>
      <c r="G124" s="38">
        <v>1</v>
      </c>
      <c r="H124" s="30" t="s">
        <v>256</v>
      </c>
      <c r="I124" s="30">
        <v>42515.76494212963</v>
      </c>
      <c r="J124" s="60">
        <v>1</v>
      </c>
      <c r="K124" s="60" t="str">
        <f t="shared" si="12"/>
        <v>4039/4040</v>
      </c>
      <c r="L124" s="60" t="str">
        <f>VLOOKUP(A124,'Trips&amp;Operators'!$C$1:$E$9999,3,FALSE)</f>
        <v>LEVERE</v>
      </c>
      <c r="M124" s="12">
        <f t="shared" si="13"/>
        <v>2.789351851970423E-2</v>
      </c>
      <c r="N124" s="13">
        <f t="shared" si="21"/>
        <v>40.166666668374091</v>
      </c>
      <c r="O124" s="13"/>
      <c r="P124" s="13"/>
      <c r="Q124" s="61"/>
      <c r="R124" s="61"/>
      <c r="T12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17:39:08-0600',mode:absolute,to:'2016-05-25 18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4" s="73" t="str">
        <f t="shared" si="15"/>
        <v>N</v>
      </c>
      <c r="V124" s="73">
        <f t="shared" si="16"/>
        <v>1</v>
      </c>
      <c r="W124" s="73">
        <f t="shared" si="17"/>
        <v>4.4699999999999997E-2</v>
      </c>
      <c r="X124" s="73">
        <f t="shared" si="18"/>
        <v>23.328900000000001</v>
      </c>
      <c r="Y124" s="73">
        <f t="shared" si="19"/>
        <v>23.284200000000002</v>
      </c>
      <c r="Z124" s="74">
        <f>VLOOKUP(A124,Enforcements!$C$3:$J$40,8,0)</f>
        <v>233491</v>
      </c>
      <c r="AA124" s="74" t="str">
        <f>VLOOKUP(A124,Enforcements!$C$3:$J$40,3,0)</f>
        <v>TRACK WARRANT AUTHORITY</v>
      </c>
    </row>
    <row r="125" spans="1:27" s="2" customFormat="1" x14ac:dyDescent="0.25">
      <c r="A125" s="60" t="s">
        <v>504</v>
      </c>
      <c r="B125" s="60">
        <v>4039</v>
      </c>
      <c r="C125" s="60" t="s">
        <v>66</v>
      </c>
      <c r="D125" s="60" t="s">
        <v>301</v>
      </c>
      <c r="E125" s="30">
        <v>42515.769965277781</v>
      </c>
      <c r="F125" s="30">
        <v>42515.771226851852</v>
      </c>
      <c r="G125" s="38">
        <v>1</v>
      </c>
      <c r="H125" s="30" t="s">
        <v>505</v>
      </c>
      <c r="I125" s="30">
        <v>42515.805636574078</v>
      </c>
      <c r="J125" s="60">
        <v>0</v>
      </c>
      <c r="K125" s="60" t="str">
        <f t="shared" si="12"/>
        <v>4039/4040</v>
      </c>
      <c r="L125" s="60" t="str">
        <f>VLOOKUP(A125,'Trips&amp;Operators'!$C$1:$E$9999,3,FALSE)</f>
        <v>LEVERE</v>
      </c>
      <c r="M125" s="12">
        <f t="shared" si="13"/>
        <v>3.4409722225973383E-2</v>
      </c>
      <c r="N125" s="13">
        <f t="shared" si="21"/>
        <v>49.550000005401671</v>
      </c>
      <c r="O125" s="13"/>
      <c r="P125" s="13"/>
      <c r="Q125" s="61"/>
      <c r="R125" s="61"/>
      <c r="T12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18:27:45-0600',mode:absolute,to:'2016-05-25 19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5" s="73" t="str">
        <f t="shared" si="15"/>
        <v>N</v>
      </c>
      <c r="V125" s="73">
        <f t="shared" si="16"/>
        <v>1</v>
      </c>
      <c r="W125" s="73">
        <f t="shared" si="17"/>
        <v>23.2972</v>
      </c>
      <c r="X125" s="73">
        <f t="shared" si="18"/>
        <v>3.78E-2</v>
      </c>
      <c r="Y125" s="73">
        <f t="shared" si="19"/>
        <v>23.259399999999999</v>
      </c>
      <c r="Z125" s="74" t="e">
        <f>VLOOKUP(A125,Enforcements!$C$3:$J$40,8,0)</f>
        <v>#N/A</v>
      </c>
      <c r="AA125" s="74" t="e">
        <f>VLOOKUP(A125,Enforcements!$C$3:$J$40,3,0)</f>
        <v>#N/A</v>
      </c>
    </row>
    <row r="126" spans="1:27" s="2" customFormat="1" x14ac:dyDescent="0.25">
      <c r="A126" s="60" t="s">
        <v>506</v>
      </c>
      <c r="B126" s="60">
        <v>4038</v>
      </c>
      <c r="C126" s="60" t="s">
        <v>66</v>
      </c>
      <c r="D126" s="60" t="s">
        <v>375</v>
      </c>
      <c r="E126" s="30">
        <v>42515.747118055559</v>
      </c>
      <c r="F126" s="30">
        <v>42515.748391203706</v>
      </c>
      <c r="G126" s="38">
        <v>1</v>
      </c>
      <c r="H126" s="30" t="s">
        <v>480</v>
      </c>
      <c r="I126" s="30">
        <v>42515.777141203704</v>
      </c>
      <c r="J126" s="60">
        <v>0</v>
      </c>
      <c r="K126" s="60" t="str">
        <f t="shared" si="12"/>
        <v>4037/4038</v>
      </c>
      <c r="L126" s="60" t="str">
        <f>VLOOKUP(A126,'Trips&amp;Operators'!$C$1:$E$9999,3,FALSE)</f>
        <v>YOUNG</v>
      </c>
      <c r="M126" s="12">
        <f t="shared" si="13"/>
        <v>2.8749999997671694E-2</v>
      </c>
      <c r="N126" s="13">
        <f t="shared" si="21"/>
        <v>41.399999996647239</v>
      </c>
      <c r="O126" s="13"/>
      <c r="P126" s="13"/>
      <c r="Q126" s="61"/>
      <c r="R126" s="61"/>
      <c r="T12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17:54:51-0600',mode:absolute,to:'2016-05-25 18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6" s="73" t="str">
        <f t="shared" si="15"/>
        <v>N</v>
      </c>
      <c r="V126" s="73">
        <f t="shared" si="16"/>
        <v>1</v>
      </c>
      <c r="W126" s="73">
        <f t="shared" si="17"/>
        <v>4.53E-2</v>
      </c>
      <c r="X126" s="73">
        <f t="shared" si="18"/>
        <v>23.331600000000002</v>
      </c>
      <c r="Y126" s="73">
        <f t="shared" si="19"/>
        <v>23.286300000000001</v>
      </c>
      <c r="Z126" s="74" t="e">
        <f>VLOOKUP(A126,Enforcements!$C$3:$J$40,8,0)</f>
        <v>#N/A</v>
      </c>
      <c r="AA126" s="74" t="e">
        <f>VLOOKUP(A126,Enforcements!$C$3:$J$40,3,0)</f>
        <v>#N/A</v>
      </c>
    </row>
    <row r="127" spans="1:27" s="2" customFormat="1" x14ac:dyDescent="0.25">
      <c r="A127" s="60" t="s">
        <v>332</v>
      </c>
      <c r="B127" s="60">
        <v>4037</v>
      </c>
      <c r="C127" s="60" t="s">
        <v>66</v>
      </c>
      <c r="D127" s="60" t="s">
        <v>92</v>
      </c>
      <c r="E127" s="30">
        <v>42515.78025462963</v>
      </c>
      <c r="F127" s="30">
        <v>42515.781111111108</v>
      </c>
      <c r="G127" s="38">
        <v>1</v>
      </c>
      <c r="H127" s="30" t="s">
        <v>137</v>
      </c>
      <c r="I127" s="30">
        <v>42515.819652777776</v>
      </c>
      <c r="J127" s="60">
        <v>1</v>
      </c>
      <c r="K127" s="60" t="str">
        <f t="shared" si="12"/>
        <v>4037/4038</v>
      </c>
      <c r="L127" s="60" t="str">
        <f>VLOOKUP(A127,'Trips&amp;Operators'!$C$1:$E$9999,3,FALSE)</f>
        <v>YOUNG</v>
      </c>
      <c r="M127" s="12">
        <f t="shared" si="13"/>
        <v>3.8541666668606922E-2</v>
      </c>
      <c r="N127" s="13">
        <f t="shared" si="21"/>
        <v>55.500000002793968</v>
      </c>
      <c r="O127" s="13"/>
      <c r="P127" s="13"/>
      <c r="Q127" s="61"/>
      <c r="R127" s="61"/>
      <c r="T12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18:42:34-0600',mode:absolute,to:'2016-05-25 19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7" s="73" t="str">
        <f t="shared" si="15"/>
        <v>N</v>
      </c>
      <c r="V127" s="73">
        <f t="shared" si="16"/>
        <v>1</v>
      </c>
      <c r="W127" s="73">
        <f t="shared" si="17"/>
        <v>23.297499999999999</v>
      </c>
      <c r="X127" s="73">
        <f t="shared" si="18"/>
        <v>1.6299999999999999E-2</v>
      </c>
      <c r="Y127" s="73">
        <f t="shared" si="19"/>
        <v>23.281199999999998</v>
      </c>
      <c r="Z127" s="74">
        <f>VLOOKUP(A127,Enforcements!$C$3:$J$40,8,0)</f>
        <v>1</v>
      </c>
      <c r="AA127" s="74" t="str">
        <f>VLOOKUP(A127,Enforcements!$C$3:$J$40,3,0)</f>
        <v>TRACK WARRANT AUTHORITY</v>
      </c>
    </row>
    <row r="128" spans="1:27" s="2" customFormat="1" x14ac:dyDescent="0.25">
      <c r="A128" s="60" t="s">
        <v>507</v>
      </c>
      <c r="B128" s="60">
        <v>4029</v>
      </c>
      <c r="C128" s="60" t="s">
        <v>66</v>
      </c>
      <c r="D128" s="60" t="s">
        <v>74</v>
      </c>
      <c r="E128" s="30">
        <v>42515.756388888891</v>
      </c>
      <c r="F128" s="30">
        <v>42515.757870370369</v>
      </c>
      <c r="G128" s="38">
        <v>2</v>
      </c>
      <c r="H128" s="30" t="s">
        <v>143</v>
      </c>
      <c r="I128" s="30">
        <v>42515.786041666666</v>
      </c>
      <c r="J128" s="60">
        <v>0</v>
      </c>
      <c r="K128" s="60" t="str">
        <f t="shared" si="12"/>
        <v>4029/4030</v>
      </c>
      <c r="L128" s="60" t="str">
        <f>VLOOKUP(A128,'Trips&amp;Operators'!$C$1:$E$9999,3,FALSE)</f>
        <v>REBOLETTI</v>
      </c>
      <c r="M128" s="12">
        <f t="shared" si="13"/>
        <v>2.8171296296932269E-2</v>
      </c>
      <c r="N128" s="13">
        <f t="shared" si="21"/>
        <v>40.566666667582467</v>
      </c>
      <c r="O128" s="13"/>
      <c r="P128" s="13"/>
      <c r="Q128" s="61"/>
      <c r="R128" s="61"/>
      <c r="T12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18:08:12-0600',mode:absolute,to:'2016-05-25 18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8" s="73" t="str">
        <f t="shared" si="15"/>
        <v>N</v>
      </c>
      <c r="V128" s="73">
        <f t="shared" si="16"/>
        <v>1</v>
      </c>
      <c r="W128" s="73">
        <f t="shared" si="17"/>
        <v>4.4699999999999997E-2</v>
      </c>
      <c r="X128" s="73">
        <f t="shared" si="18"/>
        <v>23.330400000000001</v>
      </c>
      <c r="Y128" s="73">
        <f t="shared" si="19"/>
        <v>23.285700000000002</v>
      </c>
      <c r="Z128" s="74" t="e">
        <f>VLOOKUP(A128,Enforcements!$C$3:$J$40,8,0)</f>
        <v>#N/A</v>
      </c>
      <c r="AA128" s="74" t="e">
        <f>VLOOKUP(A128,Enforcements!$C$3:$J$40,3,0)</f>
        <v>#N/A</v>
      </c>
    </row>
    <row r="129" spans="1:27" s="2" customFormat="1" x14ac:dyDescent="0.25">
      <c r="A129" s="60" t="s">
        <v>508</v>
      </c>
      <c r="B129" s="60">
        <v>4030</v>
      </c>
      <c r="C129" s="60" t="s">
        <v>66</v>
      </c>
      <c r="D129" s="60" t="s">
        <v>509</v>
      </c>
      <c r="E129" s="30">
        <v>42515.793194444443</v>
      </c>
      <c r="F129" s="30">
        <v>42515.794374999998</v>
      </c>
      <c r="G129" s="38">
        <v>1</v>
      </c>
      <c r="H129" s="30" t="s">
        <v>137</v>
      </c>
      <c r="I129" s="30">
        <v>42515.82503472222</v>
      </c>
      <c r="J129" s="60">
        <v>0</v>
      </c>
      <c r="K129" s="60" t="str">
        <f t="shared" si="12"/>
        <v>4029/4030</v>
      </c>
      <c r="L129" s="60" t="str">
        <f>VLOOKUP(A129,'Trips&amp;Operators'!$C$1:$E$9999,3,FALSE)</f>
        <v>REBOLETTI</v>
      </c>
      <c r="M129" s="12">
        <f t="shared" si="13"/>
        <v>3.0659722222480923E-2</v>
      </c>
      <c r="N129" s="13">
        <f t="shared" si="21"/>
        <v>44.150000000372529</v>
      </c>
      <c r="O129" s="13"/>
      <c r="P129" s="13"/>
      <c r="Q129" s="61"/>
      <c r="R129" s="61"/>
      <c r="T12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19:01:12-0600',mode:absolute,to:'2016-05-25 19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9" s="73" t="str">
        <f t="shared" si="15"/>
        <v>N</v>
      </c>
      <c r="V129" s="73">
        <f t="shared" si="16"/>
        <v>1</v>
      </c>
      <c r="W129" s="73">
        <f t="shared" si="17"/>
        <v>23.298100000000002</v>
      </c>
      <c r="X129" s="73">
        <f t="shared" si="18"/>
        <v>1.6299999999999999E-2</v>
      </c>
      <c r="Y129" s="73">
        <f t="shared" si="19"/>
        <v>23.2818</v>
      </c>
      <c r="Z129" s="74" t="e">
        <f>VLOOKUP(A129,Enforcements!$C$3:$J$40,8,0)</f>
        <v>#N/A</v>
      </c>
      <c r="AA129" s="74" t="e">
        <f>VLOOKUP(A129,Enforcements!$C$3:$J$40,3,0)</f>
        <v>#N/A</v>
      </c>
    </row>
    <row r="130" spans="1:27" s="2" customFormat="1" x14ac:dyDescent="0.25">
      <c r="A130" s="60" t="s">
        <v>510</v>
      </c>
      <c r="B130" s="60">
        <v>4031</v>
      </c>
      <c r="C130" s="60" t="s">
        <v>66</v>
      </c>
      <c r="D130" s="60" t="s">
        <v>271</v>
      </c>
      <c r="E130" s="30">
        <v>42515.768171296295</v>
      </c>
      <c r="F130" s="30">
        <v>42515.769189814811</v>
      </c>
      <c r="G130" s="38">
        <v>1</v>
      </c>
      <c r="H130" s="30" t="s">
        <v>487</v>
      </c>
      <c r="I130" s="30">
        <v>42515.795682870368</v>
      </c>
      <c r="J130" s="60">
        <v>0</v>
      </c>
      <c r="K130" s="60" t="str">
        <f t="shared" si="12"/>
        <v>4031/4032</v>
      </c>
      <c r="L130" s="60" t="str">
        <f>VLOOKUP(A130,'Trips&amp;Operators'!$C$1:$E$9999,3,FALSE)</f>
        <v>GRASTON</v>
      </c>
      <c r="M130" s="12">
        <f t="shared" si="13"/>
        <v>2.6493055556784384E-2</v>
      </c>
      <c r="N130" s="13">
        <f t="shared" si="21"/>
        <v>38.150000001769513</v>
      </c>
      <c r="O130" s="13"/>
      <c r="P130" s="13"/>
      <c r="Q130" s="61"/>
      <c r="R130" s="61"/>
      <c r="T13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18:25:10-0600',mode:absolute,to:'2016-05-25 19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0" s="73" t="str">
        <f t="shared" si="15"/>
        <v>N</v>
      </c>
      <c r="V130" s="73">
        <f t="shared" si="16"/>
        <v>1</v>
      </c>
      <c r="W130" s="73">
        <f t="shared" si="17"/>
        <v>4.3799999999999999E-2</v>
      </c>
      <c r="X130" s="73">
        <f t="shared" si="18"/>
        <v>23.3291</v>
      </c>
      <c r="Y130" s="73">
        <f t="shared" si="19"/>
        <v>23.285299999999999</v>
      </c>
      <c r="Z130" s="74" t="e">
        <f>VLOOKUP(A130,Enforcements!$C$3:$J$40,8,0)</f>
        <v>#N/A</v>
      </c>
      <c r="AA130" s="74" t="e">
        <f>VLOOKUP(A130,Enforcements!$C$3:$J$40,3,0)</f>
        <v>#N/A</v>
      </c>
    </row>
    <row r="131" spans="1:27" s="2" customFormat="1" x14ac:dyDescent="0.25">
      <c r="A131" s="60" t="s">
        <v>511</v>
      </c>
      <c r="B131" s="60">
        <v>4032</v>
      </c>
      <c r="C131" s="60" t="s">
        <v>66</v>
      </c>
      <c r="D131" s="60" t="s">
        <v>299</v>
      </c>
      <c r="E131" s="30">
        <v>42515.806956018518</v>
      </c>
      <c r="F131" s="30">
        <v>42515.807986111111</v>
      </c>
      <c r="G131" s="38">
        <v>1</v>
      </c>
      <c r="H131" s="30" t="s">
        <v>71</v>
      </c>
      <c r="I131" s="30">
        <v>42515.836099537039</v>
      </c>
      <c r="J131" s="60">
        <v>0</v>
      </c>
      <c r="K131" s="60" t="str">
        <f t="shared" si="12"/>
        <v>4031/4032</v>
      </c>
      <c r="L131" s="60" t="str">
        <f>VLOOKUP(A131,'Trips&amp;Operators'!$C$1:$E$9999,3,FALSE)</f>
        <v>GRASTON</v>
      </c>
      <c r="M131" s="12">
        <f t="shared" si="13"/>
        <v>2.8113425927585922E-2</v>
      </c>
      <c r="N131" s="13">
        <f t="shared" si="21"/>
        <v>40.483333335723728</v>
      </c>
      <c r="O131" s="13"/>
      <c r="P131" s="13"/>
      <c r="Q131" s="61"/>
      <c r="R131" s="61"/>
      <c r="T13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19:21:01-0600',mode:absolute,to:'2016-05-25 20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1" s="73" t="str">
        <f t="shared" si="15"/>
        <v>N</v>
      </c>
      <c r="V131" s="73">
        <f t="shared" si="16"/>
        <v>1</v>
      </c>
      <c r="W131" s="73">
        <f t="shared" si="17"/>
        <v>23.296700000000001</v>
      </c>
      <c r="X131" s="73">
        <f t="shared" si="18"/>
        <v>1.54E-2</v>
      </c>
      <c r="Y131" s="73">
        <f t="shared" si="19"/>
        <v>23.281300000000002</v>
      </c>
      <c r="Z131" s="74" t="e">
        <f>VLOOKUP(A131,Enforcements!$C$3:$J$40,8,0)</f>
        <v>#N/A</v>
      </c>
      <c r="AA131" s="74" t="e">
        <f>VLOOKUP(A131,Enforcements!$C$3:$J$40,3,0)</f>
        <v>#N/A</v>
      </c>
    </row>
    <row r="132" spans="1:27" s="2" customFormat="1" x14ac:dyDescent="0.25">
      <c r="A132" s="60" t="s">
        <v>331</v>
      </c>
      <c r="B132" s="60">
        <v>4027</v>
      </c>
      <c r="C132" s="60" t="s">
        <v>66</v>
      </c>
      <c r="D132" s="60" t="s">
        <v>269</v>
      </c>
      <c r="E132" s="30">
        <v>42515.789675925924</v>
      </c>
      <c r="F132" s="30">
        <v>42515.790543981479</v>
      </c>
      <c r="G132" s="38">
        <v>1</v>
      </c>
      <c r="H132" s="30" t="s">
        <v>512</v>
      </c>
      <c r="I132" s="30">
        <v>42515.817916666667</v>
      </c>
      <c r="J132" s="60">
        <v>1</v>
      </c>
      <c r="K132" s="60" t="str">
        <f t="shared" si="12"/>
        <v>4027/4028</v>
      </c>
      <c r="L132" s="60" t="str">
        <f>VLOOKUP(A132,'Trips&amp;Operators'!$C$1:$E$9999,3,FALSE)</f>
        <v>STORY</v>
      </c>
      <c r="M132" s="12">
        <f t="shared" si="13"/>
        <v>2.7372685188311152E-2</v>
      </c>
      <c r="N132" s="13">
        <f t="shared" si="21"/>
        <v>39.416666671168059</v>
      </c>
      <c r="O132" s="13"/>
      <c r="P132" s="13"/>
      <c r="Q132" s="61"/>
      <c r="R132" s="61"/>
      <c r="T13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https://search-rtdc-monitor-bjffxe2xuh6vdkpspy63sjmuny.us-east-1.es.amazonaws.com/_plugin/kibana/#/discover/Steve-Slow-Train-Analysis-(2080s-and-2083s)?_g=(refreshInterval:(display:Off,section:0,value:0),time:(from:'2016-05-25 18:56:08-0600',mode:absolute,to:'2016-05-25 19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2" s="73" t="str">
        <f t="shared" si="15"/>
        <v>N</v>
      </c>
      <c r="V132" s="73">
        <f t="shared" si="16"/>
        <v>1</v>
      </c>
      <c r="W132" s="73">
        <f t="shared" si="17"/>
        <v>4.8000000000000001E-2</v>
      </c>
      <c r="X132" s="73">
        <f t="shared" si="18"/>
        <v>23.328600000000002</v>
      </c>
      <c r="Y132" s="73">
        <f t="shared" si="19"/>
        <v>23.280600000000003</v>
      </c>
      <c r="Z132" s="74">
        <f>VLOOKUP(A132,Enforcements!$C$3:$J$40,8,0)</f>
        <v>233491</v>
      </c>
      <c r="AA132" s="74" t="str">
        <f>VLOOKUP(A132,Enforcements!$C$3:$J$40,3,0)</f>
        <v>TRACK WARRANT AUTHORITY</v>
      </c>
    </row>
    <row r="133" spans="1:27" s="2" customFormat="1" x14ac:dyDescent="0.25">
      <c r="A133" s="60" t="s">
        <v>513</v>
      </c>
      <c r="B133" s="60">
        <v>4028</v>
      </c>
      <c r="C133" s="60" t="s">
        <v>66</v>
      </c>
      <c r="D133" s="60" t="s">
        <v>494</v>
      </c>
      <c r="E133" s="30">
        <v>42515.824374999997</v>
      </c>
      <c r="F133" s="30">
        <v>42515.825173611112</v>
      </c>
      <c r="G133" s="38">
        <v>1</v>
      </c>
      <c r="H133" s="30" t="s">
        <v>80</v>
      </c>
      <c r="I133" s="30">
        <v>42515.862858796296</v>
      </c>
      <c r="J133" s="60">
        <v>0</v>
      </c>
      <c r="K133" s="60" t="str">
        <f t="shared" ref="K133:K156" si="22">IF(ISEVEN(B133),(B133-1)&amp;"/"&amp;B133,B133&amp;"/"&amp;(B133+1))</f>
        <v>4027/4028</v>
      </c>
      <c r="L133" s="60" t="str">
        <f>VLOOKUP(A133,'Trips&amp;Operators'!$C$1:$E$9999,3,FALSE)</f>
        <v>STORY</v>
      </c>
      <c r="M133" s="12">
        <f t="shared" ref="M133:M156" si="23">I133-F133</f>
        <v>3.7685185183363501E-2</v>
      </c>
      <c r="N133" s="13">
        <f t="shared" si="21"/>
        <v>54.266666664043441</v>
      </c>
      <c r="O133" s="13"/>
      <c r="P133" s="13"/>
      <c r="Q133" s="61"/>
      <c r="R133" s="61"/>
      <c r="T133" s="73" t="str">
        <f t="shared" ref="T133:T156" si="24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https://search-rtdc-monitor-bjffxe2xuh6vdkpspy63sjmuny.us-east-1.es.amazonaws.com/_plugin/kibana/#/discover/Steve-Slow-Train-Analysis-(2080s-and-2083s)?_g=(refreshInterval:(display:Off,section:0,value:0),time:(from:'2016-05-25 19:46:06-0600',mode:absolute,to:'2016-05-25 20:43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33" s="73" t="str">
        <f t="shared" ref="U133:U156" si="25">IF(Y133&lt;23,"Y","N")</f>
        <v>N</v>
      </c>
      <c r="V133" s="73">
        <f t="shared" ref="V133:V155" si="26">VALUE(LEFT(A133,3))-VALUE(LEFT(A132,3))</f>
        <v>1</v>
      </c>
      <c r="W133" s="73">
        <f t="shared" ref="W133:W156" si="27">RIGHT(D133,LEN(D133)-4)/10000</f>
        <v>23.300699999999999</v>
      </c>
      <c r="X133" s="73">
        <f t="shared" ref="X133:X156" si="28">RIGHT(H133,LEN(H133)-4)/10000</f>
        <v>1.52E-2</v>
      </c>
      <c r="Y133" s="73">
        <f t="shared" ref="Y133:Y156" si="29">ABS(X133-W133)</f>
        <v>23.285499999999999</v>
      </c>
      <c r="Z133" s="74" t="e">
        <f>VLOOKUP(A133,Enforcements!$C$3:$J$40,8,0)</f>
        <v>#N/A</v>
      </c>
      <c r="AA133" s="74" t="e">
        <f>VLOOKUP(A133,Enforcements!$C$3:$J$40,3,0)</f>
        <v>#N/A</v>
      </c>
    </row>
    <row r="134" spans="1:27" s="2" customFormat="1" x14ac:dyDescent="0.25">
      <c r="A134" s="60" t="s">
        <v>333</v>
      </c>
      <c r="B134" s="60">
        <v>4040</v>
      </c>
      <c r="C134" s="60" t="s">
        <v>66</v>
      </c>
      <c r="D134" s="60" t="s">
        <v>514</v>
      </c>
      <c r="E134" s="30">
        <v>42515.807569444441</v>
      </c>
      <c r="F134" s="30">
        <v>42515.808425925927</v>
      </c>
      <c r="G134" s="38">
        <v>1</v>
      </c>
      <c r="H134" s="30" t="s">
        <v>512</v>
      </c>
      <c r="I134" s="30">
        <v>42515.840543981481</v>
      </c>
      <c r="J134" s="60">
        <v>1</v>
      </c>
      <c r="K134" s="60" t="str">
        <f t="shared" si="22"/>
        <v>4039/4040</v>
      </c>
      <c r="L134" s="60" t="str">
        <f>VLOOKUP(A134,'Trips&amp;Operators'!$C$1:$E$9999,3,FALSE)</f>
        <v>LEVERE</v>
      </c>
      <c r="M134" s="12">
        <f t="shared" si="23"/>
        <v>3.2118055554747116E-2</v>
      </c>
      <c r="N134" s="13">
        <f t="shared" si="21"/>
        <v>46.249999998835847</v>
      </c>
      <c r="O134" s="13"/>
      <c r="P134" s="13"/>
      <c r="Q134" s="61"/>
      <c r="R134" s="61"/>
      <c r="T13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19:21:54-0600',mode:absolute,to:'2016-05-25 20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4" s="73" t="str">
        <f t="shared" si="25"/>
        <v>N</v>
      </c>
      <c r="V134" s="73">
        <f t="shared" si="26"/>
        <v>1</v>
      </c>
      <c r="W134" s="73">
        <f t="shared" si="27"/>
        <v>7.1199999999999999E-2</v>
      </c>
      <c r="X134" s="73">
        <f t="shared" si="28"/>
        <v>23.328600000000002</v>
      </c>
      <c r="Y134" s="73">
        <f t="shared" si="29"/>
        <v>23.257400000000001</v>
      </c>
      <c r="Z134" s="74">
        <f>VLOOKUP(A134,Enforcements!$C$3:$J$40,8,0)</f>
        <v>190834</v>
      </c>
      <c r="AA134" s="74" t="str">
        <f>VLOOKUP(A134,Enforcements!$C$3:$J$40,3,0)</f>
        <v>SWITCH UNKNOWN</v>
      </c>
    </row>
    <row r="135" spans="1:27" s="2" customFormat="1" x14ac:dyDescent="0.25">
      <c r="A135" s="60" t="s">
        <v>334</v>
      </c>
      <c r="B135" s="60">
        <v>4039</v>
      </c>
      <c r="C135" s="60" t="s">
        <v>66</v>
      </c>
      <c r="D135" s="60" t="s">
        <v>515</v>
      </c>
      <c r="E135" s="30">
        <v>42515.845763888887</v>
      </c>
      <c r="F135" s="30">
        <v>42515.846666666665</v>
      </c>
      <c r="G135" s="38">
        <v>1</v>
      </c>
      <c r="H135" s="30" t="s">
        <v>137</v>
      </c>
      <c r="I135" s="30">
        <v>42515.881481481483</v>
      </c>
      <c r="J135" s="60">
        <v>1</v>
      </c>
      <c r="K135" s="60" t="str">
        <f t="shared" si="22"/>
        <v>4039/4040</v>
      </c>
      <c r="L135" s="60" t="str">
        <f>VLOOKUP(A135,'Trips&amp;Operators'!$C$1:$E$9999,3,FALSE)</f>
        <v>LEVERE</v>
      </c>
      <c r="M135" s="12">
        <f t="shared" si="23"/>
        <v>3.4814814818673767E-2</v>
      </c>
      <c r="N135" s="13">
        <f t="shared" si="21"/>
        <v>50.133333338890225</v>
      </c>
      <c r="O135" s="13"/>
      <c r="P135" s="13"/>
      <c r="Q135" s="61"/>
      <c r="R135" s="61"/>
      <c r="T13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20:16:54-0600',mode:absolute,to:'2016-05-25 21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5" s="73" t="str">
        <f t="shared" si="25"/>
        <v>N</v>
      </c>
      <c r="V135" s="73">
        <f t="shared" si="26"/>
        <v>1</v>
      </c>
      <c r="W135" s="73">
        <f t="shared" si="27"/>
        <v>23.2959</v>
      </c>
      <c r="X135" s="73">
        <f t="shared" si="28"/>
        <v>1.6299999999999999E-2</v>
      </c>
      <c r="Y135" s="73">
        <f t="shared" si="29"/>
        <v>23.279599999999999</v>
      </c>
      <c r="Z135" s="74">
        <f>VLOOKUP(A135,Enforcements!$C$3:$J$40,8,0)</f>
        <v>1</v>
      </c>
      <c r="AA135" s="74" t="str">
        <f>VLOOKUP(A135,Enforcements!$C$3:$J$40,3,0)</f>
        <v>TRACK WARRANT AUTHORITY</v>
      </c>
    </row>
    <row r="136" spans="1:27" s="2" customFormat="1" x14ac:dyDescent="0.25">
      <c r="A136" s="60" t="s">
        <v>516</v>
      </c>
      <c r="B136" s="60">
        <v>4029</v>
      </c>
      <c r="C136" s="60" t="s">
        <v>66</v>
      </c>
      <c r="D136" s="60" t="s">
        <v>82</v>
      </c>
      <c r="E136" s="30">
        <v>42515.828067129631</v>
      </c>
      <c r="F136" s="30">
        <v>42515.829016203701</v>
      </c>
      <c r="G136" s="38">
        <v>1</v>
      </c>
      <c r="H136" s="30" t="s">
        <v>292</v>
      </c>
      <c r="I136" s="30">
        <v>42515.858854166669</v>
      </c>
      <c r="J136" s="60">
        <v>0</v>
      </c>
      <c r="K136" s="60" t="str">
        <f t="shared" si="22"/>
        <v>4029/4030</v>
      </c>
      <c r="L136" s="60" t="str">
        <f>VLOOKUP(A136,'Trips&amp;Operators'!$C$1:$E$9999,3,FALSE)</f>
        <v>REBOLETTI</v>
      </c>
      <c r="M136" s="12">
        <f t="shared" si="23"/>
        <v>2.9837962967576459E-2</v>
      </c>
      <c r="N136" s="13">
        <f t="shared" si="21"/>
        <v>42.966666673310101</v>
      </c>
      <c r="O136" s="13"/>
      <c r="P136" s="13"/>
      <c r="Q136" s="61"/>
      <c r="R136" s="61"/>
      <c r="T13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19:51:25-0600',mode:absolute,to:'2016-05-25 20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6" s="73" t="str">
        <f t="shared" si="25"/>
        <v>N</v>
      </c>
      <c r="V136" s="73">
        <f t="shared" si="26"/>
        <v>1</v>
      </c>
      <c r="W136" s="73">
        <f t="shared" si="27"/>
        <v>4.6399999999999997E-2</v>
      </c>
      <c r="X136" s="73">
        <f t="shared" si="28"/>
        <v>23.328800000000001</v>
      </c>
      <c r="Y136" s="73">
        <f t="shared" si="29"/>
        <v>23.282400000000003</v>
      </c>
      <c r="Z136" s="74" t="e">
        <f>VLOOKUP(A136,Enforcements!$C$3:$J$40,8,0)</f>
        <v>#N/A</v>
      </c>
      <c r="AA136" s="74" t="e">
        <f>VLOOKUP(A136,Enforcements!$C$3:$J$40,3,0)</f>
        <v>#N/A</v>
      </c>
    </row>
    <row r="137" spans="1:27" s="2" customFormat="1" x14ac:dyDescent="0.25">
      <c r="A137" s="60" t="s">
        <v>517</v>
      </c>
      <c r="B137" s="60">
        <v>4030</v>
      </c>
      <c r="C137" s="60" t="s">
        <v>66</v>
      </c>
      <c r="D137" s="60" t="s">
        <v>141</v>
      </c>
      <c r="E137" s="30">
        <v>42515.866423611114</v>
      </c>
      <c r="F137" s="30">
        <v>42515.868715277778</v>
      </c>
      <c r="G137" s="38">
        <v>3</v>
      </c>
      <c r="H137" s="30" t="s">
        <v>291</v>
      </c>
      <c r="I137" s="30">
        <v>42515.901192129626</v>
      </c>
      <c r="J137" s="60">
        <v>0</v>
      </c>
      <c r="K137" s="60" t="str">
        <f t="shared" si="22"/>
        <v>4029/4030</v>
      </c>
      <c r="L137" s="60" t="str">
        <f>VLOOKUP(A137,'Trips&amp;Operators'!$C$1:$E$9999,3,FALSE)</f>
        <v>REBOLETTI</v>
      </c>
      <c r="M137" s="12">
        <f t="shared" si="23"/>
        <v>3.2476851847604848E-2</v>
      </c>
      <c r="N137" s="13">
        <f t="shared" si="21"/>
        <v>46.766666660550982</v>
      </c>
      <c r="O137" s="13"/>
      <c r="P137" s="13"/>
      <c r="Q137" s="61"/>
      <c r="R137" s="61"/>
      <c r="T13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20:46:39-0600',mode:absolute,to:'2016-05-25 21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7" s="73" t="str">
        <f t="shared" si="25"/>
        <v>N</v>
      </c>
      <c r="V137" s="73">
        <f t="shared" si="26"/>
        <v>1</v>
      </c>
      <c r="W137" s="73">
        <f t="shared" si="27"/>
        <v>23.296299999999999</v>
      </c>
      <c r="X137" s="73">
        <f t="shared" si="28"/>
        <v>1.7399999999999999E-2</v>
      </c>
      <c r="Y137" s="73">
        <f t="shared" si="29"/>
        <v>23.2789</v>
      </c>
      <c r="Z137" s="74" t="e">
        <f>VLOOKUP(A137,Enforcements!$C$3:$J$40,8,0)</f>
        <v>#N/A</v>
      </c>
      <c r="AA137" s="74" t="e">
        <f>VLOOKUP(A137,Enforcements!$C$3:$J$40,3,0)</f>
        <v>#N/A</v>
      </c>
    </row>
    <row r="138" spans="1:27" s="2" customFormat="1" x14ac:dyDescent="0.25">
      <c r="A138" s="60" t="s">
        <v>518</v>
      </c>
      <c r="B138" s="60">
        <v>4031</v>
      </c>
      <c r="C138" s="60" t="s">
        <v>66</v>
      </c>
      <c r="D138" s="60" t="s">
        <v>519</v>
      </c>
      <c r="E138" s="30">
        <v>42515.848379629628</v>
      </c>
      <c r="F138" s="30">
        <v>42515.849421296298</v>
      </c>
      <c r="G138" s="38">
        <v>1</v>
      </c>
      <c r="H138" s="30" t="s">
        <v>306</v>
      </c>
      <c r="I138" s="30">
        <v>42515.880497685182</v>
      </c>
      <c r="J138" s="60">
        <v>0</v>
      </c>
      <c r="K138" s="60" t="str">
        <f t="shared" si="22"/>
        <v>4031/4032</v>
      </c>
      <c r="L138" s="60" t="str">
        <f>VLOOKUP(A138,'Trips&amp;Operators'!$C$1:$E$9999,3,FALSE)</f>
        <v>GRASTON</v>
      </c>
      <c r="M138" s="12">
        <f t="shared" si="23"/>
        <v>3.1076388884685002E-2</v>
      </c>
      <c r="N138" s="13">
        <f t="shared" si="21"/>
        <v>44.749999993946403</v>
      </c>
      <c r="O138" s="13"/>
      <c r="P138" s="13"/>
      <c r="Q138" s="61"/>
      <c r="R138" s="61"/>
      <c r="T13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20:20:40-0600',mode:absolute,to:'2016-05-25 21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8" s="73" t="str">
        <f t="shared" si="25"/>
        <v>N</v>
      </c>
      <c r="V138" s="73">
        <f t="shared" si="26"/>
        <v>1</v>
      </c>
      <c r="W138" s="73">
        <f t="shared" si="27"/>
        <v>4.7800000000000002E-2</v>
      </c>
      <c r="X138" s="73">
        <f t="shared" si="28"/>
        <v>23.327999999999999</v>
      </c>
      <c r="Y138" s="73">
        <f t="shared" si="29"/>
        <v>23.280200000000001</v>
      </c>
      <c r="Z138" s="74" t="e">
        <f>VLOOKUP(A138,Enforcements!$C$3:$J$40,8,0)</f>
        <v>#N/A</v>
      </c>
      <c r="AA138" s="74" t="e">
        <f>VLOOKUP(A138,Enforcements!$C$3:$J$40,3,0)</f>
        <v>#N/A</v>
      </c>
    </row>
    <row r="139" spans="1:27" s="2" customFormat="1" x14ac:dyDescent="0.25">
      <c r="A139" s="60" t="s">
        <v>520</v>
      </c>
      <c r="B139" s="60">
        <v>4032</v>
      </c>
      <c r="C139" s="60" t="s">
        <v>66</v>
      </c>
      <c r="D139" s="60" t="s">
        <v>515</v>
      </c>
      <c r="E139" s="30">
        <v>42515.88616898148</v>
      </c>
      <c r="F139" s="30">
        <v>42515.887094907404</v>
      </c>
      <c r="G139" s="38">
        <v>1</v>
      </c>
      <c r="H139" s="30" t="s">
        <v>91</v>
      </c>
      <c r="I139" s="30">
        <v>42515.923807870371</v>
      </c>
      <c r="J139" s="60">
        <v>0</v>
      </c>
      <c r="K139" s="60" t="str">
        <f t="shared" si="22"/>
        <v>4031/4032</v>
      </c>
      <c r="L139" s="60" t="str">
        <f>VLOOKUP(A139,'Trips&amp;Operators'!$C$1:$E$9999,3,FALSE)</f>
        <v>GRASTON</v>
      </c>
      <c r="M139" s="12">
        <f t="shared" si="23"/>
        <v>3.6712962966703344E-2</v>
      </c>
      <c r="N139" s="13">
        <f t="shared" si="21"/>
        <v>52.866666672052816</v>
      </c>
      <c r="O139" s="13"/>
      <c r="P139" s="13"/>
      <c r="Q139" s="61"/>
      <c r="R139" s="61"/>
      <c r="T13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21:15:05-0600',mode:absolute,to:'2016-05-25 22:11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9" s="73" t="str">
        <f t="shared" si="25"/>
        <v>N</v>
      </c>
      <c r="V139" s="73">
        <f t="shared" si="26"/>
        <v>1</v>
      </c>
      <c r="W139" s="73">
        <f t="shared" si="27"/>
        <v>23.2959</v>
      </c>
      <c r="X139" s="73">
        <f t="shared" si="28"/>
        <v>1.4999999999999999E-2</v>
      </c>
      <c r="Y139" s="73">
        <f t="shared" si="29"/>
        <v>23.280899999999999</v>
      </c>
      <c r="Z139" s="74" t="e">
        <f>VLOOKUP(A139,Enforcements!$C$3:$J$40,8,0)</f>
        <v>#N/A</v>
      </c>
      <c r="AA139" s="74" t="e">
        <f>VLOOKUP(A139,Enforcements!$C$3:$J$40,3,0)</f>
        <v>#N/A</v>
      </c>
    </row>
    <row r="140" spans="1:27" s="2" customFormat="1" x14ac:dyDescent="0.25">
      <c r="A140" s="60" t="s">
        <v>521</v>
      </c>
      <c r="B140" s="60">
        <v>4027</v>
      </c>
      <c r="C140" s="60" t="s">
        <v>66</v>
      </c>
      <c r="D140" s="60" t="s">
        <v>120</v>
      </c>
      <c r="E140" s="30">
        <v>42515.871516203704</v>
      </c>
      <c r="F140" s="30">
        <v>42515.872453703705</v>
      </c>
      <c r="G140" s="38">
        <v>1</v>
      </c>
      <c r="H140" s="30" t="s">
        <v>70</v>
      </c>
      <c r="I140" s="30">
        <v>42515.905011574076</v>
      </c>
      <c r="J140" s="60">
        <v>0</v>
      </c>
      <c r="K140" s="60" t="str">
        <f t="shared" si="22"/>
        <v>4027/4028</v>
      </c>
      <c r="L140" s="60" t="str">
        <f>VLOOKUP(A140,'Trips&amp;Operators'!$C$1:$E$9999,3,FALSE)</f>
        <v>STORY</v>
      </c>
      <c r="M140" s="12">
        <f t="shared" si="23"/>
        <v>3.25578703705105E-2</v>
      </c>
      <c r="N140" s="13">
        <f t="shared" si="21"/>
        <v>46.88333333353512</v>
      </c>
      <c r="O140" s="13"/>
      <c r="P140" s="13"/>
      <c r="Q140" s="61"/>
      <c r="R140" s="61"/>
      <c r="T14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20:53:59-0600',mode:absolute,to:'2016-05-25 21:44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0" s="73" t="str">
        <f t="shared" si="25"/>
        <v>N</v>
      </c>
      <c r="V140" s="73">
        <f t="shared" si="26"/>
        <v>1</v>
      </c>
      <c r="W140" s="73">
        <f t="shared" si="27"/>
        <v>4.5999999999999999E-2</v>
      </c>
      <c r="X140" s="73">
        <f t="shared" si="28"/>
        <v>23.330300000000001</v>
      </c>
      <c r="Y140" s="73">
        <f t="shared" si="29"/>
        <v>23.284300000000002</v>
      </c>
      <c r="Z140" s="74" t="e">
        <f>VLOOKUP(A140,Enforcements!$C$3:$J$40,8,0)</f>
        <v>#N/A</v>
      </c>
      <c r="AA140" s="74" t="e">
        <f>VLOOKUP(A140,Enforcements!$C$3:$J$40,3,0)</f>
        <v>#N/A</v>
      </c>
    </row>
    <row r="141" spans="1:27" s="2" customFormat="1" x14ac:dyDescent="0.25">
      <c r="A141" s="60" t="s">
        <v>335</v>
      </c>
      <c r="B141" s="60">
        <v>4028</v>
      </c>
      <c r="C141" s="60" t="s">
        <v>66</v>
      </c>
      <c r="D141" s="60" t="s">
        <v>118</v>
      </c>
      <c r="E141" s="30">
        <v>42515.910254629627</v>
      </c>
      <c r="F141" s="30">
        <v>42515.911157407405</v>
      </c>
      <c r="G141" s="38">
        <v>1</v>
      </c>
      <c r="H141" s="30" t="s">
        <v>522</v>
      </c>
      <c r="I141" s="30">
        <v>42515.943391203706</v>
      </c>
      <c r="J141" s="60">
        <v>5</v>
      </c>
      <c r="K141" s="60" t="str">
        <f t="shared" si="22"/>
        <v>4027/4028</v>
      </c>
      <c r="L141" s="60" t="str">
        <f>VLOOKUP(A141,'Trips&amp;Operators'!$C$1:$E$9999,3,FALSE)</f>
        <v>STORY</v>
      </c>
      <c r="M141" s="12">
        <f t="shared" si="23"/>
        <v>3.2233796300715767E-2</v>
      </c>
      <c r="N141" s="13">
        <f t="shared" si="21"/>
        <v>46.416666673030704</v>
      </c>
      <c r="O141" s="13"/>
      <c r="P141" s="13"/>
      <c r="Q141" s="61"/>
      <c r="R141" s="61"/>
      <c r="T14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1" s="73" t="str">
        <f t="shared" si="25"/>
        <v>N</v>
      </c>
      <c r="V141" s="73">
        <f t="shared" si="26"/>
        <v>1</v>
      </c>
      <c r="W141" s="73">
        <f t="shared" si="27"/>
        <v>23.299600000000002</v>
      </c>
      <c r="X141" s="73">
        <f t="shared" si="28"/>
        <v>2.8299999999999999E-2</v>
      </c>
      <c r="Y141" s="73">
        <f t="shared" si="29"/>
        <v>23.2713</v>
      </c>
      <c r="Z141" s="74">
        <f>VLOOKUP(A141,Enforcements!$C$3:$J$40,8,0)</f>
        <v>191108</v>
      </c>
      <c r="AA141" s="74" t="str">
        <f>VLOOKUP(A141,Enforcements!$C$3:$J$40,3,0)</f>
        <v>PERMANENT SPEED RESTRICTION</v>
      </c>
    </row>
    <row r="142" spans="1:27" s="2" customFormat="1" x14ac:dyDescent="0.25">
      <c r="A142" s="60" t="s">
        <v>523</v>
      </c>
      <c r="B142" s="60">
        <v>4040</v>
      </c>
      <c r="C142" s="60" t="s">
        <v>66</v>
      </c>
      <c r="D142" s="60" t="s">
        <v>100</v>
      </c>
      <c r="E142" s="30">
        <v>42515.885428240741</v>
      </c>
      <c r="F142" s="30">
        <v>42515.886423611111</v>
      </c>
      <c r="G142" s="38">
        <v>1</v>
      </c>
      <c r="H142" s="30" t="s">
        <v>140</v>
      </c>
      <c r="I142" s="30">
        <v>42515.922442129631</v>
      </c>
      <c r="J142" s="60">
        <v>0</v>
      </c>
      <c r="K142" s="60" t="str">
        <f t="shared" si="22"/>
        <v>4039/4040</v>
      </c>
      <c r="L142" s="60" t="str">
        <f>VLOOKUP(A142,'Trips&amp;Operators'!$C$1:$E$9999,3,FALSE)</f>
        <v>LEVERE</v>
      </c>
      <c r="M142" s="12">
        <f t="shared" si="23"/>
        <v>3.6018518519995268E-2</v>
      </c>
      <c r="N142" s="13">
        <f t="shared" si="21"/>
        <v>51.866666668793187</v>
      </c>
      <c r="O142" s="13"/>
      <c r="P142" s="13"/>
      <c r="Q142" s="61"/>
      <c r="R142" s="61"/>
      <c r="T14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21:14:01-0600',mode:absolute,to:'2016-05-25 22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2" s="73" t="str">
        <f t="shared" si="25"/>
        <v>N</v>
      </c>
      <c r="V142" s="73">
        <f t="shared" si="26"/>
        <v>1</v>
      </c>
      <c r="W142" s="73">
        <f t="shared" si="27"/>
        <v>4.6699999999999998E-2</v>
      </c>
      <c r="X142" s="73">
        <f t="shared" si="28"/>
        <v>23.3278</v>
      </c>
      <c r="Y142" s="73">
        <f t="shared" si="29"/>
        <v>23.281099999999999</v>
      </c>
      <c r="Z142" s="74" t="e">
        <f>VLOOKUP(A142,Enforcements!$C$3:$J$40,8,0)</f>
        <v>#N/A</v>
      </c>
      <c r="AA142" s="74" t="e">
        <f>VLOOKUP(A142,Enforcements!$C$3:$J$40,3,0)</f>
        <v>#N/A</v>
      </c>
    </row>
    <row r="143" spans="1:27" s="2" customFormat="1" x14ac:dyDescent="0.25">
      <c r="A143" s="60" t="s">
        <v>524</v>
      </c>
      <c r="B143" s="60">
        <v>4039</v>
      </c>
      <c r="C143" s="60" t="s">
        <v>66</v>
      </c>
      <c r="D143" s="60" t="s">
        <v>525</v>
      </c>
      <c r="E143" s="30">
        <v>42515.928449074076</v>
      </c>
      <c r="F143" s="30">
        <v>42515.9294212963</v>
      </c>
      <c r="G143" s="38">
        <v>1</v>
      </c>
      <c r="H143" s="30" t="s">
        <v>291</v>
      </c>
      <c r="I143" s="30">
        <v>42515.964166666665</v>
      </c>
      <c r="J143" s="60">
        <v>0</v>
      </c>
      <c r="K143" s="60" t="str">
        <f t="shared" si="22"/>
        <v>4039/4040</v>
      </c>
      <c r="L143" s="60" t="str">
        <f>VLOOKUP(A143,'Trips&amp;Operators'!$C$1:$E$9999,3,FALSE)</f>
        <v>LEVERE</v>
      </c>
      <c r="M143" s="12">
        <f t="shared" si="23"/>
        <v>3.474537036527181E-2</v>
      </c>
      <c r="N143" s="13">
        <f t="shared" si="21"/>
        <v>50.033333325991407</v>
      </c>
      <c r="O143" s="13"/>
      <c r="P143" s="13"/>
      <c r="Q143" s="61"/>
      <c r="R143" s="61"/>
      <c r="T14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22:15:58-0600',mode:absolute,to:'2016-05-25 23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3" s="73" t="str">
        <f t="shared" si="25"/>
        <v>N</v>
      </c>
      <c r="V143" s="73">
        <f t="shared" si="26"/>
        <v>1</v>
      </c>
      <c r="W143" s="73">
        <f t="shared" si="27"/>
        <v>23.295300000000001</v>
      </c>
      <c r="X143" s="73">
        <f t="shared" si="28"/>
        <v>1.7399999999999999E-2</v>
      </c>
      <c r="Y143" s="73">
        <f t="shared" si="29"/>
        <v>23.277900000000002</v>
      </c>
      <c r="Z143" s="74" t="e">
        <f>VLOOKUP(A143,Enforcements!$C$3:$J$40,8,0)</f>
        <v>#N/A</v>
      </c>
      <c r="AA143" s="74" t="e">
        <f>VLOOKUP(A143,Enforcements!$C$3:$J$40,3,0)</f>
        <v>#N/A</v>
      </c>
    </row>
    <row r="144" spans="1:27" s="2" customFormat="1" x14ac:dyDescent="0.25">
      <c r="A144" s="60" t="s">
        <v>526</v>
      </c>
      <c r="B144" s="60">
        <v>4029</v>
      </c>
      <c r="C144" s="60" t="s">
        <v>66</v>
      </c>
      <c r="D144" s="60" t="s">
        <v>100</v>
      </c>
      <c r="E144" s="30">
        <v>42515.91233796296</v>
      </c>
      <c r="F144" s="30">
        <v>42515.913298611114</v>
      </c>
      <c r="G144" s="38">
        <v>1</v>
      </c>
      <c r="H144" s="30" t="s">
        <v>68</v>
      </c>
      <c r="I144" s="30">
        <v>42515.941354166665</v>
      </c>
      <c r="J144" s="60">
        <v>0</v>
      </c>
      <c r="K144" s="60" t="str">
        <f t="shared" si="22"/>
        <v>4029/4030</v>
      </c>
      <c r="L144" s="60" t="str">
        <f>VLOOKUP(A144,'Trips&amp;Operators'!$C$1:$E$9999,3,FALSE)</f>
        <v>REBOLETTI</v>
      </c>
      <c r="M144" s="12">
        <f t="shared" si="23"/>
        <v>2.8055555550963618E-2</v>
      </c>
      <c r="N144" s="13">
        <f t="shared" si="21"/>
        <v>40.39999999338761</v>
      </c>
      <c r="O144" s="13"/>
      <c r="P144" s="13"/>
      <c r="Q144" s="61"/>
      <c r="R144" s="61"/>
      <c r="T14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21:52:46-0600',mode:absolute,to:'2016-05-25 22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4" s="73" t="str">
        <f t="shared" si="25"/>
        <v>N</v>
      </c>
      <c r="V144" s="73">
        <f t="shared" si="26"/>
        <v>1</v>
      </c>
      <c r="W144" s="73">
        <f t="shared" si="27"/>
        <v>4.6699999999999998E-2</v>
      </c>
      <c r="X144" s="73">
        <f t="shared" si="28"/>
        <v>23.329499999999999</v>
      </c>
      <c r="Y144" s="73">
        <f t="shared" si="29"/>
        <v>23.282799999999998</v>
      </c>
      <c r="Z144" s="74" t="e">
        <f>VLOOKUP(A144,Enforcements!$C$3:$J$40,8,0)</f>
        <v>#N/A</v>
      </c>
      <c r="AA144" s="74" t="e">
        <f>VLOOKUP(A144,Enforcements!$C$3:$J$40,3,0)</f>
        <v>#N/A</v>
      </c>
    </row>
    <row r="145" spans="1:27" s="2" customFormat="1" x14ac:dyDescent="0.25">
      <c r="A145" s="60" t="s">
        <v>527</v>
      </c>
      <c r="B145" s="60">
        <v>4030</v>
      </c>
      <c r="C145" s="60" t="s">
        <v>66</v>
      </c>
      <c r="D145" s="60" t="s">
        <v>142</v>
      </c>
      <c r="E145" s="30">
        <v>42515.948171296295</v>
      </c>
      <c r="F145" s="30">
        <v>42515.949282407404</v>
      </c>
      <c r="G145" s="38">
        <v>1</v>
      </c>
      <c r="H145" s="30" t="s">
        <v>258</v>
      </c>
      <c r="I145" s="30">
        <v>42515.981712962966</v>
      </c>
      <c r="J145" s="60">
        <v>0</v>
      </c>
      <c r="K145" s="60" t="str">
        <f t="shared" si="22"/>
        <v>4029/4030</v>
      </c>
      <c r="L145" s="60" t="str">
        <f>VLOOKUP(A145,'Trips&amp;Operators'!$C$1:$E$9999,3,FALSE)</f>
        <v>REBOLETTI</v>
      </c>
      <c r="M145" s="12">
        <f t="shared" si="23"/>
        <v>3.2430555562314112E-2</v>
      </c>
      <c r="N145" s="13">
        <f t="shared" si="21"/>
        <v>46.700000009732321</v>
      </c>
      <c r="O145" s="13"/>
      <c r="P145" s="13"/>
      <c r="Q145" s="61"/>
      <c r="R145" s="61"/>
      <c r="T14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22:44:22-0600',mode:absolute,to:'2016-05-25 23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5" s="73" t="str">
        <f t="shared" si="25"/>
        <v>N</v>
      </c>
      <c r="V145" s="73">
        <f t="shared" si="26"/>
        <v>1</v>
      </c>
      <c r="W145" s="73">
        <f t="shared" si="27"/>
        <v>23.297699999999999</v>
      </c>
      <c r="X145" s="73">
        <f t="shared" si="28"/>
        <v>1.6500000000000001E-2</v>
      </c>
      <c r="Y145" s="73">
        <f t="shared" si="29"/>
        <v>23.281199999999998</v>
      </c>
      <c r="Z145" s="74" t="e">
        <f>VLOOKUP(A145,Enforcements!$C$3:$J$40,8,0)</f>
        <v>#N/A</v>
      </c>
      <c r="AA145" s="74" t="e">
        <f>VLOOKUP(A145,Enforcements!$C$3:$J$40,3,0)</f>
        <v>#N/A</v>
      </c>
    </row>
    <row r="146" spans="1:27" s="2" customFormat="1" x14ac:dyDescent="0.25">
      <c r="A146" s="60" t="s">
        <v>528</v>
      </c>
      <c r="B146" s="60">
        <v>4031</v>
      </c>
      <c r="C146" s="60" t="s">
        <v>66</v>
      </c>
      <c r="D146" s="60" t="s">
        <v>152</v>
      </c>
      <c r="E146" s="30">
        <v>42515.933125000003</v>
      </c>
      <c r="F146" s="30">
        <v>42515.933877314812</v>
      </c>
      <c r="G146" s="38">
        <v>1</v>
      </c>
      <c r="H146" s="30" t="s">
        <v>529</v>
      </c>
      <c r="I146" s="30">
        <v>42515.963009259256</v>
      </c>
      <c r="J146" s="60">
        <v>0</v>
      </c>
      <c r="K146" s="60" t="str">
        <f t="shared" si="22"/>
        <v>4031/4032</v>
      </c>
      <c r="L146" s="60" t="str">
        <f>VLOOKUP(A146,'Trips&amp;Operators'!$C$1:$E$9999,3,FALSE)</f>
        <v>GRASTON</v>
      </c>
      <c r="M146" s="12">
        <f t="shared" si="23"/>
        <v>2.9131944444088731E-2</v>
      </c>
      <c r="N146" s="13">
        <f t="shared" si="21"/>
        <v>41.949999999487773</v>
      </c>
      <c r="O146" s="13"/>
      <c r="P146" s="13"/>
      <c r="Q146" s="61"/>
      <c r="R146" s="61"/>
      <c r="T14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22:22:42-0600',mode:absolute,to:'2016-05-25 23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6" s="73" t="str">
        <f t="shared" si="25"/>
        <v>N</v>
      </c>
      <c r="V146" s="73">
        <f t="shared" si="26"/>
        <v>1</v>
      </c>
      <c r="W146" s="73">
        <f t="shared" si="27"/>
        <v>4.3999999999999997E-2</v>
      </c>
      <c r="X146" s="73">
        <f t="shared" si="28"/>
        <v>23.3263</v>
      </c>
      <c r="Y146" s="73">
        <f t="shared" si="29"/>
        <v>23.282299999999999</v>
      </c>
      <c r="Z146" s="74" t="e">
        <f>VLOOKUP(A146,Enforcements!$C$3:$J$40,8,0)</f>
        <v>#N/A</v>
      </c>
      <c r="AA146" s="74" t="e">
        <f>VLOOKUP(A146,Enforcements!$C$3:$J$40,3,0)</f>
        <v>#N/A</v>
      </c>
    </row>
    <row r="147" spans="1:27" s="2" customFormat="1" x14ac:dyDescent="0.25">
      <c r="A147" s="60" t="s">
        <v>530</v>
      </c>
      <c r="B147" s="60">
        <v>4032</v>
      </c>
      <c r="C147" s="60" t="s">
        <v>66</v>
      </c>
      <c r="D147" s="60" t="s">
        <v>300</v>
      </c>
      <c r="E147" s="30">
        <v>42515.969421296293</v>
      </c>
      <c r="F147" s="30">
        <v>42515.970810185187</v>
      </c>
      <c r="G147" s="38">
        <v>1</v>
      </c>
      <c r="H147" s="30" t="s">
        <v>71</v>
      </c>
      <c r="I147" s="30">
        <v>42516.00409722222</v>
      </c>
      <c r="J147" s="60">
        <v>0</v>
      </c>
      <c r="K147" s="60" t="str">
        <f t="shared" si="22"/>
        <v>4031/4032</v>
      </c>
      <c r="L147" s="60" t="str">
        <f>VLOOKUP(A147,'Trips&amp;Operators'!$C$1:$E$9999,3,FALSE)</f>
        <v>GRASTON</v>
      </c>
      <c r="M147" s="12">
        <f t="shared" si="23"/>
        <v>3.3287037033005618E-2</v>
      </c>
      <c r="N147" s="13">
        <f t="shared" si="21"/>
        <v>47.933333327528089</v>
      </c>
      <c r="O147" s="13"/>
      <c r="P147" s="13"/>
      <c r="Q147" s="61"/>
      <c r="R147" s="61"/>
      <c r="T14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23:14:58-0600',mode:absolute,to:'2016-05-26 00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7" s="73" t="str">
        <f t="shared" si="25"/>
        <v>N</v>
      </c>
      <c r="V147" s="73">
        <f t="shared" si="26"/>
        <v>1</v>
      </c>
      <c r="W147" s="73">
        <f t="shared" si="27"/>
        <v>23.2971</v>
      </c>
      <c r="X147" s="73">
        <f t="shared" si="28"/>
        <v>1.54E-2</v>
      </c>
      <c r="Y147" s="73">
        <f t="shared" si="29"/>
        <v>23.281700000000001</v>
      </c>
      <c r="Z147" s="74" t="e">
        <f>VLOOKUP(A147,Enforcements!$C$3:$J$40,8,0)</f>
        <v>#N/A</v>
      </c>
      <c r="AA147" s="74" t="e">
        <f>VLOOKUP(A147,Enforcements!$C$3:$J$40,3,0)</f>
        <v>#N/A</v>
      </c>
    </row>
    <row r="148" spans="1:27" s="2" customFormat="1" x14ac:dyDescent="0.25">
      <c r="A148" s="60" t="s">
        <v>531</v>
      </c>
      <c r="B148" s="60">
        <v>4027</v>
      </c>
      <c r="C148" s="60" t="s">
        <v>66</v>
      </c>
      <c r="D148" s="60" t="s">
        <v>532</v>
      </c>
      <c r="E148" s="30">
        <v>42515.964872685188</v>
      </c>
      <c r="F148" s="30">
        <v>42515.965833333335</v>
      </c>
      <c r="G148" s="38">
        <v>1</v>
      </c>
      <c r="H148" s="30" t="s">
        <v>533</v>
      </c>
      <c r="I148" s="30">
        <v>42515.972337962965</v>
      </c>
      <c r="J148" s="60">
        <v>0</v>
      </c>
      <c r="K148" s="60" t="str">
        <f t="shared" si="22"/>
        <v>4027/4028</v>
      </c>
      <c r="L148" s="60" t="str">
        <f>VLOOKUP(A148,'Trips&amp;Operators'!$C$1:$E$9999,3,FALSE)</f>
        <v>STORY</v>
      </c>
      <c r="M148" s="12">
        <f t="shared" si="23"/>
        <v>6.5046296294895001E-3</v>
      </c>
      <c r="N148" s="13"/>
      <c r="O148" s="13"/>
      <c r="P148" s="13">
        <f>24*60*SUM($M148:$M149)</f>
        <v>36.966666664229706</v>
      </c>
      <c r="Q148" s="61" t="s">
        <v>274</v>
      </c>
      <c r="R148" s="61" t="s">
        <v>604</v>
      </c>
      <c r="T14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https://search-rtdc-monitor-bjffxe2xuh6vdkpspy63sjmuny.us-east-1.es.amazonaws.com/_plugin/kibana/#/discover/Steve-Slow-Train-Analysis-(2080s-and-2083s)?_g=(refreshInterval:(display:Off,section:0,value:0),time:(from:'2016-05-25 23:08:25-0600',mode:absolute,to:'2016-05-25 23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8" s="73" t="str">
        <f t="shared" si="25"/>
        <v>Y</v>
      </c>
      <c r="V148" s="73">
        <f t="shared" si="26"/>
        <v>1</v>
      </c>
      <c r="W148" s="73">
        <f t="shared" si="27"/>
        <v>1.9118999999999999</v>
      </c>
      <c r="X148" s="73">
        <f t="shared" si="28"/>
        <v>3.7191000000000001</v>
      </c>
      <c r="Y148" s="73">
        <f t="shared" si="29"/>
        <v>1.8072000000000001</v>
      </c>
      <c r="Z148" s="74" t="e">
        <f>VLOOKUP(A148,Enforcements!$C$3:$J$40,8,0)</f>
        <v>#N/A</v>
      </c>
      <c r="AA148" s="74" t="e">
        <f>VLOOKUP(A148,Enforcements!$C$3:$J$40,3,0)</f>
        <v>#N/A</v>
      </c>
    </row>
    <row r="149" spans="1:27" s="2" customFormat="1" x14ac:dyDescent="0.25">
      <c r="A149" s="60" t="s">
        <v>531</v>
      </c>
      <c r="B149" s="60">
        <v>4027</v>
      </c>
      <c r="C149" s="60" t="s">
        <v>66</v>
      </c>
      <c r="D149" s="60" t="s">
        <v>534</v>
      </c>
      <c r="E149" s="30">
        <v>42515.952094907407</v>
      </c>
      <c r="F149" s="30">
        <v>42515.9531712963</v>
      </c>
      <c r="G149" s="38">
        <v>1</v>
      </c>
      <c r="H149" s="30" t="s">
        <v>533</v>
      </c>
      <c r="I149" s="30">
        <v>42515.972337962965</v>
      </c>
      <c r="J149" s="60">
        <v>0</v>
      </c>
      <c r="K149" s="60" t="str">
        <f t="shared" si="22"/>
        <v>4027/4028</v>
      </c>
      <c r="L149" s="60" t="str">
        <f>VLOOKUP(A149,'Trips&amp;Operators'!$C$1:$E$9999,3,FALSE)</f>
        <v>STORY</v>
      </c>
      <c r="M149" s="12">
        <f t="shared" si="23"/>
        <v>1.9166666665114462E-2</v>
      </c>
      <c r="N149" s="13"/>
      <c r="O149" s="13"/>
      <c r="P149" s="13"/>
      <c r="Q149" s="61"/>
      <c r="R149" s="61"/>
      <c r="T149" s="73" t="str">
        <f t="shared" ref="T149:T156" si="30"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https://search-rtdc-monitor-bjffxe2xuh6vdkpspy63sjmuny.us-east-1.es.amazonaws.com/_plugin/kibana/#/discover/Steve-Slow-Train-Analysis-(2080s-and-2083s)?_g=(refreshInterval:(display:Off,section:0,value:0),time:(from:'2016-05-25 22:50:01-0600',mode:absolute,to:'2016-05-25 23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9" s="73" t="str">
        <f t="shared" ref="U149:U156" si="31">IF(Y149&lt;23,"Y","N")</f>
        <v>Y</v>
      </c>
      <c r="V149" s="73">
        <f t="shared" ref="V149:V156" si="32">VALUE(LEFT(A149,3))-VALUE(LEFT(A148,3))</f>
        <v>0</v>
      </c>
      <c r="W149" s="73">
        <f t="shared" ref="W149:W156" si="33">RIGHT(D149,LEN(D149)-4)/10000</f>
        <v>5.8999999999999997E-2</v>
      </c>
      <c r="X149" s="73">
        <f t="shared" ref="X149:X156" si="34">RIGHT(H149,LEN(H149)-4)/10000</f>
        <v>3.7191000000000001</v>
      </c>
      <c r="Y149" s="73">
        <f t="shared" ref="Y149:Y156" si="35">ABS(X149-W149)</f>
        <v>3.6600999999999999</v>
      </c>
      <c r="Z149" s="74" t="e">
        <f>VLOOKUP(A149,Enforcements!$C$3:$J$40,8,0)</f>
        <v>#N/A</v>
      </c>
      <c r="AA149" s="74" t="e">
        <f>VLOOKUP(A149,Enforcements!$C$3:$J$40,3,0)</f>
        <v>#N/A</v>
      </c>
    </row>
    <row r="150" spans="1:27" s="2" customFormat="1" x14ac:dyDescent="0.25">
      <c r="A150" s="60" t="s">
        <v>336</v>
      </c>
      <c r="B150" s="60">
        <v>4028</v>
      </c>
      <c r="C150" s="60" t="s">
        <v>66</v>
      </c>
      <c r="D150" s="60" t="s">
        <v>290</v>
      </c>
      <c r="E150" s="30">
        <v>42515.993541666663</v>
      </c>
      <c r="F150" s="30">
        <v>42515.995775462965</v>
      </c>
      <c r="G150" s="38">
        <v>3</v>
      </c>
      <c r="H150" s="30" t="s">
        <v>83</v>
      </c>
      <c r="I150" s="30">
        <v>42516.030266203707</v>
      </c>
      <c r="J150" s="60">
        <v>3</v>
      </c>
      <c r="K150" s="60" t="str">
        <f t="shared" si="22"/>
        <v>4027/4028</v>
      </c>
      <c r="L150" s="60" t="str">
        <f>VLOOKUP(A150,'Trips&amp;Operators'!$C$1:$E$9999,3,FALSE)</f>
        <v>STORY</v>
      </c>
      <c r="M150" s="12">
        <f t="shared" si="23"/>
        <v>3.4490740741603076E-2</v>
      </c>
      <c r="N150" s="13">
        <f t="shared" si="21"/>
        <v>49.66666666790843</v>
      </c>
      <c r="O150" s="13"/>
      <c r="P150" s="13"/>
      <c r="Q150" s="61"/>
      <c r="R150" s="61"/>
      <c r="T150" s="73" t="str">
        <f t="shared" si="30"/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50" s="73" t="str">
        <f t="shared" si="31"/>
        <v>N</v>
      </c>
      <c r="V150" s="73">
        <f t="shared" si="32"/>
        <v>1</v>
      </c>
      <c r="W150" s="73">
        <f t="shared" si="33"/>
        <v>23.298999999999999</v>
      </c>
      <c r="X150" s="73">
        <f t="shared" si="34"/>
        <v>1.61E-2</v>
      </c>
      <c r="Y150" s="73">
        <f t="shared" si="35"/>
        <v>23.282899999999998</v>
      </c>
      <c r="Z150" s="74">
        <f>VLOOKUP(A150,Enforcements!$C$3:$J$40,8,0)</f>
        <v>190834</v>
      </c>
      <c r="AA150" s="74" t="str">
        <f>VLOOKUP(A150,Enforcements!$C$3:$J$40,3,0)</f>
        <v>PERMANENT SPEED RESTRICTION</v>
      </c>
    </row>
    <row r="151" spans="1:27" s="2" customFormat="1" x14ac:dyDescent="0.25">
      <c r="A151" s="60" t="s">
        <v>535</v>
      </c>
      <c r="B151" s="60">
        <v>4040</v>
      </c>
      <c r="C151" s="60" t="s">
        <v>66</v>
      </c>
      <c r="D151" s="60" t="s">
        <v>153</v>
      </c>
      <c r="E151" s="30">
        <v>42515.969826388886</v>
      </c>
      <c r="F151" s="30">
        <v>42515.97084490741</v>
      </c>
      <c r="G151" s="38">
        <v>1</v>
      </c>
      <c r="H151" s="30" t="s">
        <v>136</v>
      </c>
      <c r="I151" s="30">
        <v>42516.005486111113</v>
      </c>
      <c r="J151" s="60">
        <v>0</v>
      </c>
      <c r="K151" s="60" t="str">
        <f t="shared" si="22"/>
        <v>4039/4040</v>
      </c>
      <c r="L151" s="60" t="str">
        <f>VLOOKUP(A151,'Trips&amp;Operators'!$C$1:$E$9999,3,FALSE)</f>
        <v>LEVERE</v>
      </c>
      <c r="M151" s="12">
        <f t="shared" si="23"/>
        <v>3.4641203703358769E-2</v>
      </c>
      <c r="N151" s="13">
        <f t="shared" si="21"/>
        <v>49.883333332836628</v>
      </c>
      <c r="O151" s="13"/>
      <c r="P151" s="13"/>
      <c r="Q151" s="61"/>
      <c r="R151" s="61"/>
      <c r="T151" s="73" t="str">
        <f t="shared" si="30"/>
        <v>https://search-rtdc-monitor-bjffxe2xuh6vdkpspy63sjmuny.us-east-1.es.amazonaws.com/_plugin/kibana/#/discover/Steve-Slow-Train-Analysis-(2080s-and-2083s)?_g=(refreshInterval:(display:Off,section:0,value:0),time:(from:'2016-05-25 23:15:33-0600',mode:absolute,to:'2016-05-26 00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51" s="73" t="str">
        <f t="shared" si="31"/>
        <v>N</v>
      </c>
      <c r="V151" s="73">
        <f t="shared" si="32"/>
        <v>1</v>
      </c>
      <c r="W151" s="73">
        <f t="shared" si="33"/>
        <v>4.6199999999999998E-2</v>
      </c>
      <c r="X151" s="73">
        <f t="shared" si="34"/>
        <v>23.3293</v>
      </c>
      <c r="Y151" s="73">
        <f t="shared" si="35"/>
        <v>23.283100000000001</v>
      </c>
      <c r="Z151" s="74" t="e">
        <f>VLOOKUP(A151,Enforcements!$C$3:$J$40,8,0)</f>
        <v>#N/A</v>
      </c>
      <c r="AA151" s="74" t="e">
        <f>VLOOKUP(A151,Enforcements!$C$3:$J$40,3,0)</f>
        <v>#N/A</v>
      </c>
    </row>
    <row r="152" spans="1:27" s="2" customFormat="1" x14ac:dyDescent="0.25">
      <c r="A152" s="60" t="s">
        <v>337</v>
      </c>
      <c r="B152" s="60">
        <v>4039</v>
      </c>
      <c r="C152" s="60" t="s">
        <v>66</v>
      </c>
      <c r="D152" s="60" t="s">
        <v>151</v>
      </c>
      <c r="E152" s="30">
        <v>42516.011273148149</v>
      </c>
      <c r="F152" s="30">
        <v>42516.01222222222</v>
      </c>
      <c r="G152" s="38">
        <v>1</v>
      </c>
      <c r="H152" s="30" t="s">
        <v>71</v>
      </c>
      <c r="I152" s="30">
        <v>42516.051064814812</v>
      </c>
      <c r="J152" s="60">
        <v>1</v>
      </c>
      <c r="K152" s="60" t="str">
        <f t="shared" si="22"/>
        <v>4039/4040</v>
      </c>
      <c r="L152" s="60" t="str">
        <f>VLOOKUP(A152,'Trips&amp;Operators'!$C$1:$E$9999,3,FALSE)</f>
        <v>LEVERE</v>
      </c>
      <c r="M152" s="12">
        <f t="shared" si="23"/>
        <v>3.8842592592118308E-2</v>
      </c>
      <c r="N152" s="13">
        <f t="shared" si="21"/>
        <v>55.933333332650363</v>
      </c>
      <c r="O152" s="13"/>
      <c r="P152" s="13"/>
      <c r="Q152" s="61"/>
      <c r="R152" s="61"/>
      <c r="T152" s="73" t="str">
        <f t="shared" si="30"/>
        <v>https://search-rtdc-monitor-bjffxe2xuh6vdkpspy63sjmuny.us-east-1.es.amazonaws.com/_plugin/kibana/#/discover/Steve-Slow-Train-Analysis-(2080s-and-2083s)?_g=(refreshInterval:(display:Off,section:0,value:0),time:(from:'2016-05-26 00:15:14-0600',mode:absolute,to:'2016-05-26 01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52" s="73" t="str">
        <f t="shared" si="31"/>
        <v>N</v>
      </c>
      <c r="V152" s="73">
        <f t="shared" si="32"/>
        <v>1</v>
      </c>
      <c r="W152" s="73">
        <f t="shared" si="33"/>
        <v>23.296900000000001</v>
      </c>
      <c r="X152" s="73">
        <f t="shared" si="34"/>
        <v>1.54E-2</v>
      </c>
      <c r="Y152" s="73">
        <f t="shared" si="35"/>
        <v>23.281500000000001</v>
      </c>
      <c r="Z152" s="74">
        <f>VLOOKUP(A152,Enforcements!$C$3:$J$40,8,0)</f>
        <v>1</v>
      </c>
      <c r="AA152" s="74" t="str">
        <f>VLOOKUP(A152,Enforcements!$C$3:$J$40,3,0)</f>
        <v>TRACK WARRANT AUTHORITY</v>
      </c>
    </row>
    <row r="153" spans="1:27" s="2" customFormat="1" x14ac:dyDescent="0.25">
      <c r="A153" s="60" t="s">
        <v>536</v>
      </c>
      <c r="B153" s="60">
        <v>4029</v>
      </c>
      <c r="C153" s="60" t="s">
        <v>66</v>
      </c>
      <c r="D153" s="60" t="s">
        <v>257</v>
      </c>
      <c r="E153" s="30">
        <v>42515.990706018521</v>
      </c>
      <c r="F153" s="30">
        <v>42515.991840277777</v>
      </c>
      <c r="G153" s="38">
        <v>1</v>
      </c>
      <c r="H153" s="30" t="s">
        <v>487</v>
      </c>
      <c r="I153" s="30">
        <v>42516.026284722226</v>
      </c>
      <c r="J153" s="60">
        <v>0</v>
      </c>
      <c r="K153" s="60" t="str">
        <f t="shared" si="22"/>
        <v>4029/4030</v>
      </c>
      <c r="L153" s="60" t="str">
        <f>VLOOKUP(A153,'Trips&amp;Operators'!$C$1:$E$9999,3,FALSE)</f>
        <v>REBOLETTI</v>
      </c>
      <c r="M153" s="12">
        <f t="shared" si="23"/>
        <v>3.4444444449036382E-2</v>
      </c>
      <c r="N153" s="13">
        <f t="shared" si="21"/>
        <v>49.60000000661239</v>
      </c>
      <c r="O153" s="13"/>
      <c r="P153" s="13"/>
      <c r="Q153" s="61"/>
      <c r="R153" s="61"/>
      <c r="T153" s="73" t="str">
        <f t="shared" si="30"/>
        <v>https://search-rtdc-monitor-bjffxe2xuh6vdkpspy63sjmuny.us-east-1.es.amazonaws.com/_plugin/kibana/#/discover/Steve-Slow-Train-Analysis-(2080s-and-2083s)?_g=(refreshInterval:(display:Off,section:0,value:0),time:(from:'2016-05-25 23:45:37-0600',mode:absolute,to:'2016-05-26 00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53" s="73" t="str">
        <f t="shared" si="31"/>
        <v>N</v>
      </c>
      <c r="V153" s="73">
        <f t="shared" si="32"/>
        <v>1</v>
      </c>
      <c r="W153" s="73">
        <f t="shared" si="33"/>
        <v>4.7100000000000003E-2</v>
      </c>
      <c r="X153" s="73">
        <f t="shared" si="34"/>
        <v>23.3291</v>
      </c>
      <c r="Y153" s="73">
        <f t="shared" si="35"/>
        <v>23.282</v>
      </c>
      <c r="Z153" s="74" t="e">
        <f>VLOOKUP(A153,Enforcements!$C$3:$J$40,8,0)</f>
        <v>#N/A</v>
      </c>
      <c r="AA153" s="74" t="e">
        <f>VLOOKUP(A153,Enforcements!$C$3:$J$40,3,0)</f>
        <v>#N/A</v>
      </c>
    </row>
    <row r="154" spans="1:27" s="2" customFormat="1" x14ac:dyDescent="0.25">
      <c r="A154" s="60" t="s">
        <v>538</v>
      </c>
      <c r="B154" s="60">
        <v>4030</v>
      </c>
      <c r="C154" s="60" t="s">
        <v>66</v>
      </c>
      <c r="D154" s="60" t="s">
        <v>262</v>
      </c>
      <c r="E154" s="30">
        <v>42516.03224537037</v>
      </c>
      <c r="F154" s="30">
        <v>42516.033217592594</v>
      </c>
      <c r="G154" s="38">
        <v>1</v>
      </c>
      <c r="H154" s="30" t="s">
        <v>539</v>
      </c>
      <c r="I154" s="30">
        <v>42516.065462962964</v>
      </c>
      <c r="J154" s="60">
        <v>0</v>
      </c>
      <c r="K154" s="60" t="str">
        <f t="shared" si="22"/>
        <v>4029/4030</v>
      </c>
      <c r="L154" s="60" t="str">
        <f>VLOOKUP(A154,'Trips&amp;Operators'!$C$1:$E$9999,3,FALSE)</f>
        <v>REBOLETTI</v>
      </c>
      <c r="M154" s="12">
        <f t="shared" si="23"/>
        <v>3.2245370370219462E-2</v>
      </c>
      <c r="N154" s="13">
        <f t="shared" si="21"/>
        <v>46.433333333116025</v>
      </c>
      <c r="O154" s="13"/>
      <c r="P154" s="13"/>
      <c r="Q154" s="61"/>
      <c r="R154" s="61"/>
      <c r="T154" s="73" t="str">
        <f t="shared" si="30"/>
        <v>https://search-rtdc-monitor-bjffxe2xuh6vdkpspy63sjmuny.us-east-1.es.amazonaws.com/_plugin/kibana/#/discover/Steve-Slow-Train-Analysis-(2080s-and-2083s)?_g=(refreshInterval:(display:Off,section:0,value:0),time:(from:'2016-05-26 00:45:26-0600',mode:absolute,to:'2016-05-26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54" s="73" t="str">
        <f t="shared" si="31"/>
        <v>N</v>
      </c>
      <c r="V154" s="73">
        <f t="shared" si="32"/>
        <v>1</v>
      </c>
      <c r="W154" s="73">
        <f t="shared" si="33"/>
        <v>23.296500000000002</v>
      </c>
      <c r="X154" s="73">
        <f t="shared" si="34"/>
        <v>1.8700000000000001E-2</v>
      </c>
      <c r="Y154" s="73">
        <f t="shared" si="35"/>
        <v>23.277800000000003</v>
      </c>
      <c r="Z154" s="74" t="e">
        <f>VLOOKUP(A154,Enforcements!$C$3:$J$40,8,0)</f>
        <v>#N/A</v>
      </c>
      <c r="AA154" s="74" t="e">
        <f>VLOOKUP(A154,Enforcements!$C$3:$J$40,3,0)</f>
        <v>#N/A</v>
      </c>
    </row>
    <row r="155" spans="1:27" s="2" customFormat="1" x14ac:dyDescent="0.25">
      <c r="A155" s="60" t="s">
        <v>540</v>
      </c>
      <c r="B155" s="60">
        <v>4031</v>
      </c>
      <c r="C155" s="60" t="s">
        <v>66</v>
      </c>
      <c r="D155" s="60" t="s">
        <v>541</v>
      </c>
      <c r="E155" s="30">
        <v>42516.017384259256</v>
      </c>
      <c r="F155" s="30">
        <v>42516.018576388888</v>
      </c>
      <c r="G155" s="38">
        <v>1</v>
      </c>
      <c r="H155" s="30" t="s">
        <v>302</v>
      </c>
      <c r="I155" s="30">
        <v>42516.052731481483</v>
      </c>
      <c r="J155" s="60">
        <v>0</v>
      </c>
      <c r="K155" s="60" t="str">
        <f t="shared" si="22"/>
        <v>4031/4032</v>
      </c>
      <c r="L155" s="60" t="str">
        <f>VLOOKUP(A155,'Trips&amp;Operators'!$C$1:$E$9999,3,FALSE)</f>
        <v>GRASTON</v>
      </c>
      <c r="M155" s="12">
        <f t="shared" si="23"/>
        <v>3.4155092595028691E-2</v>
      </c>
      <c r="N155" s="13">
        <f t="shared" si="21"/>
        <v>49.183333336841315</v>
      </c>
      <c r="O155" s="13"/>
      <c r="P155" s="13"/>
      <c r="Q155" s="61"/>
      <c r="R155" s="61"/>
      <c r="T155" s="73" t="str">
        <f t="shared" si="30"/>
        <v>https://search-rtdc-monitor-bjffxe2xuh6vdkpspy63sjmuny.us-east-1.es.amazonaws.com/_plugin/kibana/#/discover/Steve-Slow-Train-Analysis-(2080s-and-2083s)?_g=(refreshInterval:(display:Off,section:0,value:0),time:(from:'2016-05-26 00:24:02-0600',mode:absolute,to:'2016-05-26 01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5" s="73" t="str">
        <f t="shared" si="31"/>
        <v>N</v>
      </c>
      <c r="V155" s="73">
        <f t="shared" si="32"/>
        <v>1</v>
      </c>
      <c r="W155" s="73">
        <f t="shared" si="33"/>
        <v>4.82E-2</v>
      </c>
      <c r="X155" s="73">
        <f t="shared" si="34"/>
        <v>23.328199999999999</v>
      </c>
      <c r="Y155" s="73">
        <f t="shared" si="35"/>
        <v>23.279999999999998</v>
      </c>
      <c r="Z155" s="74" t="e">
        <f>VLOOKUP(A155,Enforcements!$C$3:$J$40,8,0)</f>
        <v>#N/A</v>
      </c>
      <c r="AA155" s="74" t="e">
        <f>VLOOKUP(A155,Enforcements!$C$3:$J$40,3,0)</f>
        <v>#N/A</v>
      </c>
    </row>
    <row r="156" spans="1:27" s="2" customFormat="1" x14ac:dyDescent="0.25">
      <c r="A156" s="60" t="s">
        <v>543</v>
      </c>
      <c r="B156" s="60">
        <v>4032</v>
      </c>
      <c r="C156" s="60" t="s">
        <v>66</v>
      </c>
      <c r="D156" s="60" t="s">
        <v>299</v>
      </c>
      <c r="E156" s="30">
        <v>42516.054398148146</v>
      </c>
      <c r="F156" s="30">
        <v>42516.055312500001</v>
      </c>
      <c r="G156" s="38">
        <v>1</v>
      </c>
      <c r="H156" s="30" t="s">
        <v>544</v>
      </c>
      <c r="I156" s="30">
        <v>42516.086701388886</v>
      </c>
      <c r="J156" s="60">
        <v>0</v>
      </c>
      <c r="K156" s="60" t="str">
        <f t="shared" si="22"/>
        <v>4031/4032</v>
      </c>
      <c r="L156" s="60" t="str">
        <f>VLOOKUP(A156,'Trips&amp;Operators'!$C$1:$E$9999,3,FALSE)</f>
        <v>GRASTON</v>
      </c>
      <c r="M156" s="12">
        <f t="shared" si="23"/>
        <v>3.1388888884976041E-2</v>
      </c>
      <c r="N156" s="13">
        <f t="shared" ref="N156" si="36">24*60*SUM($M156:$M156)</f>
        <v>45.199999994365498</v>
      </c>
      <c r="O156" s="13"/>
      <c r="P156" s="13"/>
      <c r="Q156" s="61"/>
      <c r="R156" s="61"/>
      <c r="T156" s="73" t="str">
        <f t="shared" si="30"/>
        <v>https://search-rtdc-monitor-bjffxe2xuh6vdkpspy63sjmuny.us-east-1.es.amazonaws.com/_plugin/kibana/#/discover/Steve-Slow-Train-Analysis-(2080s-and-2083s)?_g=(refreshInterval:(display:Off,section:0,value:0),time:(from:'2016-05-26 01:17:20-0600',mode:absolute,to:'2016-05-26 02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56" s="73" t="str">
        <f t="shared" si="31"/>
        <v>N</v>
      </c>
      <c r="V156" s="73">
        <f t="shared" si="32"/>
        <v>1</v>
      </c>
      <c r="W156" s="73">
        <f t="shared" si="33"/>
        <v>23.296700000000001</v>
      </c>
      <c r="X156" s="73">
        <f t="shared" si="34"/>
        <v>1.67E-2</v>
      </c>
      <c r="Y156" s="73">
        <f t="shared" si="35"/>
        <v>23.28</v>
      </c>
      <c r="Z156" s="74" t="e">
        <f>VLOOKUP(A156,Enforcements!$C$3:$J$40,8,0)</f>
        <v>#N/A</v>
      </c>
      <c r="AA156" s="74" t="e">
        <f>VLOOKUP(A156,Enforcements!$C$3:$J$40,3,0)</f>
        <v>#N/A</v>
      </c>
    </row>
    <row r="157" spans="1:27" s="2" customFormat="1" ht="15.75" thickBot="1" x14ac:dyDescent="0.3">
      <c r="A157" s="62"/>
      <c r="B157" s="62"/>
      <c r="C157" s="62"/>
      <c r="D157" s="62"/>
      <c r="E157" s="63"/>
      <c r="F157" s="63"/>
      <c r="G157" s="64"/>
      <c r="H157" s="63"/>
      <c r="I157" s="63"/>
      <c r="J157" s="62"/>
      <c r="K157" s="62"/>
      <c r="L157" s="62"/>
      <c r="M157" s="65"/>
      <c r="N157" s="66"/>
      <c r="O157" s="66"/>
      <c r="P157" s="66"/>
      <c r="Q157" s="67"/>
      <c r="R157" s="67"/>
      <c r="T157" s="68"/>
      <c r="U157" s="68"/>
      <c r="V157" s="68"/>
      <c r="W157" s="68"/>
      <c r="X157" s="68"/>
      <c r="Y157" s="68"/>
      <c r="Z157" s="69"/>
      <c r="AA157" s="69"/>
    </row>
    <row r="158" spans="1:27" s="2" customFormat="1" ht="15.75" thickBot="1" x14ac:dyDescent="0.3">
      <c r="E158" s="31"/>
      <c r="F158" s="31"/>
      <c r="G158" s="39"/>
      <c r="H158" s="31"/>
      <c r="I158" s="85">
        <f>Variables!A2</f>
        <v>42515</v>
      </c>
      <c r="J158" s="86"/>
      <c r="K158" s="75"/>
      <c r="L158" s="75"/>
      <c r="M158" s="87" t="s">
        <v>8</v>
      </c>
      <c r="N158" s="88"/>
      <c r="O158" s="89"/>
      <c r="P158" s="5"/>
      <c r="T158" s="56"/>
      <c r="U158" s="56"/>
      <c r="V158" s="56"/>
      <c r="W158" s="56"/>
      <c r="X158" s="56"/>
      <c r="Y158" s="56"/>
      <c r="Z158" s="57"/>
      <c r="AA158" s="57"/>
    </row>
    <row r="159" spans="1:27" s="2" customFormat="1" ht="15.75" thickBot="1" x14ac:dyDescent="0.3">
      <c r="E159" s="31"/>
      <c r="F159" s="31"/>
      <c r="G159" s="39"/>
      <c r="H159" s="31"/>
      <c r="I159" s="90" t="s">
        <v>10</v>
      </c>
      <c r="J159" s="91"/>
      <c r="K159" s="35"/>
      <c r="L159" s="58"/>
      <c r="M159" s="9" t="s">
        <v>11</v>
      </c>
      <c r="N159" s="6" t="s">
        <v>12</v>
      </c>
      <c r="O159" s="7" t="s">
        <v>13</v>
      </c>
      <c r="P159" s="5"/>
      <c r="T159" s="56"/>
      <c r="U159" s="56"/>
      <c r="V159" s="56"/>
      <c r="W159" s="56"/>
      <c r="X159" s="56"/>
      <c r="Y159" s="56"/>
      <c r="Z159" s="57"/>
      <c r="AA159" s="57"/>
    </row>
    <row r="160" spans="1:27" s="2" customFormat="1" ht="15.75" thickBot="1" x14ac:dyDescent="0.3">
      <c r="E160" s="31"/>
      <c r="F160" s="31"/>
      <c r="G160" s="39"/>
      <c r="H160" s="31"/>
      <c r="I160" s="32" t="s">
        <v>14</v>
      </c>
      <c r="J160" s="3">
        <f>COUNT(N3:P156)</f>
        <v>144</v>
      </c>
      <c r="K160" s="3"/>
      <c r="L160" s="3"/>
      <c r="M160" s="70" t="s">
        <v>15</v>
      </c>
      <c r="N160" s="6" t="s">
        <v>15</v>
      </c>
      <c r="O160" s="7" t="s">
        <v>15</v>
      </c>
      <c r="P160" s="5"/>
      <c r="T160" s="56"/>
      <c r="U160" s="56"/>
      <c r="V160" s="56"/>
      <c r="W160" s="56"/>
      <c r="X160" s="56"/>
      <c r="Y160" s="56"/>
      <c r="Z160" s="57"/>
      <c r="AA160" s="57"/>
    </row>
    <row r="161" spans="2:27" s="2" customFormat="1" ht="15.75" thickBot="1" x14ac:dyDescent="0.3">
      <c r="E161" s="31"/>
      <c r="F161" s="31"/>
      <c r="G161" s="39"/>
      <c r="H161" s="31"/>
      <c r="I161" s="32" t="s">
        <v>17</v>
      </c>
      <c r="J161" s="3">
        <f>COUNT(N3:N156)</f>
        <v>117</v>
      </c>
      <c r="K161" s="3"/>
      <c r="L161" s="3"/>
      <c r="M161" s="70">
        <f>AVERAGE(N3:N156)</f>
        <v>43.560398861121101</v>
      </c>
      <c r="N161" s="6">
        <f>MIN(N3:N156)</f>
        <v>35.650000004097819</v>
      </c>
      <c r="O161" s="7">
        <f>MAX(N3:N156)</f>
        <v>55.933333332650363</v>
      </c>
      <c r="P161" s="5"/>
      <c r="T161" s="56"/>
      <c r="U161" s="56"/>
      <c r="V161" s="56"/>
      <c r="W161" s="56"/>
      <c r="X161" s="56"/>
      <c r="Y161" s="56"/>
      <c r="Z161" s="57"/>
      <c r="AA161" s="57"/>
    </row>
    <row r="162" spans="2:27" s="2" customFormat="1" ht="15.75" thickBot="1" x14ac:dyDescent="0.3">
      <c r="B162" s="59"/>
      <c r="C162" s="59"/>
      <c r="D162" s="59"/>
      <c r="E162" s="14"/>
      <c r="F162" s="14"/>
      <c r="G162" s="40"/>
      <c r="H162" s="14"/>
      <c r="I162" s="33" t="s">
        <v>45</v>
      </c>
      <c r="J162" s="3">
        <f>COUNT(O3:O156)</f>
        <v>0</v>
      </c>
      <c r="K162" s="3"/>
      <c r="L162" s="3"/>
      <c r="M162" s="70">
        <f>IFERROR(AVERAGE(O3:O156),0)</f>
        <v>0</v>
      </c>
      <c r="N162" s="6">
        <f>MIN(O3:O156)</f>
        <v>0</v>
      </c>
      <c r="O162" s="7">
        <f>MAX(O3:O156)</f>
        <v>0</v>
      </c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ht="15.75" thickBot="1" x14ac:dyDescent="0.3">
      <c r="B163" s="59"/>
      <c r="C163" s="59"/>
      <c r="D163" s="59"/>
      <c r="E163" s="14"/>
      <c r="F163" s="14"/>
      <c r="G163" s="40"/>
      <c r="H163" s="14"/>
      <c r="I163" s="34" t="s">
        <v>9</v>
      </c>
      <c r="J163" s="3">
        <f>COUNT(P3:P156)</f>
        <v>27</v>
      </c>
      <c r="K163" s="3"/>
      <c r="L163" s="3"/>
      <c r="M163" s="70" t="s">
        <v>15</v>
      </c>
      <c r="N163" s="6" t="s">
        <v>15</v>
      </c>
      <c r="O163" s="7" t="s">
        <v>15</v>
      </c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4" spans="2:27" s="2" customFormat="1" ht="30.75" thickBot="1" x14ac:dyDescent="0.3">
      <c r="E164" s="31"/>
      <c r="F164" s="31"/>
      <c r="G164" s="39"/>
      <c r="H164" s="31"/>
      <c r="I164" s="32" t="s">
        <v>16</v>
      </c>
      <c r="J164" s="3">
        <f>COUNT(N3:O156)</f>
        <v>117</v>
      </c>
      <c r="K164" s="3"/>
      <c r="L164" s="3"/>
      <c r="M164" s="70">
        <f>AVERAGE(N3:P156)</f>
        <v>37.577199074454256</v>
      </c>
      <c r="N164" s="6">
        <f>MIN(N3:O156)</f>
        <v>35.650000004097819</v>
      </c>
      <c r="O164" s="7">
        <f>MAX(N3:O156)</f>
        <v>55.933333332650363</v>
      </c>
      <c r="P164" s="5"/>
      <c r="T164" s="56"/>
      <c r="U164" s="56"/>
      <c r="V164" s="56"/>
      <c r="W164" s="56"/>
      <c r="X164" s="56"/>
      <c r="Y164" s="56"/>
      <c r="Z164" s="57"/>
      <c r="AA164" s="57"/>
    </row>
    <row r="165" spans="2:27" s="2" customFormat="1" ht="30.75" thickBot="1" x14ac:dyDescent="0.3">
      <c r="B165" s="59"/>
      <c r="C165" s="59"/>
      <c r="D165" s="59"/>
      <c r="E165" s="14"/>
      <c r="F165" s="14"/>
      <c r="G165" s="40"/>
      <c r="H165" s="14"/>
      <c r="I165" s="32" t="s">
        <v>19</v>
      </c>
      <c r="J165" s="8">
        <f>J164/J160</f>
        <v>0.8125</v>
      </c>
      <c r="K165" s="8"/>
      <c r="L165" s="8"/>
      <c r="M165" s="1"/>
      <c r="N165" s="4"/>
      <c r="O165" s="4"/>
      <c r="P165" s="4"/>
      <c r="Q165"/>
      <c r="R165"/>
      <c r="S165"/>
      <c r="T165" s="54"/>
      <c r="U165" s="54"/>
      <c r="V165" s="54"/>
      <c r="W165" s="54"/>
      <c r="X165" s="54"/>
      <c r="Y165" s="54"/>
      <c r="Z165" s="55"/>
      <c r="AA165" s="55"/>
    </row>
    <row r="166" spans="2:27" s="2" customFormat="1" x14ac:dyDescent="0.25">
      <c r="B166" s="59"/>
      <c r="C166" s="59"/>
      <c r="D166" s="59"/>
      <c r="E166" s="14"/>
      <c r="F166" s="14"/>
      <c r="G166" s="40"/>
      <c r="H166" s="14"/>
      <c r="I166" s="14"/>
      <c r="J166" s="59"/>
      <c r="K166"/>
      <c r="L166" s="59"/>
      <c r="M166" s="1"/>
      <c r="N166" s="4"/>
      <c r="O166" s="4"/>
      <c r="P166" s="4"/>
      <c r="Q166"/>
      <c r="R166"/>
      <c r="S166"/>
      <c r="T166" s="54"/>
      <c r="U166" s="54"/>
      <c r="V166" s="54"/>
      <c r="W166" s="54"/>
      <c r="X166" s="54"/>
      <c r="Y166" s="54"/>
      <c r="Z166" s="55"/>
      <c r="AA166" s="55"/>
    </row>
    <row r="167" spans="2:27" s="2" customFormat="1" x14ac:dyDescent="0.25">
      <c r="B167" s="59"/>
      <c r="C167" s="59"/>
      <c r="D167" s="59"/>
      <c r="E167" s="14"/>
      <c r="F167" s="14"/>
      <c r="G167" s="40"/>
      <c r="H167" s="14"/>
      <c r="I167" s="14"/>
      <c r="J167" s="59"/>
      <c r="K167"/>
      <c r="L167" s="59"/>
      <c r="M167" s="1"/>
      <c r="N167" s="4"/>
      <c r="O167" s="4"/>
      <c r="P167" s="4"/>
      <c r="Q167"/>
      <c r="R167"/>
      <c r="S167"/>
      <c r="T167" s="54"/>
      <c r="U167" s="54"/>
      <c r="V167" s="54"/>
      <c r="W167" s="54"/>
      <c r="X167" s="54"/>
      <c r="Y167" s="54"/>
      <c r="Z167" s="55"/>
      <c r="AA167" s="55"/>
    </row>
    <row r="168" spans="2:27" s="2" customFormat="1" x14ac:dyDescent="0.25">
      <c r="B168" s="59"/>
      <c r="C168" s="59"/>
      <c r="D168" s="59"/>
      <c r="E168" s="14"/>
      <c r="F168" s="14"/>
      <c r="G168" s="40"/>
      <c r="H168" s="14"/>
      <c r="I168" s="14"/>
      <c r="J168" s="59"/>
      <c r="K168"/>
      <c r="L168" s="59"/>
      <c r="M168" s="1"/>
      <c r="N168" s="4"/>
      <c r="O168" s="4"/>
      <c r="P168" s="4"/>
      <c r="Q168"/>
      <c r="R168"/>
      <c r="S168"/>
      <c r="T168" s="54"/>
      <c r="U168" s="54"/>
      <c r="V168" s="54"/>
      <c r="W168" s="54"/>
      <c r="X168" s="54"/>
      <c r="Y168" s="54"/>
      <c r="Z168" s="55"/>
      <c r="AA168" s="55"/>
    </row>
    <row r="169" spans="2:27" s="2" customFormat="1" x14ac:dyDescent="0.25">
      <c r="B169" s="59"/>
      <c r="C169" s="59"/>
      <c r="D169" s="59"/>
      <c r="E169" s="14"/>
      <c r="F169" s="14"/>
      <c r="G169" s="40"/>
      <c r="H169" s="14"/>
      <c r="I169" s="14"/>
      <c r="J169" s="59"/>
      <c r="K169"/>
      <c r="L169" s="59"/>
      <c r="M169" s="1"/>
      <c r="N169" s="4"/>
      <c r="O169" s="4"/>
      <c r="P169" s="4"/>
      <c r="Q169"/>
      <c r="R169"/>
      <c r="S169"/>
      <c r="T169" s="54"/>
      <c r="U169" s="54"/>
      <c r="V169" s="54"/>
      <c r="W169" s="54"/>
      <c r="X169" s="54"/>
      <c r="Y169" s="54"/>
      <c r="Z169" s="55"/>
      <c r="AA169" s="55"/>
    </row>
    <row r="170" spans="2:27" s="2" customFormat="1" x14ac:dyDescent="0.25">
      <c r="B170" s="59"/>
      <c r="C170" s="59"/>
      <c r="D170" s="59"/>
      <c r="E170" s="14"/>
      <c r="F170" s="14"/>
      <c r="G170" s="40"/>
      <c r="H170" s="14"/>
      <c r="I170" s="14"/>
      <c r="J170" s="59"/>
      <c r="K170"/>
      <c r="L170" s="59"/>
      <c r="M170" s="1"/>
      <c r="N170" s="4"/>
      <c r="O170" s="4"/>
      <c r="P170" s="4"/>
      <c r="Q170"/>
      <c r="R170"/>
      <c r="S170"/>
      <c r="T170" s="54"/>
      <c r="U170" s="54"/>
      <c r="V170" s="54"/>
      <c r="W170" s="54"/>
      <c r="X170" s="54"/>
      <c r="Y170" s="54"/>
      <c r="Z170" s="55"/>
      <c r="AA170" s="55"/>
    </row>
    <row r="173" spans="2:27" s="2" customFormat="1" x14ac:dyDescent="0.25">
      <c r="B173" s="59"/>
      <c r="C173" s="59"/>
      <c r="D173" s="59"/>
      <c r="E173" s="14"/>
      <c r="F173" s="14"/>
      <c r="G173" s="40"/>
      <c r="H173" s="14"/>
      <c r="I173" s="14"/>
      <c r="J173" s="59"/>
      <c r="K173"/>
      <c r="L173" s="59"/>
      <c r="M173" s="1"/>
      <c r="N173" s="4"/>
      <c r="O173" s="4"/>
      <c r="P173" s="4"/>
      <c r="Q173"/>
      <c r="R173"/>
      <c r="S173"/>
      <c r="T173" s="54"/>
      <c r="U173" s="54"/>
      <c r="V173" s="54"/>
      <c r="W173" s="54"/>
      <c r="X173" s="54"/>
      <c r="Y173" s="54"/>
      <c r="Z173" s="55"/>
      <c r="AA173" s="55"/>
    </row>
  </sheetData>
  <autoFilter ref="A2:AA156"/>
  <sortState ref="A3:Y144">
    <sortCondition ref="A3:A144"/>
  </sortState>
  <mergeCells count="4">
    <mergeCell ref="I158:J158"/>
    <mergeCell ref="M158:O158"/>
    <mergeCell ref="I159:J159"/>
    <mergeCell ref="A1:P1"/>
  </mergeCells>
  <conditionalFormatting sqref="U1:U2 U3:V1048576">
    <cfRule type="cellIs" dxfId="10" priority="27" operator="equal">
      <formula>"Y"</formula>
    </cfRule>
  </conditionalFormatting>
  <conditionalFormatting sqref="V3:V1048576">
    <cfRule type="cellIs" dxfId="9" priority="10" operator="greaterThan">
      <formula>1</formula>
    </cfRule>
  </conditionalFormatting>
  <conditionalFormatting sqref="V2:V1048576">
    <cfRule type="cellIs" dxfId="8" priority="7" operator="equal">
      <formula>0</formula>
    </cfRule>
  </conditionalFormatting>
  <conditionalFormatting sqref="A3:R156">
    <cfRule type="expression" dxfId="7" priority="2">
      <formula>$P3&gt;0</formula>
    </cfRule>
    <cfRule type="expression" dxfId="6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showGridLines="0" zoomScale="85" zoomScaleNormal="85" workbookViewId="0">
      <selection activeCell="N17" sqref="N1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8" s="26" customFormat="1" ht="15" customHeight="1" x14ac:dyDescent="0.25">
      <c r="A1" s="93" t="str">
        <f>"Eagle P3 Braking Events - "&amp;TEXT(Variables!$A$2,"YYYY-mm-dd")</f>
        <v>Eagle P3 Braking Events - 2016-05-25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8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187</v>
      </c>
    </row>
    <row r="3" spans="1:18" s="19" customFormat="1" x14ac:dyDescent="0.25">
      <c r="A3" s="23">
        <v>42515.251157407409</v>
      </c>
      <c r="B3" s="22" t="s">
        <v>116</v>
      </c>
      <c r="C3" s="22" t="s">
        <v>311</v>
      </c>
      <c r="D3" s="22" t="s">
        <v>57</v>
      </c>
      <c r="E3" s="22" t="s">
        <v>60</v>
      </c>
      <c r="F3" s="22">
        <v>150</v>
      </c>
      <c r="G3" s="22">
        <v>201</v>
      </c>
      <c r="H3" s="22">
        <v>3270</v>
      </c>
      <c r="I3" s="22" t="s">
        <v>61</v>
      </c>
      <c r="J3" s="22">
        <v>0</v>
      </c>
      <c r="K3" s="21" t="s">
        <v>55</v>
      </c>
      <c r="L3" s="21" t="str">
        <f>VLOOKUP(C3,'Trips&amp;Operators'!$C$1:$E$9999,3,FALSE)</f>
        <v>GEBRETEKLE</v>
      </c>
      <c r="M3" s="20" t="s">
        <v>85</v>
      </c>
      <c r="N3" s="21"/>
      <c r="P3" s="80" t="str">
        <f>VLOOKUP(C3,'Train Runs'!$A$3:$T$265,20,0)</f>
        <v>https://search-rtdc-monitor-bjffxe2xuh6vdkpspy63sjmuny.us-east-1.es.amazonaws.com/_plugin/kibana/#/discover/Steve-Slow-Train-Analysis-(2080s-and-2083s)?_g=(refreshInterval:(display:Off,section:0,value:0),time:(from:'2016-05-25 05:56:04-0600',mode:absolute,to:'2016-05-25 06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" s="19" t="str">
        <f>MID(B3,13,4)</f>
        <v>4029</v>
      </c>
    </row>
    <row r="4" spans="1:18" s="19" customFormat="1" x14ac:dyDescent="0.25">
      <c r="A4" s="23">
        <v>42515.437106481484</v>
      </c>
      <c r="B4" s="22" t="s">
        <v>104</v>
      </c>
      <c r="C4" s="22" t="s">
        <v>316</v>
      </c>
      <c r="D4" s="22" t="s">
        <v>52</v>
      </c>
      <c r="E4" s="22" t="s">
        <v>60</v>
      </c>
      <c r="F4" s="22">
        <v>450</v>
      </c>
      <c r="G4" s="22">
        <v>452</v>
      </c>
      <c r="H4" s="22">
        <v>17494</v>
      </c>
      <c r="I4" s="22" t="s">
        <v>61</v>
      </c>
      <c r="J4" s="22">
        <v>15167</v>
      </c>
      <c r="K4" s="21" t="s">
        <v>56</v>
      </c>
      <c r="L4" s="21" t="str">
        <f>VLOOKUP(C4,'Trips&amp;Operators'!$C$1:$E$9999,3,FALSE)</f>
        <v>ROCHA</v>
      </c>
      <c r="M4" s="20" t="s">
        <v>85</v>
      </c>
      <c r="N4" s="21"/>
      <c r="P4" s="80" t="str">
        <f>VLOOKUP(C4,'Train Runs'!$A$3:$T$265,20,0)</f>
        <v>https://search-rtdc-monitor-bjffxe2xuh6vdkpspy63sjmuny.us-east-1.es.amazonaws.com/_plugin/kibana/#/discover/Steve-Slow-Train-Analysis-(2080s-and-2083s)?_g=(refreshInterval:(display:Off,section:0,value:0),time:(from:'2016-05-25 09:55:07-0600',mode:absolute,to:'2016-05-25 10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" s="19" t="str">
        <f t="shared" ref="Q4:Q40" si="0">MID(B4,13,4)</f>
        <v>4039</v>
      </c>
    </row>
    <row r="5" spans="1:18" s="19" customFormat="1" x14ac:dyDescent="0.25">
      <c r="A5" s="23">
        <v>42515.468263888892</v>
      </c>
      <c r="B5" s="22" t="s">
        <v>89</v>
      </c>
      <c r="C5" s="22" t="s">
        <v>317</v>
      </c>
      <c r="D5" s="22" t="s">
        <v>57</v>
      </c>
      <c r="E5" s="22" t="s">
        <v>60</v>
      </c>
      <c r="F5" s="22">
        <v>550</v>
      </c>
      <c r="G5" s="22">
        <v>600</v>
      </c>
      <c r="H5" s="22">
        <v>222238</v>
      </c>
      <c r="I5" s="22" t="s">
        <v>61</v>
      </c>
      <c r="J5" s="22">
        <v>224581</v>
      </c>
      <c r="K5" s="21" t="s">
        <v>56</v>
      </c>
      <c r="L5" s="21" t="str">
        <f>VLOOKUP(C5,'Trips&amp;Operators'!$C$1:$E$9999,3,FALSE)</f>
        <v>SPECTOR</v>
      </c>
      <c r="M5" s="20" t="s">
        <v>85</v>
      </c>
      <c r="N5" s="21"/>
      <c r="P5" s="80" t="str">
        <f>VLOOKUP(C5,'Train Runs'!$A$3:$T$265,20,0)</f>
        <v>https://search-rtdc-monitor-bjffxe2xuh6vdkpspy63sjmuny.us-east-1.es.amazonaws.com/_plugin/kibana/#/discover/Steve-Slow-Train-Analysis-(2080s-and-2083s)?_g=(refreshInterval:(display:Off,section:0,value:0),time:(from:'2016-05-25 11:01:55-0600',mode:absolute,to:'2016-05-25 11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" s="19" t="str">
        <f t="shared" si="0"/>
        <v>4008</v>
      </c>
    </row>
    <row r="6" spans="1:18" s="19" customFormat="1" x14ac:dyDescent="0.25">
      <c r="A6" s="23">
        <v>42515.91946759259</v>
      </c>
      <c r="B6" s="22" t="s">
        <v>263</v>
      </c>
      <c r="C6" s="22" t="s">
        <v>335</v>
      </c>
      <c r="D6" s="22" t="s">
        <v>52</v>
      </c>
      <c r="E6" s="22" t="s">
        <v>60</v>
      </c>
      <c r="F6" s="22">
        <v>450</v>
      </c>
      <c r="G6" s="22">
        <v>441</v>
      </c>
      <c r="H6" s="22">
        <v>192171</v>
      </c>
      <c r="I6" s="22" t="s">
        <v>61</v>
      </c>
      <c r="J6" s="22">
        <v>191108</v>
      </c>
      <c r="K6" s="21" t="s">
        <v>56</v>
      </c>
      <c r="L6" s="21" t="str">
        <f>VLOOKUP(C6,'Trips&amp;Operators'!$C$1:$E$9999,3,FALSE)</f>
        <v>STORY</v>
      </c>
      <c r="M6" s="20" t="s">
        <v>85</v>
      </c>
      <c r="N6" s="21"/>
      <c r="P6" s="80" t="str">
        <f>VLOOKUP(C6,'Train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" s="19" t="str">
        <f t="shared" ref="Q6:Q11" si="1">MID(B6,13,4)</f>
        <v>4028</v>
      </c>
    </row>
    <row r="7" spans="1:18" s="19" customFormat="1" x14ac:dyDescent="0.25">
      <c r="A7" s="23">
        <v>42515.940162037034</v>
      </c>
      <c r="B7" s="22" t="s">
        <v>263</v>
      </c>
      <c r="C7" s="22" t="s">
        <v>335</v>
      </c>
      <c r="D7" s="22" t="s">
        <v>52</v>
      </c>
      <c r="E7" s="22" t="s">
        <v>60</v>
      </c>
      <c r="F7" s="22">
        <v>200</v>
      </c>
      <c r="G7" s="22">
        <v>291</v>
      </c>
      <c r="H7" s="22">
        <v>5953</v>
      </c>
      <c r="I7" s="22" t="s">
        <v>61</v>
      </c>
      <c r="J7" s="22">
        <v>5457</v>
      </c>
      <c r="K7" s="21" t="s">
        <v>56</v>
      </c>
      <c r="L7" s="21" t="str">
        <f>VLOOKUP(C7,'Trips&amp;Operators'!$C$1:$E$9999,3,FALSE)</f>
        <v>STORY</v>
      </c>
      <c r="M7" s="20" t="s">
        <v>85</v>
      </c>
      <c r="N7" s="21"/>
      <c r="P7" s="80" t="str">
        <f>VLOOKUP(C7,'Train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7" s="19" t="str">
        <f t="shared" si="1"/>
        <v>4028</v>
      </c>
    </row>
    <row r="8" spans="1:18" s="19" customFormat="1" x14ac:dyDescent="0.25">
      <c r="A8" s="23">
        <v>42515.940706018519</v>
      </c>
      <c r="B8" s="22" t="s">
        <v>263</v>
      </c>
      <c r="C8" s="22" t="s">
        <v>335</v>
      </c>
      <c r="D8" s="22" t="s">
        <v>52</v>
      </c>
      <c r="E8" s="22" t="s">
        <v>60</v>
      </c>
      <c r="F8" s="22">
        <v>150</v>
      </c>
      <c r="G8" s="22">
        <v>143</v>
      </c>
      <c r="H8" s="22">
        <v>5269</v>
      </c>
      <c r="I8" s="22" t="s">
        <v>61</v>
      </c>
      <c r="J8" s="22">
        <v>4677</v>
      </c>
      <c r="K8" s="21" t="s">
        <v>56</v>
      </c>
      <c r="L8" s="21" t="str">
        <f>VLOOKUP(C8,'Trips&amp;Operators'!$C$1:$E$9999,3,FALSE)</f>
        <v>STORY</v>
      </c>
      <c r="M8" s="20" t="s">
        <v>85</v>
      </c>
      <c r="N8" s="21"/>
      <c r="P8" s="80" t="str">
        <f>VLOOKUP(C8,'Train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8" s="19" t="str">
        <f t="shared" si="1"/>
        <v>4028</v>
      </c>
    </row>
    <row r="9" spans="1:18" s="19" customFormat="1" x14ac:dyDescent="0.25">
      <c r="A9" s="23">
        <v>42515.941145833334</v>
      </c>
      <c r="B9" s="22" t="s">
        <v>263</v>
      </c>
      <c r="C9" s="22" t="s">
        <v>335</v>
      </c>
      <c r="D9" s="22" t="s">
        <v>52</v>
      </c>
      <c r="E9" s="22" t="s">
        <v>60</v>
      </c>
      <c r="F9" s="22">
        <v>150</v>
      </c>
      <c r="G9" s="22">
        <v>105</v>
      </c>
      <c r="H9" s="22">
        <v>4836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STORY</v>
      </c>
      <c r="M9" s="20" t="s">
        <v>85</v>
      </c>
      <c r="N9" s="21"/>
      <c r="P9" s="80" t="str">
        <f>VLOOKUP(C9,'Train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9" s="19" t="str">
        <f t="shared" si="1"/>
        <v>4028</v>
      </c>
    </row>
    <row r="10" spans="1:18" s="19" customFormat="1" x14ac:dyDescent="0.25">
      <c r="A10" s="23">
        <v>42516.003692129627</v>
      </c>
      <c r="B10" s="22" t="s">
        <v>263</v>
      </c>
      <c r="C10" s="22" t="s">
        <v>336</v>
      </c>
      <c r="D10" s="22" t="s">
        <v>57</v>
      </c>
      <c r="E10" s="22" t="s">
        <v>60</v>
      </c>
      <c r="F10" s="22">
        <v>600</v>
      </c>
      <c r="G10" s="22">
        <v>654</v>
      </c>
      <c r="H10" s="22">
        <v>184187</v>
      </c>
      <c r="I10" s="22" t="s">
        <v>61</v>
      </c>
      <c r="J10" s="22">
        <v>190834</v>
      </c>
      <c r="K10" s="21" t="s">
        <v>56</v>
      </c>
      <c r="L10" s="21" t="str">
        <f>VLOOKUP(C10,'Trips&amp;Operators'!$C$1:$E$9999,3,FALSE)</f>
        <v>STORY</v>
      </c>
      <c r="M10" s="20" t="s">
        <v>85</v>
      </c>
      <c r="N10" s="21"/>
      <c r="P10" s="80" t="str">
        <f>VLOOKUP(C10,'Train Runs'!$A$3:$T$265,20,0)</f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0" s="19" t="str">
        <f t="shared" si="1"/>
        <v>4028</v>
      </c>
    </row>
    <row r="11" spans="1:18" s="19" customFormat="1" x14ac:dyDescent="0.25">
      <c r="A11" s="23">
        <v>42516.027314814812</v>
      </c>
      <c r="B11" s="22" t="s">
        <v>263</v>
      </c>
      <c r="C11" s="22" t="s">
        <v>336</v>
      </c>
      <c r="D11" s="22" t="s">
        <v>52</v>
      </c>
      <c r="E11" s="22" t="s">
        <v>60</v>
      </c>
      <c r="F11" s="22">
        <v>200</v>
      </c>
      <c r="G11" s="22">
        <v>279</v>
      </c>
      <c r="H11" s="22">
        <v>6314</v>
      </c>
      <c r="I11" s="22" t="s">
        <v>61</v>
      </c>
      <c r="J11" s="22">
        <v>5457</v>
      </c>
      <c r="K11" s="21" t="s">
        <v>56</v>
      </c>
      <c r="L11" s="21" t="str">
        <f>VLOOKUP(C11,'Trips&amp;Operators'!$C$1:$E$9999,3,FALSE)</f>
        <v>STORY</v>
      </c>
      <c r="M11" s="20" t="s">
        <v>85</v>
      </c>
      <c r="N11" s="21"/>
      <c r="P11" s="80" t="str">
        <f>VLOOKUP(C11,'Train Runs'!$A$3:$T$265,20,0)</f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1" s="19" t="str">
        <f t="shared" si="1"/>
        <v>4028</v>
      </c>
    </row>
    <row r="12" spans="1:18" s="19" customFormat="1" x14ac:dyDescent="0.25">
      <c r="A12" s="23">
        <v>42515.232916666668</v>
      </c>
      <c r="B12" s="22" t="s">
        <v>90</v>
      </c>
      <c r="C12" s="22" t="s">
        <v>309</v>
      </c>
      <c r="D12" s="22" t="s">
        <v>52</v>
      </c>
      <c r="E12" s="22" t="s">
        <v>58</v>
      </c>
      <c r="F12" s="22">
        <v>0</v>
      </c>
      <c r="G12" s="22">
        <v>508</v>
      </c>
      <c r="H12" s="22">
        <v>222145</v>
      </c>
      <c r="I12" s="22" t="s">
        <v>59</v>
      </c>
      <c r="J12" s="22">
        <v>224231</v>
      </c>
      <c r="K12" s="21" t="s">
        <v>55</v>
      </c>
      <c r="L12" s="21" t="str">
        <f>VLOOKUP(C12,'Trips&amp;Operators'!$C$1:$E$9999,3,FALSE)</f>
        <v>BRANNON</v>
      </c>
      <c r="M12" s="20" t="s">
        <v>135</v>
      </c>
      <c r="N12" s="21" t="s">
        <v>275</v>
      </c>
      <c r="P12" s="80" t="str">
        <f>VLOOKUP(C12,'Train Runs'!$A$3:$T$265,20,0)</f>
        <v>https://search-rtdc-monitor-bjffxe2xuh6vdkpspy63sjmuny.us-east-1.es.amazonaws.com/_plugin/kibana/#/discover/Steve-Slow-Train-Analysis-(2080s-and-2083s)?_g=(refreshInterval:(display:Off,section:0,value:0),time:(from:'2016-05-25 05:04:07-0600',mode:absolute,to:'2016-05-25 05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2" s="19" t="str">
        <f t="shared" si="0"/>
        <v>4007</v>
      </c>
      <c r="R12" s="19" t="s">
        <v>605</v>
      </c>
    </row>
    <row r="13" spans="1:18" s="19" customFormat="1" x14ac:dyDescent="0.25">
      <c r="A13" s="23">
        <v>42515.309178240743</v>
      </c>
      <c r="B13" s="22" t="s">
        <v>64</v>
      </c>
      <c r="C13" s="22" t="s">
        <v>314</v>
      </c>
      <c r="D13" s="22" t="s">
        <v>52</v>
      </c>
      <c r="E13" s="22" t="s">
        <v>58</v>
      </c>
      <c r="F13" s="22">
        <v>0</v>
      </c>
      <c r="G13" s="22">
        <v>790</v>
      </c>
      <c r="H13" s="22">
        <v>144288</v>
      </c>
      <c r="I13" s="22" t="s">
        <v>59</v>
      </c>
      <c r="J13" s="22">
        <v>144300</v>
      </c>
      <c r="K13" s="21" t="s">
        <v>55</v>
      </c>
      <c r="L13" s="21" t="str">
        <f>VLOOKUP(C13,'Trips&amp;Operators'!$C$1:$E$9999,3,FALSE)</f>
        <v>LEDERHAUSE</v>
      </c>
      <c r="M13" s="20" t="s">
        <v>135</v>
      </c>
      <c r="N13" s="21" t="s">
        <v>606</v>
      </c>
      <c r="P13" s="80" t="str">
        <f>VLOOKUP(C13,'Train Runs'!$A$3:$T$265,20,0)</f>
        <v>https://search-rtdc-monitor-bjffxe2xuh6vdkpspy63sjmuny.us-east-1.es.amazonaws.com/_plugin/kibana/#/discover/Steve-Slow-Train-Analysis-(2080s-and-2083s)?_g=(refreshInterval:(display:Off,section:0,value:0),time:(from:'2016-05-25 06:50:37-0600',mode:absolute,to:'2016-05-25 07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3" s="19" t="str">
        <f t="shared" si="0"/>
        <v>4020</v>
      </c>
    </row>
    <row r="14" spans="1:18" s="19" customFormat="1" x14ac:dyDescent="0.25">
      <c r="A14" s="23">
        <v>42515.606226851851</v>
      </c>
      <c r="B14" s="22" t="s">
        <v>264</v>
      </c>
      <c r="C14" s="22" t="s">
        <v>320</v>
      </c>
      <c r="D14" s="22" t="s">
        <v>52</v>
      </c>
      <c r="E14" s="22" t="s">
        <v>58</v>
      </c>
      <c r="F14" s="22">
        <v>0</v>
      </c>
      <c r="G14" s="22">
        <v>436</v>
      </c>
      <c r="H14" s="22">
        <v>222227</v>
      </c>
      <c r="I14" s="22" t="s">
        <v>59</v>
      </c>
      <c r="J14" s="22">
        <v>224231</v>
      </c>
      <c r="K14" s="21" t="s">
        <v>55</v>
      </c>
      <c r="L14" s="21" t="str">
        <f>VLOOKUP(C14,'Trips&amp;Operators'!$C$1:$E$9999,3,FALSE)</f>
        <v>SPECTOR</v>
      </c>
      <c r="M14" s="20" t="s">
        <v>135</v>
      </c>
      <c r="N14" s="21" t="s">
        <v>607</v>
      </c>
      <c r="P14" s="80" t="str">
        <f>VLOOKUP(C14,'Train Runs'!$A$3:$T$265,20,0)</f>
        <v>https://search-rtdc-monitor-bjffxe2xuh6vdkpspy63sjmuny.us-east-1.es.amazonaws.com/_plugin/kibana/#/discover/Steve-Slow-Train-Analysis-(2080s-and-2083s)?_g=(refreshInterval:(display:Off,section:0,value:0),time:(from:'2016-05-25 13:52:20-0600',mode:absolute,to:'2016-05-25 14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4" s="19" t="str">
        <f t="shared" si="0"/>
        <v>4027</v>
      </c>
    </row>
    <row r="15" spans="1:18" s="19" customFormat="1" x14ac:dyDescent="0.25">
      <c r="A15" s="23">
        <v>42515.833923611113</v>
      </c>
      <c r="B15" s="22" t="s">
        <v>103</v>
      </c>
      <c r="C15" s="22" t="s">
        <v>333</v>
      </c>
      <c r="D15" s="22" t="s">
        <v>52</v>
      </c>
      <c r="E15" s="22" t="s">
        <v>265</v>
      </c>
      <c r="F15" s="22">
        <v>0</v>
      </c>
      <c r="G15" s="22">
        <v>601</v>
      </c>
      <c r="H15" s="22">
        <v>187503</v>
      </c>
      <c r="I15" s="22" t="s">
        <v>266</v>
      </c>
      <c r="J15" s="22">
        <v>190834</v>
      </c>
      <c r="K15" s="21" t="s">
        <v>55</v>
      </c>
      <c r="L15" s="21" t="str">
        <f>VLOOKUP(C15,'Trips&amp;Operators'!$C$1:$E$9999,3,FALSE)</f>
        <v>LEVERE</v>
      </c>
      <c r="M15" s="20" t="s">
        <v>135</v>
      </c>
      <c r="N15" s="21" t="s">
        <v>275</v>
      </c>
      <c r="P15" s="80" t="str">
        <f>VLOOKUP(C15,'Train Runs'!$A$3:$T$265,20,0)</f>
        <v>https://search-rtdc-monitor-bjffxe2xuh6vdkpspy63sjmuny.us-east-1.es.amazonaws.com/_plugin/kibana/#/discover/Steve-Slow-Train-Analysis-(2080s-and-2083s)?_g=(refreshInterval:(display:Off,section:0,value:0),time:(from:'2016-05-25 19:21:54-0600',mode:absolute,to:'2016-05-25 20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15" s="19" t="str">
        <f t="shared" si="0"/>
        <v>4040</v>
      </c>
      <c r="R15" s="83" t="s">
        <v>608</v>
      </c>
    </row>
    <row r="16" spans="1:18" s="19" customFormat="1" x14ac:dyDescent="0.25">
      <c r="A16" s="23">
        <v>42515.236030092594</v>
      </c>
      <c r="B16" s="22" t="s">
        <v>90</v>
      </c>
      <c r="C16" s="22" t="s">
        <v>309</v>
      </c>
      <c r="D16" s="22" t="s">
        <v>52</v>
      </c>
      <c r="E16" s="22" t="s">
        <v>53</v>
      </c>
      <c r="F16" s="22">
        <v>0</v>
      </c>
      <c r="G16" s="22">
        <v>5</v>
      </c>
      <c r="H16" s="22">
        <v>233330</v>
      </c>
      <c r="I16" s="22" t="s">
        <v>54</v>
      </c>
      <c r="J16" s="22">
        <v>233491</v>
      </c>
      <c r="K16" s="21" t="s">
        <v>55</v>
      </c>
      <c r="L16" s="21" t="str">
        <f>VLOOKUP(C16,'Trips&amp;Operators'!$C$1:$E$9999,3,FALSE)</f>
        <v>BRANNON</v>
      </c>
      <c r="M16" s="20" t="s">
        <v>85</v>
      </c>
      <c r="N16" s="21"/>
      <c r="P16" s="80" t="str">
        <f>VLOOKUP(C16,'Train Runs'!$A$3:$T$265,20,0)</f>
        <v>https://search-rtdc-monitor-bjffxe2xuh6vdkpspy63sjmuny.us-east-1.es.amazonaws.com/_plugin/kibana/#/discover/Steve-Slow-Train-Analysis-(2080s-and-2083s)?_g=(refreshInterval:(display:Off,section:0,value:0),time:(from:'2016-05-25 05:04:07-0600',mode:absolute,to:'2016-05-25 05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6" s="19" t="str">
        <f t="shared" si="0"/>
        <v>4007</v>
      </c>
    </row>
    <row r="17" spans="1:18" s="19" customFormat="1" x14ac:dyDescent="0.25">
      <c r="A17" s="23">
        <v>42515.243125000001</v>
      </c>
      <c r="B17" s="22" t="s">
        <v>263</v>
      </c>
      <c r="C17" s="22" t="s">
        <v>310</v>
      </c>
      <c r="D17" s="22" t="s">
        <v>52</v>
      </c>
      <c r="E17" s="22" t="s">
        <v>53</v>
      </c>
      <c r="F17" s="22">
        <v>0</v>
      </c>
      <c r="G17" s="22">
        <v>9</v>
      </c>
      <c r="H17" s="22">
        <v>83</v>
      </c>
      <c r="I17" s="22" t="s">
        <v>54</v>
      </c>
      <c r="J17" s="22">
        <v>1</v>
      </c>
      <c r="K17" s="21" t="s">
        <v>56</v>
      </c>
      <c r="L17" s="21" t="str">
        <f>VLOOKUP(C17,'Trips&amp;Operators'!$C$1:$E$9999,3,FALSE)</f>
        <v>GEBRETEKLE</v>
      </c>
      <c r="M17" s="20" t="s">
        <v>85</v>
      </c>
      <c r="N17" s="21"/>
      <c r="P17" s="80" t="str">
        <f>VLOOKUP(C17,'Train Runs'!$A$3:$T$265,20,0)</f>
        <v>https://search-rtdc-monitor-bjffxe2xuh6vdkpspy63sjmuny.us-east-1.es.amazonaws.com/_plugin/kibana/#/discover/Steve-Slow-Train-Analysis-(2080s-and-2083s)?_g=(refreshInterval:(display:Off,section:0,value:0),time:(from:'2016-05-25 05:04:41-0600',mode:absolute,to:'2016-05-25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7" s="19" t="str">
        <f t="shared" si="0"/>
        <v>4028</v>
      </c>
    </row>
    <row r="18" spans="1:18" s="19" customFormat="1" x14ac:dyDescent="0.25">
      <c r="A18" s="23">
        <v>42515.274733796294</v>
      </c>
      <c r="B18" s="22" t="s">
        <v>116</v>
      </c>
      <c r="C18" s="22" t="s">
        <v>311</v>
      </c>
      <c r="D18" s="22" t="s">
        <v>52</v>
      </c>
      <c r="E18" s="22" t="s">
        <v>53</v>
      </c>
      <c r="F18" s="22">
        <v>0</v>
      </c>
      <c r="G18" s="22">
        <v>7</v>
      </c>
      <c r="H18" s="22">
        <v>233324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GEBRETEKLE</v>
      </c>
      <c r="M18" s="20" t="s">
        <v>85</v>
      </c>
      <c r="N18" s="21"/>
      <c r="P18" s="80" t="str">
        <f>VLOOKUP(C18,'Train Runs'!$A$3:$T$265,20,0)</f>
        <v>https://search-rtdc-monitor-bjffxe2xuh6vdkpspy63sjmuny.us-east-1.es.amazonaws.com/_plugin/kibana/#/discover/Steve-Slow-Train-Analysis-(2080s-and-2083s)?_g=(refreshInterval:(display:Off,section:0,value:0),time:(from:'2016-05-25 05:56:04-0600',mode:absolute,to:'2016-05-25 06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8" s="19" t="str">
        <f t="shared" si="0"/>
        <v>4029</v>
      </c>
    </row>
    <row r="19" spans="1:18" s="19" customFormat="1" x14ac:dyDescent="0.25">
      <c r="A19" s="23">
        <v>42515.283877314818</v>
      </c>
      <c r="B19" s="22" t="s">
        <v>65</v>
      </c>
      <c r="C19" s="22" t="s">
        <v>312</v>
      </c>
      <c r="D19" s="22" t="s">
        <v>52</v>
      </c>
      <c r="E19" s="22" t="s">
        <v>53</v>
      </c>
      <c r="F19" s="22">
        <v>0</v>
      </c>
      <c r="G19" s="22">
        <v>6</v>
      </c>
      <c r="H19" s="22">
        <v>116</v>
      </c>
      <c r="I19" s="22" t="s">
        <v>54</v>
      </c>
      <c r="J19" s="22">
        <v>1</v>
      </c>
      <c r="K19" s="21" t="s">
        <v>56</v>
      </c>
      <c r="L19" s="21" t="str">
        <f>VLOOKUP(C19,'Trips&amp;Operators'!$C$1:$E$9999,3,FALSE)</f>
        <v>LEDERHAUSE</v>
      </c>
      <c r="M19" s="20" t="s">
        <v>85</v>
      </c>
      <c r="N19" s="21"/>
      <c r="P19" s="80" t="str">
        <f>VLOOKUP(C19,'Train Runs'!$A$3:$T$265,20,0)</f>
        <v>https://search-rtdc-monitor-bjffxe2xuh6vdkpspy63sjmuny.us-east-1.es.amazonaws.com/_plugin/kibana/#/discover/Steve-Slow-Train-Analysis-(2080s-and-2083s)?_g=(refreshInterval:(display:Off,section:0,value:0),time:(from:'2016-05-25 06:04:23-0600',mode:absolute,to:'2016-05-25 06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9" t="str">
        <f t="shared" si="0"/>
        <v>4019</v>
      </c>
    </row>
    <row r="20" spans="1:18" s="19" customFormat="1" x14ac:dyDescent="0.25">
      <c r="A20" s="23">
        <v>42515.305937500001</v>
      </c>
      <c r="B20" s="22" t="s">
        <v>90</v>
      </c>
      <c r="C20" s="22" t="s">
        <v>313</v>
      </c>
      <c r="D20" s="22" t="s">
        <v>52</v>
      </c>
      <c r="E20" s="22" t="s">
        <v>53</v>
      </c>
      <c r="F20" s="22">
        <v>0</v>
      </c>
      <c r="G20" s="22">
        <v>8</v>
      </c>
      <c r="H20" s="22">
        <v>233342</v>
      </c>
      <c r="I20" s="22" t="s">
        <v>54</v>
      </c>
      <c r="J20" s="22">
        <v>233491</v>
      </c>
      <c r="K20" s="21" t="s">
        <v>55</v>
      </c>
      <c r="L20" s="21" t="str">
        <f>VLOOKUP(C20,'Trips&amp;Operators'!$C$1:$E$9999,3,FALSE)</f>
        <v>BRANNON</v>
      </c>
      <c r="M20" s="20" t="s">
        <v>85</v>
      </c>
      <c r="N20" s="21"/>
      <c r="P20" s="80" t="str">
        <f>VLOOKUP(C20,'Train Runs'!$A$3:$T$265,20,0)</f>
        <v>https://search-rtdc-monitor-bjffxe2xuh6vdkpspy63sjmuny.us-east-1.es.amazonaws.com/_plugin/kibana/#/discover/Steve-Slow-Train-Analysis-(2080s-and-2083s)?_g=(refreshInterval:(display:Off,section:0,value:0),time:(from:'2016-05-25 06:35:06-0600',mode:absolute,to:'2016-05-25 07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0" s="19" t="str">
        <f t="shared" si="0"/>
        <v>4007</v>
      </c>
    </row>
    <row r="21" spans="1:18" s="19" customFormat="1" x14ac:dyDescent="0.25">
      <c r="A21" s="23">
        <v>42515.408668981479</v>
      </c>
      <c r="B21" s="22" t="s">
        <v>286</v>
      </c>
      <c r="C21" s="22" t="s">
        <v>315</v>
      </c>
      <c r="D21" s="22" t="s">
        <v>52</v>
      </c>
      <c r="E21" s="22" t="s">
        <v>53</v>
      </c>
      <c r="F21" s="22">
        <v>0</v>
      </c>
      <c r="G21" s="22">
        <v>62</v>
      </c>
      <c r="H21" s="22">
        <v>229</v>
      </c>
      <c r="I21" s="22" t="s">
        <v>54</v>
      </c>
      <c r="J21" s="22">
        <v>1</v>
      </c>
      <c r="K21" s="21" t="s">
        <v>56</v>
      </c>
      <c r="L21" s="21" t="str">
        <f>VLOOKUP(C21,'Trips&amp;Operators'!$C$1:$E$9999,3,FALSE)</f>
        <v>ACKERMAN</v>
      </c>
      <c r="M21" s="20" t="s">
        <v>85</v>
      </c>
      <c r="N21" s="21"/>
      <c r="P21" s="80" t="str">
        <f>VLOOKUP(C21,'Train Runs'!$A$3:$T$265,20,0)</f>
        <v>https://search-rtdc-monitor-bjffxe2xuh6vdkpspy63sjmuny.us-east-1.es.amazonaws.com/_plugin/kibana/#/discover/Steve-Slow-Train-Analysis-(2080s-and-2083s)?_g=(refreshInterval:(display:Off,section:0,value:0),time:(from:'2016-05-25 08:57:53-0600',mode:absolute,to:'2016-05-25 09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1" s="19" t="str">
        <f t="shared" si="0"/>
        <v>4010</v>
      </c>
    </row>
    <row r="22" spans="1:18" s="19" customFormat="1" x14ac:dyDescent="0.25">
      <c r="A22" s="23">
        <v>42515.492615740739</v>
      </c>
      <c r="B22" s="22" t="s">
        <v>89</v>
      </c>
      <c r="C22" s="22" t="s">
        <v>317</v>
      </c>
      <c r="D22" s="22" t="s">
        <v>52</v>
      </c>
      <c r="E22" s="22" t="s">
        <v>53</v>
      </c>
      <c r="F22" s="22">
        <v>0</v>
      </c>
      <c r="G22" s="22">
        <v>6</v>
      </c>
      <c r="H22" s="22">
        <v>98</v>
      </c>
      <c r="I22" s="22" t="s">
        <v>54</v>
      </c>
      <c r="J22" s="22">
        <v>1</v>
      </c>
      <c r="K22" s="21" t="s">
        <v>56</v>
      </c>
      <c r="L22" s="21" t="str">
        <f>VLOOKUP(C22,'Trips&amp;Operators'!$C$1:$E$9999,3,FALSE)</f>
        <v>SPECTOR</v>
      </c>
      <c r="M22" s="20" t="s">
        <v>85</v>
      </c>
      <c r="N22" s="21"/>
      <c r="P22" s="80" t="str">
        <f>VLOOKUP(C22,'Train Runs'!$A$3:$T$265,20,0)</f>
        <v>https://search-rtdc-monitor-bjffxe2xuh6vdkpspy63sjmuny.us-east-1.es.amazonaws.com/_plugin/kibana/#/discover/Steve-Slow-Train-Analysis-(2080s-and-2083s)?_g=(refreshInterval:(display:Off,section:0,value:0),time:(from:'2016-05-25 11:01:55-0600',mode:absolute,to:'2016-05-25 11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2" s="19" t="str">
        <f t="shared" si="0"/>
        <v>4008</v>
      </c>
    </row>
    <row r="23" spans="1:18" s="19" customFormat="1" x14ac:dyDescent="0.25">
      <c r="A23" s="23">
        <v>42515.501909722225</v>
      </c>
      <c r="B23" s="22" t="s">
        <v>65</v>
      </c>
      <c r="C23" s="22" t="s">
        <v>318</v>
      </c>
      <c r="D23" s="22" t="s">
        <v>52</v>
      </c>
      <c r="E23" s="22" t="s">
        <v>53</v>
      </c>
      <c r="F23" s="22">
        <v>0</v>
      </c>
      <c r="G23" s="22">
        <v>9</v>
      </c>
      <c r="H23" s="22">
        <v>119</v>
      </c>
      <c r="I23" s="22" t="s">
        <v>54</v>
      </c>
      <c r="J23" s="22">
        <v>1</v>
      </c>
      <c r="K23" s="21" t="s">
        <v>56</v>
      </c>
      <c r="L23" s="21" t="str">
        <f>VLOOKUP(C23,'Trips&amp;Operators'!$C$1:$E$9999,3,FALSE)</f>
        <v>BRANNON</v>
      </c>
      <c r="M23" s="20" t="s">
        <v>85</v>
      </c>
      <c r="N23" s="21"/>
      <c r="P23" s="80" t="str">
        <f>VLOOKUP(C23,'Train Runs'!$A$3:$T$265,20,0)</f>
        <v>https://search-rtdc-monitor-bjffxe2xuh6vdkpspy63sjmuny.us-east-1.es.amazonaws.com/_plugin/kibana/#/discover/Steve-Slow-Train-Analysis-(2080s-and-2083s)?_g=(refreshInterval:(display:Off,section:0,value:0),time:(from:'2016-05-25 11:19:38-0600',mode:absolute,to:'2016-05-25 12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3" s="19" t="str">
        <f t="shared" si="0"/>
        <v>4019</v>
      </c>
      <c r="R23" s="83"/>
    </row>
    <row r="24" spans="1:18" s="19" customFormat="1" x14ac:dyDescent="0.25">
      <c r="A24" s="23">
        <v>42515.573935185188</v>
      </c>
      <c r="B24" s="22" t="s">
        <v>263</v>
      </c>
      <c r="C24" s="22" t="s">
        <v>319</v>
      </c>
      <c r="D24" s="22" t="s">
        <v>52</v>
      </c>
      <c r="E24" s="22" t="s">
        <v>53</v>
      </c>
      <c r="F24" s="22">
        <v>0</v>
      </c>
      <c r="G24" s="22">
        <v>51</v>
      </c>
      <c r="H24" s="22">
        <v>200</v>
      </c>
      <c r="I24" s="22" t="s">
        <v>54</v>
      </c>
      <c r="J24" s="22">
        <v>1</v>
      </c>
      <c r="K24" s="21" t="s">
        <v>56</v>
      </c>
      <c r="L24" s="21" t="str">
        <f>VLOOKUP(C24,'Trips&amp;Operators'!$C$1:$E$9999,3,FALSE)</f>
        <v>SPECTOR</v>
      </c>
      <c r="M24" s="20" t="s">
        <v>85</v>
      </c>
      <c r="N24" s="21"/>
      <c r="P24" s="80" t="str">
        <f>VLOOKUP(C24,'Train Runs'!$A$3:$T$265,20,0)</f>
        <v>https://search-rtdc-monitor-bjffxe2xuh6vdkpspy63sjmuny.us-east-1.es.amazonaws.com/_plugin/kibana/#/discover/Steve-Slow-Train-Analysis-(2080s-and-2083s)?_g=(refreshInterval:(display:Off,section:0,value:0),time:(from:'2016-05-25 12:49:00-0600',mode:absolute,to:'2016-05-25 13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4" s="19" t="str">
        <f t="shared" si="0"/>
        <v>4028</v>
      </c>
    </row>
    <row r="25" spans="1:18" s="19" customFormat="1" x14ac:dyDescent="0.25">
      <c r="A25" s="23">
        <v>42515.651597222219</v>
      </c>
      <c r="B25" s="22" t="s">
        <v>65</v>
      </c>
      <c r="C25" s="22" t="s">
        <v>321</v>
      </c>
      <c r="D25" s="22" t="s">
        <v>52</v>
      </c>
      <c r="E25" s="22" t="s">
        <v>53</v>
      </c>
      <c r="F25" s="22">
        <v>0</v>
      </c>
      <c r="G25" s="22">
        <v>46</v>
      </c>
      <c r="H25" s="22">
        <v>143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STEWART</v>
      </c>
      <c r="M25" s="20" t="s">
        <v>85</v>
      </c>
      <c r="N25" s="21"/>
      <c r="P25" s="80" t="str">
        <f>VLOOKUP(C25,'Train Runs'!$A$3:$T$265,20,0)</f>
        <v>https://search-rtdc-monitor-bjffxe2xuh6vdkpspy63sjmuny.us-east-1.es.amazonaws.com/_plugin/kibana/#/discover/Steve-Slow-Train-Analysis-(2080s-and-2083s)?_g=(refreshInterval:(display:Off,section:0,value:0),time:(from:'2016-05-25 14:51:25-0600',mode:absolute,to:'2016-05-25 15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5" s="19" t="str">
        <f t="shared" si="0"/>
        <v>4019</v>
      </c>
    </row>
    <row r="26" spans="1:18" s="19" customFormat="1" x14ac:dyDescent="0.25">
      <c r="A26" s="23">
        <v>42515.659212962964</v>
      </c>
      <c r="B26" s="22" t="s">
        <v>104</v>
      </c>
      <c r="C26" s="22" t="s">
        <v>322</v>
      </c>
      <c r="D26" s="22" t="s">
        <v>52</v>
      </c>
      <c r="E26" s="22" t="s">
        <v>53</v>
      </c>
      <c r="F26" s="22">
        <v>0</v>
      </c>
      <c r="G26" s="22">
        <v>66</v>
      </c>
      <c r="H26" s="22">
        <v>234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RIVERA</v>
      </c>
      <c r="M26" s="20" t="s">
        <v>85</v>
      </c>
      <c r="N26" s="21"/>
      <c r="P26" s="80" t="str">
        <f>VLOOKUP(C26,'Train Runs'!$A$3:$T$265,20,0)</f>
        <v>https://search-rtdc-monitor-bjffxe2xuh6vdkpspy63sjmuny.us-east-1.es.amazonaws.com/_plugin/kibana/#/discover/Steve-Slow-Train-Analysis-(2080s-and-2083s)?_g=(refreshInterval:(display:Off,section:0,value:0),time:(from:'2016-05-25 15:06:03-0600',mode:absolute,to:'2016-05-25 15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6" s="19" t="str">
        <f t="shared" si="0"/>
        <v>4039</v>
      </c>
      <c r="R26" s="83"/>
    </row>
    <row r="27" spans="1:18" s="19" customFormat="1" x14ac:dyDescent="0.25">
      <c r="A27" s="23">
        <v>42515.660196759258</v>
      </c>
      <c r="B27" s="22" t="s">
        <v>284</v>
      </c>
      <c r="C27" s="22" t="s">
        <v>323</v>
      </c>
      <c r="D27" s="22" t="s">
        <v>52</v>
      </c>
      <c r="E27" s="22" t="s">
        <v>53</v>
      </c>
      <c r="F27" s="22">
        <v>0</v>
      </c>
      <c r="G27" s="22">
        <v>6</v>
      </c>
      <c r="H27" s="22">
        <v>233336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BUTLER</v>
      </c>
      <c r="M27" s="20" t="s">
        <v>85</v>
      </c>
      <c r="N27" s="21"/>
      <c r="P27" s="80" t="str">
        <f>VLOOKUP(C27,'Train Runs'!$A$3:$T$265,20,0)</f>
        <v>https://search-rtdc-monitor-bjffxe2xuh6vdkpspy63sjmuny.us-east-1.es.amazonaws.com/_plugin/kibana/#/discover/Steve-Slow-Train-Analysis-(2080s-and-2083s)?_g=(refreshInterval:(display:Off,section:0,value:0),time:(from:'2016-05-25 15:04:46-0600',mode:absolute,to:'2016-05-25 15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7" s="19" t="str">
        <f t="shared" si="0"/>
        <v>4009</v>
      </c>
    </row>
    <row r="28" spans="1:18" s="19" customFormat="1" x14ac:dyDescent="0.25">
      <c r="A28" s="23">
        <v>42515.682175925926</v>
      </c>
      <c r="B28" s="22" t="s">
        <v>64</v>
      </c>
      <c r="C28" s="22" t="s">
        <v>324</v>
      </c>
      <c r="D28" s="22" t="s">
        <v>52</v>
      </c>
      <c r="E28" s="22" t="s">
        <v>53</v>
      </c>
      <c r="F28" s="22">
        <v>0</v>
      </c>
      <c r="G28" s="22">
        <v>105</v>
      </c>
      <c r="H28" s="22">
        <v>233123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STEWART</v>
      </c>
      <c r="M28" s="20" t="s">
        <v>85</v>
      </c>
      <c r="N28" s="21"/>
      <c r="P28" s="80" t="str">
        <f>VLOOKUP(C28,'Train Runs'!$A$3:$T$265,20,0)</f>
        <v>https://search-rtdc-monitor-bjffxe2xuh6vdkpspy63sjmuny.us-east-1.es.amazonaws.com/_plugin/kibana/#/discover/Steve-Slow-Train-Analysis-(2080s-and-2083s)?_g=(refreshInterval:(display:Off,section:0,value:0),time:(from:'2016-05-25 15:41:20-0600',mode:absolute,to:'2016-05-25 16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8" s="19" t="str">
        <f t="shared" si="0"/>
        <v>4020</v>
      </c>
      <c r="R28" s="83"/>
    </row>
    <row r="29" spans="1:18" s="19" customFormat="1" x14ac:dyDescent="0.25">
      <c r="A29" s="23">
        <v>42515.682314814818</v>
      </c>
      <c r="B29" s="22" t="s">
        <v>115</v>
      </c>
      <c r="C29" s="22" t="s">
        <v>325</v>
      </c>
      <c r="D29" s="22" t="s">
        <v>52</v>
      </c>
      <c r="E29" s="22" t="s">
        <v>53</v>
      </c>
      <c r="F29" s="22">
        <v>0</v>
      </c>
      <c r="G29" s="22">
        <v>5</v>
      </c>
      <c r="H29" s="22">
        <v>121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LOZA</v>
      </c>
      <c r="M29" s="20" t="s">
        <v>85</v>
      </c>
      <c r="N29" s="21"/>
      <c r="P29" s="80" t="str">
        <f>VLOOKUP(C29,'Train Runs'!$A$3:$T$265,20,0)</f>
        <v>https://search-rtdc-monitor-bjffxe2xuh6vdkpspy63sjmuny.us-east-1.es.amazonaws.com/_plugin/kibana/#/discover/Steve-Slow-Train-Analysis-(2080s-and-2083s)?_g=(refreshInterval:(display:Off,section:0,value:0),time:(from:'2016-05-25 15:34:10-0600',mode:absolute,to:'2016-05-25 16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9" s="19" t="str">
        <f t="shared" si="0"/>
        <v>4030</v>
      </c>
    </row>
    <row r="30" spans="1:18" s="19" customFormat="1" x14ac:dyDescent="0.25">
      <c r="A30" s="23">
        <v>42515.710902777777</v>
      </c>
      <c r="B30" s="22" t="s">
        <v>263</v>
      </c>
      <c r="C30" s="22" t="s">
        <v>326</v>
      </c>
      <c r="D30" s="22" t="s">
        <v>52</v>
      </c>
      <c r="E30" s="22" t="s">
        <v>53</v>
      </c>
      <c r="F30" s="22">
        <v>0</v>
      </c>
      <c r="G30" s="22">
        <v>8</v>
      </c>
      <c r="H30" s="22">
        <v>114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SPECTOR</v>
      </c>
      <c r="M30" s="20" t="s">
        <v>85</v>
      </c>
      <c r="N30" s="21"/>
      <c r="P30" s="80" t="str">
        <f>VLOOKUP(C30,'Train Runs'!$A$3:$T$265,20,0)</f>
        <v>https://search-rtdc-monitor-bjffxe2xuh6vdkpspy63sjmuny.us-east-1.es.amazonaws.com/_plugin/kibana/#/discover/Steve-Slow-Train-Analysis-(2080s-and-2083s)?_g=(refreshInterval:(display:Off,section:0,value:0),time:(from:'2016-05-25 16:22:46-0600',mode:absolute,to:'2016-05-25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0" s="19" t="str">
        <f t="shared" si="0"/>
        <v>4028</v>
      </c>
    </row>
    <row r="31" spans="1:18" s="19" customFormat="1" x14ac:dyDescent="0.25">
      <c r="A31" s="23">
        <v>42515.731493055559</v>
      </c>
      <c r="B31" s="22" t="s">
        <v>104</v>
      </c>
      <c r="C31" s="22" t="s">
        <v>327</v>
      </c>
      <c r="D31" s="22" t="s">
        <v>52</v>
      </c>
      <c r="E31" s="22" t="s">
        <v>53</v>
      </c>
      <c r="F31" s="22">
        <v>0</v>
      </c>
      <c r="G31" s="22">
        <v>7</v>
      </c>
      <c r="H31" s="22">
        <v>114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RIVERA</v>
      </c>
      <c r="M31" s="20" t="s">
        <v>85</v>
      </c>
      <c r="N31" s="21"/>
      <c r="P31" s="80" t="str">
        <f>VLOOKUP(C31,'Train Runs'!$A$3:$T$265,20,0)</f>
        <v>https://search-rtdc-monitor-bjffxe2xuh6vdkpspy63sjmuny.us-east-1.es.amazonaws.com/_plugin/kibana/#/discover/Steve-Slow-Train-Analysis-(2080s-and-2083s)?_g=(refreshInterval:(display:Off,section:0,value:0),time:(from:'2016-05-25 16:50:51-0600',mode:absolute,to:'2016-05-25 17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1" s="19" t="str">
        <f t="shared" si="0"/>
        <v>4039</v>
      </c>
    </row>
    <row r="32" spans="1:18" s="19" customFormat="1" x14ac:dyDescent="0.25">
      <c r="A32" s="23">
        <v>42515.753923611112</v>
      </c>
      <c r="B32" s="22" t="s">
        <v>64</v>
      </c>
      <c r="C32" s="22" t="s">
        <v>328</v>
      </c>
      <c r="D32" s="22" t="s">
        <v>52</v>
      </c>
      <c r="E32" s="22" t="s">
        <v>53</v>
      </c>
      <c r="F32" s="22">
        <v>0</v>
      </c>
      <c r="G32" s="22">
        <v>52</v>
      </c>
      <c r="H32" s="22">
        <v>233332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STEWART</v>
      </c>
      <c r="M32" s="20" t="s">
        <v>85</v>
      </c>
      <c r="N32" s="21"/>
      <c r="P32" s="80" t="str">
        <f>VLOOKUP(C32,'Train Runs'!$A$3:$T$265,20,0)</f>
        <v>https://search-rtdc-monitor-bjffxe2xuh6vdkpspy63sjmuny.us-east-1.es.amazonaws.com/_plugin/kibana/#/discover/Steve-Slow-Train-Analysis-(2080s-and-2083s)?_g=(refreshInterval:(display:Off,section:0,value:0),time:(from:'2016-05-25 17:24:20-0600',mode:absolute,to:'2016-05-25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2" s="19" t="str">
        <f t="shared" si="0"/>
        <v>4020</v>
      </c>
    </row>
    <row r="33" spans="1:18" s="19" customFormat="1" x14ac:dyDescent="0.25">
      <c r="A33" s="23">
        <v>42515.764837962961</v>
      </c>
      <c r="B33" s="22" t="s">
        <v>103</v>
      </c>
      <c r="C33" s="22" t="s">
        <v>329</v>
      </c>
      <c r="D33" s="22" t="s">
        <v>52</v>
      </c>
      <c r="E33" s="22" t="s">
        <v>53</v>
      </c>
      <c r="F33" s="22">
        <v>0</v>
      </c>
      <c r="G33" s="22">
        <v>9</v>
      </c>
      <c r="H33" s="22">
        <v>233310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LEVERE</v>
      </c>
      <c r="M33" s="20" t="s">
        <v>85</v>
      </c>
      <c r="N33" s="21"/>
      <c r="P33" s="80" t="str">
        <f>VLOOKUP(C33,'Train Runs'!$A$3:$T$265,20,0)</f>
        <v>https://search-rtdc-monitor-bjffxe2xuh6vdkpspy63sjmuny.us-east-1.es.amazonaws.com/_plugin/kibana/#/discover/Steve-Slow-Train-Analysis-(2080s-and-2083s)?_g=(refreshInterval:(display:Off,section:0,value:0),time:(from:'2016-05-25 17:39:08-0600',mode:absolute,to:'2016-05-25 18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3" s="19" t="str">
        <f t="shared" si="0"/>
        <v>4040</v>
      </c>
    </row>
    <row r="34" spans="1:18" s="19" customFormat="1" x14ac:dyDescent="0.25">
      <c r="A34" s="23">
        <v>42515.764861111114</v>
      </c>
      <c r="B34" s="22" t="s">
        <v>124</v>
      </c>
      <c r="C34" s="22" t="s">
        <v>330</v>
      </c>
      <c r="D34" s="22" t="s">
        <v>52</v>
      </c>
      <c r="E34" s="22" t="s">
        <v>53</v>
      </c>
      <c r="F34" s="22">
        <v>0</v>
      </c>
      <c r="G34" s="22">
        <v>45</v>
      </c>
      <c r="H34" s="22">
        <v>138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BONDS</v>
      </c>
      <c r="M34" s="20" t="s">
        <v>85</v>
      </c>
      <c r="N34" s="21"/>
      <c r="P34" s="80" t="str">
        <f>VLOOKUP(C34,'Train Runs'!$A$3:$T$265,20,0)</f>
        <v>https://search-rtdc-monitor-bjffxe2xuh6vdkpspy63sjmuny.us-east-1.es.amazonaws.com/_plugin/kibana/#/discover/Steve-Slow-Train-Analysis-(2080s-and-2083s)?_g=(refreshInterval:(display:Off,section:0,value:0),time:(from:'2016-05-25 17:34:17-0600',mode:absolute,to:'2016-05-25 18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4" s="19" t="str">
        <f t="shared" si="0"/>
        <v>4032</v>
      </c>
      <c r="R34" s="83"/>
    </row>
    <row r="35" spans="1:18" s="19" customFormat="1" x14ac:dyDescent="0.25">
      <c r="A35" s="23">
        <v>42515.817673611113</v>
      </c>
      <c r="B35" s="22" t="s">
        <v>264</v>
      </c>
      <c r="C35" s="22" t="s">
        <v>331</v>
      </c>
      <c r="D35" s="22" t="s">
        <v>52</v>
      </c>
      <c r="E35" s="22" t="s">
        <v>53</v>
      </c>
      <c r="F35" s="22">
        <v>0</v>
      </c>
      <c r="G35" s="22">
        <v>6</v>
      </c>
      <c r="H35" s="22">
        <v>233343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STORY</v>
      </c>
      <c r="M35" s="20" t="s">
        <v>85</v>
      </c>
      <c r="N35" s="21"/>
      <c r="P35" s="80" t="str">
        <f>VLOOKUP(C35,'Train Runs'!$A$3:$T$265,20,0)</f>
        <v>https://search-rtdc-monitor-bjffxe2xuh6vdkpspy63sjmuny.us-east-1.es.amazonaws.com/_plugin/kibana/#/discover/Steve-Slow-Train-Analysis-(2080s-and-2083s)?_g=(refreshInterval:(display:Off,section:0,value:0),time:(from:'2016-05-25 18:56:08-0600',mode:absolute,to:'2016-05-25 19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5" s="19" t="str">
        <f t="shared" si="0"/>
        <v>4027</v>
      </c>
    </row>
    <row r="36" spans="1:18" s="19" customFormat="1" x14ac:dyDescent="0.25">
      <c r="A36" s="23">
        <v>42515.81863425926</v>
      </c>
      <c r="B36" s="22" t="s">
        <v>150</v>
      </c>
      <c r="C36" s="22" t="s">
        <v>332</v>
      </c>
      <c r="D36" s="22" t="s">
        <v>52</v>
      </c>
      <c r="E36" s="22" t="s">
        <v>53</v>
      </c>
      <c r="F36" s="22">
        <v>0</v>
      </c>
      <c r="G36" s="22">
        <v>4</v>
      </c>
      <c r="H36" s="22">
        <v>134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YOUNG</v>
      </c>
      <c r="M36" s="20" t="s">
        <v>85</v>
      </c>
      <c r="N36" s="21"/>
      <c r="P36" s="80" t="str">
        <f>VLOOKUP(C36,'Train Runs'!$A$3:$T$265,20,0)</f>
        <v>https://search-rtdc-monitor-bjffxe2xuh6vdkpspy63sjmuny.us-east-1.es.amazonaws.com/_plugin/kibana/#/discover/Steve-Slow-Train-Analysis-(2080s-and-2083s)?_g=(refreshInterval:(display:Off,section:0,value:0),time:(from:'2016-05-25 18:42:34-0600',mode:absolute,to:'2016-05-25 19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6" s="19" t="str">
        <f t="shared" si="0"/>
        <v>4037</v>
      </c>
      <c r="R36" s="83"/>
    </row>
    <row r="37" spans="1:18" s="19" customFormat="1" x14ac:dyDescent="0.25">
      <c r="A37" s="23">
        <v>42515.881215277775</v>
      </c>
      <c r="B37" s="22" t="s">
        <v>104</v>
      </c>
      <c r="C37" s="22" t="s">
        <v>334</v>
      </c>
      <c r="D37" s="22" t="s">
        <v>52</v>
      </c>
      <c r="E37" s="22" t="s">
        <v>53</v>
      </c>
      <c r="F37" s="22">
        <v>0</v>
      </c>
      <c r="G37" s="22">
        <v>8</v>
      </c>
      <c r="H37" s="22">
        <v>119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LEVERE</v>
      </c>
      <c r="M37" s="20" t="s">
        <v>85</v>
      </c>
      <c r="N37" s="21"/>
      <c r="P37" s="80" t="str">
        <f>VLOOKUP(C37,'Train Runs'!$A$3:$T$265,20,0)</f>
        <v>https://search-rtdc-monitor-bjffxe2xuh6vdkpspy63sjmuny.us-east-1.es.amazonaws.com/_plugin/kibana/#/discover/Steve-Slow-Train-Analysis-(2080s-and-2083s)?_g=(refreshInterval:(display:Off,section:0,value:0),time:(from:'2016-05-25 20:16:54-0600',mode:absolute,to:'2016-05-25 21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7" s="19" t="str">
        <f t="shared" si="0"/>
        <v>4039</v>
      </c>
    </row>
    <row r="38" spans="1:18" s="19" customFormat="1" x14ac:dyDescent="0.25">
      <c r="A38" s="23">
        <v>42515.943298611113</v>
      </c>
      <c r="B38" s="22" t="s">
        <v>263</v>
      </c>
      <c r="C38" s="22" t="s">
        <v>335</v>
      </c>
      <c r="D38" s="22" t="s">
        <v>52</v>
      </c>
      <c r="E38" s="22" t="s">
        <v>53</v>
      </c>
      <c r="F38" s="22">
        <v>0</v>
      </c>
      <c r="G38" s="22">
        <v>91</v>
      </c>
      <c r="H38" s="22">
        <v>364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STORY</v>
      </c>
      <c r="M38" s="20" t="s">
        <v>85</v>
      </c>
      <c r="N38" s="21"/>
      <c r="P38" s="80" t="str">
        <f>VLOOKUP(C38,'Train Runs'!$A$3:$T$265,20,0)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8" s="19" t="str">
        <f t="shared" si="0"/>
        <v>4028</v>
      </c>
    </row>
    <row r="39" spans="1:18" s="19" customFormat="1" x14ac:dyDescent="0.25">
      <c r="A39" s="23">
        <v>42516.029803240737</v>
      </c>
      <c r="B39" s="22" t="s">
        <v>263</v>
      </c>
      <c r="C39" s="22" t="s">
        <v>336</v>
      </c>
      <c r="D39" s="22" t="s">
        <v>52</v>
      </c>
      <c r="E39" s="22" t="s">
        <v>53</v>
      </c>
      <c r="F39" s="22">
        <v>0</v>
      </c>
      <c r="G39" s="22">
        <v>8</v>
      </c>
      <c r="H39" s="22">
        <v>134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STORY</v>
      </c>
      <c r="M39" s="20" t="s">
        <v>85</v>
      </c>
      <c r="N39" s="21"/>
      <c r="P39" s="80" t="str">
        <f>VLOOKUP(C39,'Train Runs'!$A$3:$T$265,20,0)</f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9" s="19" t="str">
        <f t="shared" si="0"/>
        <v>4028</v>
      </c>
    </row>
    <row r="40" spans="1:18" s="19" customFormat="1" x14ac:dyDescent="0.25">
      <c r="A40" s="23">
        <v>42516.050775462965</v>
      </c>
      <c r="B40" s="22" t="s">
        <v>104</v>
      </c>
      <c r="C40" s="22" t="s">
        <v>337</v>
      </c>
      <c r="D40" s="22" t="s">
        <v>52</v>
      </c>
      <c r="E40" s="22" t="s">
        <v>53</v>
      </c>
      <c r="F40" s="22">
        <v>0</v>
      </c>
      <c r="G40" s="22">
        <v>5</v>
      </c>
      <c r="H40" s="22">
        <v>130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LEVERE</v>
      </c>
      <c r="M40" s="20" t="s">
        <v>85</v>
      </c>
      <c r="N40" s="21"/>
      <c r="P40" s="80" t="str">
        <f>VLOOKUP(C40,'Train Runs'!$A$3:$T$265,20,0)</f>
        <v>https://search-rtdc-monitor-bjffxe2xuh6vdkpspy63sjmuny.us-east-1.es.amazonaws.com/_plugin/kibana/#/discover/Steve-Slow-Train-Analysis-(2080s-and-2083s)?_g=(refreshInterval:(display:Off,section:0,value:0),time:(from:'2016-05-26 00:15:14-0600',mode:absolute,to:'2016-05-26 01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0" s="19" t="str">
        <f t="shared" si="0"/>
        <v>4039</v>
      </c>
    </row>
    <row r="41" spans="1:18" s="19" customFormat="1" ht="15.75" thickBot="1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3"/>
      <c r="L41" s="43"/>
      <c r="M41" s="44"/>
      <c r="N41" s="43"/>
      <c r="P41" s="80"/>
    </row>
    <row r="42" spans="1:18" ht="30" x14ac:dyDescent="0.25">
      <c r="B42" s="59"/>
      <c r="C42" s="59"/>
      <c r="D42" s="59"/>
      <c r="E42" s="59"/>
      <c r="F42" s="59"/>
      <c r="G42" s="59"/>
      <c r="H42" s="59"/>
      <c r="I42" s="59"/>
      <c r="J42" s="59"/>
      <c r="K42" s="18" t="s">
        <v>28</v>
      </c>
      <c r="L42" s="52"/>
      <c r="M42" s="17">
        <f>COUNTIF(M3:M40,"=Y")</f>
        <v>4</v>
      </c>
    </row>
    <row r="43" spans="1:18" ht="15.75" thickBot="1" x14ac:dyDescent="0.3">
      <c r="B43" s="59"/>
      <c r="C43" s="59"/>
      <c r="D43" s="59"/>
      <c r="E43" s="59"/>
      <c r="F43" s="59"/>
      <c r="G43" s="59"/>
      <c r="H43" s="59"/>
      <c r="I43" s="59"/>
      <c r="J43" s="59"/>
      <c r="K43" s="16" t="s">
        <v>27</v>
      </c>
      <c r="L43" s="53"/>
      <c r="M43" s="15">
        <f>COUNTA(M3:M40)-M42</f>
        <v>34</v>
      </c>
    </row>
  </sheetData>
  <autoFilter ref="A2:N40">
    <sortState ref="A3:N40">
      <sortCondition ref="E2:E40"/>
    </sortState>
  </autoFilter>
  <sortState ref="A3:N63">
    <sortCondition ref="E3:E63"/>
  </sortState>
  <mergeCells count="1">
    <mergeCell ref="A1:M1"/>
  </mergeCells>
  <conditionalFormatting sqref="N2 P2 M2:M1048576">
    <cfRule type="cellIs" dxfId="4" priority="8" operator="equal">
      <formula>"Y"</formula>
    </cfRule>
  </conditionalFormatting>
  <conditionalFormatting sqref="A3:N40">
    <cfRule type="expression" dxfId="3" priority="1">
      <formula>$M3="Y"</formula>
    </cfRule>
  </conditionalFormatting>
  <hyperlinks>
    <hyperlink ref="R1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C19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2016-05-25</v>
      </c>
      <c r="B1" s="77"/>
    </row>
    <row r="2" spans="1:2" x14ac:dyDescent="0.25">
      <c r="A2" s="77"/>
      <c r="B2" s="77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23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42515.083460648151</v>
      </c>
      <c r="B1" t="s">
        <v>125</v>
      </c>
      <c r="C1" t="s">
        <v>537</v>
      </c>
      <c r="D1">
        <v>1240000</v>
      </c>
      <c r="E1" t="s">
        <v>545</v>
      </c>
    </row>
    <row r="2" spans="1:5" x14ac:dyDescent="0.25">
      <c r="A2" s="14">
        <v>42515.246111111112</v>
      </c>
      <c r="B2" t="s">
        <v>89</v>
      </c>
      <c r="C2" t="s">
        <v>360</v>
      </c>
      <c r="D2">
        <v>1190000</v>
      </c>
      <c r="E2" t="s">
        <v>279</v>
      </c>
    </row>
    <row r="3" spans="1:5" x14ac:dyDescent="0.25">
      <c r="A3" s="14">
        <v>42515.297569444447</v>
      </c>
      <c r="B3" t="s">
        <v>103</v>
      </c>
      <c r="C3" t="s">
        <v>377</v>
      </c>
      <c r="D3">
        <v>900000</v>
      </c>
      <c r="E3" t="s">
        <v>285</v>
      </c>
    </row>
    <row r="4" spans="1:5" x14ac:dyDescent="0.25">
      <c r="A4" s="14">
        <v>42515.328576388885</v>
      </c>
      <c r="B4" t="s">
        <v>114</v>
      </c>
      <c r="C4" t="s">
        <v>390</v>
      </c>
      <c r="D4">
        <v>1290000</v>
      </c>
      <c r="E4" t="s">
        <v>148</v>
      </c>
    </row>
    <row r="5" spans="1:5" x14ac:dyDescent="0.25">
      <c r="A5" s="14">
        <v>42515.360219907408</v>
      </c>
      <c r="B5" t="s">
        <v>64</v>
      </c>
      <c r="C5" t="s">
        <v>398</v>
      </c>
      <c r="D5">
        <v>1430000</v>
      </c>
      <c r="E5" t="s">
        <v>123</v>
      </c>
    </row>
    <row r="6" spans="1:5" x14ac:dyDescent="0.25">
      <c r="A6" s="14">
        <v>42515.232627314814</v>
      </c>
      <c r="B6" t="s">
        <v>286</v>
      </c>
      <c r="C6" t="s">
        <v>357</v>
      </c>
      <c r="D6">
        <v>1260000</v>
      </c>
      <c r="E6" t="s">
        <v>273</v>
      </c>
    </row>
    <row r="7" spans="1:5" x14ac:dyDescent="0.25">
      <c r="A7" s="14">
        <v>42515.255185185182</v>
      </c>
      <c r="B7" t="s">
        <v>114</v>
      </c>
      <c r="C7" t="s">
        <v>370</v>
      </c>
      <c r="D7">
        <v>1290000</v>
      </c>
      <c r="E7" t="s">
        <v>148</v>
      </c>
    </row>
    <row r="8" spans="1:5" ht="15.75" thickBot="1" x14ac:dyDescent="0.3">
      <c r="A8" s="84">
        <v>42515.358194444445</v>
      </c>
      <c r="B8" t="s">
        <v>90</v>
      </c>
      <c r="C8" t="s">
        <v>394</v>
      </c>
      <c r="D8">
        <v>1190000</v>
      </c>
      <c r="E8" t="s">
        <v>279</v>
      </c>
    </row>
    <row r="9" spans="1:5" x14ac:dyDescent="0.25">
      <c r="A9" s="14">
        <v>42514.934363425928</v>
      </c>
      <c r="B9" t="s">
        <v>126</v>
      </c>
      <c r="C9" t="s">
        <v>546</v>
      </c>
      <c r="D9">
        <v>1240000</v>
      </c>
      <c r="E9" t="s">
        <v>545</v>
      </c>
    </row>
    <row r="10" spans="1:5" x14ac:dyDescent="0.25">
      <c r="A10" s="14">
        <v>42515.192800925928</v>
      </c>
      <c r="B10" t="s">
        <v>150</v>
      </c>
      <c r="C10" t="s">
        <v>346</v>
      </c>
      <c r="D10">
        <v>1230000</v>
      </c>
      <c r="E10" t="s">
        <v>547</v>
      </c>
    </row>
    <row r="11" spans="1:5" x14ac:dyDescent="0.25">
      <c r="A11" s="14">
        <v>42515.338958333334</v>
      </c>
      <c r="B11" t="s">
        <v>104</v>
      </c>
      <c r="C11" t="s">
        <v>381</v>
      </c>
      <c r="D11">
        <v>900000</v>
      </c>
      <c r="E11" t="s">
        <v>285</v>
      </c>
    </row>
    <row r="12" spans="1:5" x14ac:dyDescent="0.25">
      <c r="A12" s="14">
        <v>42514.890173611115</v>
      </c>
      <c r="B12" t="s">
        <v>112</v>
      </c>
      <c r="C12" t="s">
        <v>548</v>
      </c>
      <c r="D12">
        <v>1750000</v>
      </c>
      <c r="E12" t="s">
        <v>101</v>
      </c>
    </row>
    <row r="13" spans="1:5" x14ac:dyDescent="0.25">
      <c r="A13" s="14">
        <v>42515.372442129628</v>
      </c>
      <c r="B13" t="s">
        <v>103</v>
      </c>
      <c r="C13" t="s">
        <v>401</v>
      </c>
      <c r="D13">
        <v>900000</v>
      </c>
      <c r="E13" t="s">
        <v>285</v>
      </c>
    </row>
    <row r="14" spans="1:5" x14ac:dyDescent="0.25">
      <c r="A14" s="14">
        <v>42515.508842592593</v>
      </c>
      <c r="B14" t="s">
        <v>124</v>
      </c>
      <c r="C14" t="s">
        <v>434</v>
      </c>
      <c r="D14">
        <v>1830000</v>
      </c>
      <c r="E14" t="s">
        <v>131</v>
      </c>
    </row>
    <row r="15" spans="1:5" x14ac:dyDescent="0.25">
      <c r="A15" s="14">
        <v>42515.40016203704</v>
      </c>
      <c r="B15" t="s">
        <v>65</v>
      </c>
      <c r="C15" t="s">
        <v>399</v>
      </c>
      <c r="D15">
        <v>1430000</v>
      </c>
      <c r="E15" t="s">
        <v>123</v>
      </c>
    </row>
    <row r="16" spans="1:5" x14ac:dyDescent="0.25">
      <c r="A16" s="14">
        <v>42515.493935185186</v>
      </c>
      <c r="B16" t="s">
        <v>284</v>
      </c>
      <c r="C16" t="s">
        <v>435</v>
      </c>
      <c r="D16">
        <v>1490000</v>
      </c>
      <c r="E16" t="s">
        <v>549</v>
      </c>
    </row>
    <row r="17" spans="1:5" x14ac:dyDescent="0.25">
      <c r="A17" s="14">
        <v>42515.635636574072</v>
      </c>
      <c r="B17" t="s">
        <v>150</v>
      </c>
      <c r="C17" t="s">
        <v>471</v>
      </c>
      <c r="D17">
        <v>1140000</v>
      </c>
      <c r="E17" t="s">
        <v>62</v>
      </c>
    </row>
    <row r="18" spans="1:5" x14ac:dyDescent="0.25">
      <c r="A18" s="14">
        <v>42515.411747685182</v>
      </c>
      <c r="B18" t="s">
        <v>284</v>
      </c>
      <c r="C18" t="s">
        <v>411</v>
      </c>
      <c r="D18">
        <v>1260000</v>
      </c>
      <c r="E18" t="s">
        <v>273</v>
      </c>
    </row>
    <row r="19" spans="1:5" x14ac:dyDescent="0.25">
      <c r="A19" s="14">
        <v>42515.702106481483</v>
      </c>
      <c r="B19" t="s">
        <v>284</v>
      </c>
      <c r="C19" t="s">
        <v>498</v>
      </c>
      <c r="D19">
        <v>1490000</v>
      </c>
      <c r="E19" t="s">
        <v>549</v>
      </c>
    </row>
    <row r="20" spans="1:5" x14ac:dyDescent="0.25">
      <c r="A20" s="14">
        <v>42515.347604166665</v>
      </c>
      <c r="B20" t="s">
        <v>90</v>
      </c>
      <c r="C20" t="s">
        <v>394</v>
      </c>
      <c r="D20">
        <v>1190000</v>
      </c>
      <c r="E20" t="s">
        <v>279</v>
      </c>
    </row>
    <row r="21" spans="1:5" x14ac:dyDescent="0.25">
      <c r="A21" s="14">
        <v>42515.736678240741</v>
      </c>
      <c r="B21" t="s">
        <v>103</v>
      </c>
      <c r="C21" t="s">
        <v>329</v>
      </c>
      <c r="D21">
        <v>1180000</v>
      </c>
      <c r="E21" t="s">
        <v>550</v>
      </c>
    </row>
    <row r="22" spans="1:5" x14ac:dyDescent="0.25">
      <c r="A22" s="14">
        <v>42515.225312499999</v>
      </c>
      <c r="B22" t="s">
        <v>124</v>
      </c>
      <c r="C22" t="s">
        <v>355</v>
      </c>
      <c r="D22">
        <v>1290000</v>
      </c>
      <c r="E22" t="s">
        <v>148</v>
      </c>
    </row>
    <row r="23" spans="1:5" x14ac:dyDescent="0.25">
      <c r="A23" s="14">
        <v>42515.770671296297</v>
      </c>
      <c r="B23" t="s">
        <v>104</v>
      </c>
      <c r="C23" t="s">
        <v>504</v>
      </c>
      <c r="D23">
        <v>1180000</v>
      </c>
      <c r="E23" t="s">
        <v>550</v>
      </c>
    </row>
    <row r="24" spans="1:5" x14ac:dyDescent="0.25">
      <c r="A24" s="14">
        <v>42515.062152777777</v>
      </c>
      <c r="B24" t="s">
        <v>128</v>
      </c>
      <c r="C24" t="s">
        <v>551</v>
      </c>
      <c r="D24">
        <v>1180000</v>
      </c>
      <c r="E24" t="s">
        <v>550</v>
      </c>
    </row>
    <row r="25" spans="1:5" x14ac:dyDescent="0.25">
      <c r="A25" s="14">
        <v>42516.13144675926</v>
      </c>
      <c r="B25" t="s">
        <v>126</v>
      </c>
      <c r="C25" t="s">
        <v>552</v>
      </c>
      <c r="D25">
        <v>1290000</v>
      </c>
      <c r="E25" t="s">
        <v>148</v>
      </c>
    </row>
    <row r="26" spans="1:5" x14ac:dyDescent="0.25">
      <c r="A26" s="14">
        <v>42515.010381944441</v>
      </c>
      <c r="B26" t="s">
        <v>113</v>
      </c>
      <c r="C26" t="s">
        <v>553</v>
      </c>
      <c r="D26">
        <v>1750000</v>
      </c>
      <c r="E26" t="s">
        <v>101</v>
      </c>
    </row>
    <row r="27" spans="1:5" x14ac:dyDescent="0.25">
      <c r="A27" s="14">
        <v>42516.265914351854</v>
      </c>
      <c r="B27" t="s">
        <v>282</v>
      </c>
      <c r="C27" t="s">
        <v>554</v>
      </c>
      <c r="D27">
        <v>1460000</v>
      </c>
      <c r="E27" t="s">
        <v>277</v>
      </c>
    </row>
    <row r="28" spans="1:5" x14ac:dyDescent="0.25">
      <c r="A28" s="14">
        <v>42514.953113425923</v>
      </c>
      <c r="B28" t="s">
        <v>112</v>
      </c>
      <c r="C28" t="s">
        <v>555</v>
      </c>
      <c r="D28">
        <v>1750000</v>
      </c>
      <c r="E28" t="s">
        <v>101</v>
      </c>
    </row>
    <row r="29" spans="1:5" x14ac:dyDescent="0.25">
      <c r="A29" s="14">
        <v>42515.63045138889</v>
      </c>
      <c r="B29" t="s">
        <v>104</v>
      </c>
      <c r="C29" t="s">
        <v>322</v>
      </c>
      <c r="D29">
        <v>1470000</v>
      </c>
      <c r="E29" t="s">
        <v>283</v>
      </c>
    </row>
    <row r="30" spans="1:5" x14ac:dyDescent="0.25">
      <c r="A30" s="14">
        <v>42514.95239583333</v>
      </c>
      <c r="B30" t="s">
        <v>112</v>
      </c>
      <c r="C30" t="s">
        <v>555</v>
      </c>
      <c r="D30">
        <v>1750000</v>
      </c>
      <c r="E30" t="s">
        <v>101</v>
      </c>
    </row>
    <row r="31" spans="1:5" x14ac:dyDescent="0.25">
      <c r="A31" s="14">
        <v>42515.752997685187</v>
      </c>
      <c r="B31" t="s">
        <v>263</v>
      </c>
      <c r="C31" t="s">
        <v>501</v>
      </c>
      <c r="D31">
        <v>1740000</v>
      </c>
      <c r="E31" t="s">
        <v>98</v>
      </c>
    </row>
    <row r="32" spans="1:5" x14ac:dyDescent="0.25">
      <c r="A32" s="14">
        <v>42516.27715277778</v>
      </c>
      <c r="B32" t="s">
        <v>150</v>
      </c>
      <c r="C32" t="s">
        <v>556</v>
      </c>
      <c r="D32">
        <v>1110000</v>
      </c>
      <c r="E32" t="s">
        <v>121</v>
      </c>
    </row>
    <row r="33" spans="1:5" x14ac:dyDescent="0.25">
      <c r="A33" s="14">
        <v>42515.788287037038</v>
      </c>
      <c r="B33" t="s">
        <v>264</v>
      </c>
      <c r="C33" t="s">
        <v>331</v>
      </c>
      <c r="D33">
        <v>1740000</v>
      </c>
      <c r="E33" t="s">
        <v>98</v>
      </c>
    </row>
    <row r="34" spans="1:5" x14ac:dyDescent="0.25">
      <c r="A34" s="14">
        <v>42516.255069444444</v>
      </c>
      <c r="B34" t="s">
        <v>108</v>
      </c>
      <c r="C34" t="s">
        <v>557</v>
      </c>
      <c r="D34">
        <v>1290000</v>
      </c>
      <c r="E34" t="s">
        <v>148</v>
      </c>
    </row>
    <row r="35" spans="1:5" x14ac:dyDescent="0.25">
      <c r="A35" s="14">
        <v>42515.886631944442</v>
      </c>
      <c r="B35" t="s">
        <v>124</v>
      </c>
      <c r="C35" t="s">
        <v>520</v>
      </c>
      <c r="D35">
        <v>1240000</v>
      </c>
      <c r="E35" t="s">
        <v>545</v>
      </c>
    </row>
    <row r="36" spans="1:5" x14ac:dyDescent="0.25">
      <c r="A36" s="14">
        <v>42516.24523148148</v>
      </c>
      <c r="B36" t="s">
        <v>125</v>
      </c>
      <c r="C36" t="s">
        <v>558</v>
      </c>
      <c r="D36">
        <v>1100000</v>
      </c>
      <c r="E36" t="s">
        <v>122</v>
      </c>
    </row>
    <row r="37" spans="1:5" x14ac:dyDescent="0.25">
      <c r="A37" s="14">
        <v>42515.59134259259</v>
      </c>
      <c r="B37" t="s">
        <v>64</v>
      </c>
      <c r="C37" t="s">
        <v>465</v>
      </c>
      <c r="D37">
        <v>880000</v>
      </c>
      <c r="E37" t="s">
        <v>105</v>
      </c>
    </row>
    <row r="38" spans="1:5" x14ac:dyDescent="0.25">
      <c r="A38" s="14">
        <v>42516.265243055554</v>
      </c>
      <c r="B38" t="s">
        <v>278</v>
      </c>
      <c r="C38" t="s">
        <v>559</v>
      </c>
      <c r="D38">
        <v>1310000</v>
      </c>
      <c r="E38" t="s">
        <v>560</v>
      </c>
    </row>
    <row r="39" spans="1:5" x14ac:dyDescent="0.25">
      <c r="A39" s="14">
        <v>42515.912719907406</v>
      </c>
      <c r="B39" t="s">
        <v>116</v>
      </c>
      <c r="C39" t="s">
        <v>526</v>
      </c>
      <c r="D39">
        <v>1750000</v>
      </c>
      <c r="E39" t="s">
        <v>101</v>
      </c>
    </row>
    <row r="40" spans="1:5" x14ac:dyDescent="0.25">
      <c r="A40" s="14">
        <v>42516.235266203701</v>
      </c>
      <c r="B40" t="s">
        <v>149</v>
      </c>
      <c r="C40" t="s">
        <v>561</v>
      </c>
      <c r="D40">
        <v>1110000</v>
      </c>
      <c r="E40" t="s">
        <v>121</v>
      </c>
    </row>
    <row r="41" spans="1:5" x14ac:dyDescent="0.25">
      <c r="A41" s="14">
        <v>42515.550104166665</v>
      </c>
      <c r="B41" t="s">
        <v>114</v>
      </c>
      <c r="C41" t="s">
        <v>457</v>
      </c>
      <c r="D41">
        <v>1830000</v>
      </c>
      <c r="E41" t="s">
        <v>131</v>
      </c>
    </row>
    <row r="42" spans="1:5" x14ac:dyDescent="0.25">
      <c r="A42" s="14">
        <v>42516.182442129626</v>
      </c>
      <c r="B42" t="s">
        <v>90</v>
      </c>
      <c r="C42" t="s">
        <v>562</v>
      </c>
      <c r="D42">
        <v>1360000</v>
      </c>
      <c r="E42" t="s">
        <v>194</v>
      </c>
    </row>
    <row r="43" spans="1:5" x14ac:dyDescent="0.25">
      <c r="A43" s="14">
        <v>42515.620393518519</v>
      </c>
      <c r="B43" t="s">
        <v>65</v>
      </c>
      <c r="C43" t="s">
        <v>321</v>
      </c>
      <c r="D43">
        <v>880000</v>
      </c>
      <c r="E43" t="s">
        <v>105</v>
      </c>
    </row>
    <row r="44" spans="1:5" x14ac:dyDescent="0.25">
      <c r="A44" s="14">
        <v>42516.237222222226</v>
      </c>
      <c r="B44" t="s">
        <v>149</v>
      </c>
      <c r="C44" t="s">
        <v>561</v>
      </c>
      <c r="D44">
        <v>1110000</v>
      </c>
      <c r="E44" t="s">
        <v>121</v>
      </c>
    </row>
    <row r="45" spans="1:5" x14ac:dyDescent="0.25">
      <c r="A45" s="14">
        <v>42516.233113425929</v>
      </c>
      <c r="B45" t="s">
        <v>280</v>
      </c>
      <c r="C45" t="s">
        <v>563</v>
      </c>
      <c r="D45">
        <v>1460000</v>
      </c>
      <c r="E45" t="s">
        <v>277</v>
      </c>
    </row>
    <row r="46" spans="1:5" x14ac:dyDescent="0.25">
      <c r="A46" s="14">
        <v>42515.952592592592</v>
      </c>
      <c r="B46" t="s">
        <v>264</v>
      </c>
      <c r="C46" t="s">
        <v>531</v>
      </c>
      <c r="D46">
        <v>1740000</v>
      </c>
      <c r="E46" t="s">
        <v>98</v>
      </c>
    </row>
    <row r="47" spans="1:5" x14ac:dyDescent="0.25">
      <c r="A47" s="14">
        <v>42515.650381944448</v>
      </c>
      <c r="B47" t="s">
        <v>264</v>
      </c>
      <c r="C47" t="s">
        <v>479</v>
      </c>
      <c r="D47">
        <v>1090000</v>
      </c>
      <c r="E47" t="s">
        <v>169</v>
      </c>
    </row>
    <row r="48" spans="1:5" x14ac:dyDescent="0.25">
      <c r="A48" s="14">
        <v>42515.662592592591</v>
      </c>
      <c r="B48" t="s">
        <v>103</v>
      </c>
      <c r="C48" t="s">
        <v>485</v>
      </c>
      <c r="D48">
        <v>1470000</v>
      </c>
      <c r="E48" t="s">
        <v>283</v>
      </c>
    </row>
    <row r="49" spans="1:5" x14ac:dyDescent="0.25">
      <c r="A49" s="14">
        <v>42515.84884259259</v>
      </c>
      <c r="B49" t="s">
        <v>114</v>
      </c>
      <c r="C49" t="s">
        <v>518</v>
      </c>
      <c r="D49">
        <v>1240000</v>
      </c>
      <c r="E49" t="s">
        <v>545</v>
      </c>
    </row>
    <row r="50" spans="1:5" x14ac:dyDescent="0.25">
      <c r="A50" s="14">
        <v>42515.51462962963</v>
      </c>
      <c r="B50" t="s">
        <v>64</v>
      </c>
      <c r="C50" t="s">
        <v>444</v>
      </c>
      <c r="D50">
        <v>880000</v>
      </c>
      <c r="E50" t="s">
        <v>105</v>
      </c>
    </row>
    <row r="51" spans="1:5" x14ac:dyDescent="0.25">
      <c r="A51" s="14">
        <v>42515.869814814818</v>
      </c>
      <c r="B51" t="s">
        <v>264</v>
      </c>
      <c r="C51" t="s">
        <v>521</v>
      </c>
      <c r="D51">
        <v>1740000</v>
      </c>
      <c r="E51" t="s">
        <v>98</v>
      </c>
    </row>
    <row r="52" spans="1:5" x14ac:dyDescent="0.25">
      <c r="A52" s="14">
        <v>42515.449097222219</v>
      </c>
      <c r="B52" t="s">
        <v>286</v>
      </c>
      <c r="C52" t="s">
        <v>413</v>
      </c>
      <c r="D52">
        <v>1260000</v>
      </c>
      <c r="E52" t="s">
        <v>273</v>
      </c>
    </row>
    <row r="53" spans="1:5" x14ac:dyDescent="0.25">
      <c r="A53" s="14">
        <v>42515.871863425928</v>
      </c>
      <c r="B53" t="s">
        <v>264</v>
      </c>
      <c r="C53" t="s">
        <v>521</v>
      </c>
      <c r="D53">
        <v>1740000</v>
      </c>
      <c r="E53" t="s">
        <v>98</v>
      </c>
    </row>
    <row r="54" spans="1:5" x14ac:dyDescent="0.25">
      <c r="A54" s="14">
        <v>42515.212256944447</v>
      </c>
      <c r="B54" t="s">
        <v>90</v>
      </c>
      <c r="C54" t="s">
        <v>309</v>
      </c>
      <c r="D54">
        <v>1190000</v>
      </c>
      <c r="E54" t="s">
        <v>279</v>
      </c>
    </row>
    <row r="55" spans="1:5" x14ac:dyDescent="0.25">
      <c r="A55" s="14">
        <v>42514.825775462959</v>
      </c>
      <c r="B55" t="s">
        <v>128</v>
      </c>
      <c r="C55" t="s">
        <v>564</v>
      </c>
      <c r="D55">
        <v>1180000</v>
      </c>
      <c r="E55" t="s">
        <v>550</v>
      </c>
    </row>
    <row r="56" spans="1:5" x14ac:dyDescent="0.25">
      <c r="A56" s="14">
        <v>42514.959629629629</v>
      </c>
      <c r="B56" t="s">
        <v>125</v>
      </c>
      <c r="C56" t="s">
        <v>565</v>
      </c>
      <c r="D56">
        <v>1240000</v>
      </c>
      <c r="E56" t="s">
        <v>545</v>
      </c>
    </row>
    <row r="57" spans="1:5" x14ac:dyDescent="0.25">
      <c r="A57" s="14">
        <v>42514.913472222222</v>
      </c>
      <c r="B57" t="s">
        <v>129</v>
      </c>
      <c r="C57" t="s">
        <v>566</v>
      </c>
      <c r="D57">
        <v>1180000</v>
      </c>
      <c r="E57" t="s">
        <v>550</v>
      </c>
    </row>
    <row r="58" spans="1:5" x14ac:dyDescent="0.25">
      <c r="A58" s="14">
        <v>42515.63989583333</v>
      </c>
      <c r="B58" t="s">
        <v>150</v>
      </c>
      <c r="C58" t="s">
        <v>471</v>
      </c>
      <c r="D58">
        <v>1140000</v>
      </c>
      <c r="E58" t="s">
        <v>62</v>
      </c>
    </row>
    <row r="59" spans="1:5" x14ac:dyDescent="0.25">
      <c r="A59" s="14">
        <v>42514.956863425927</v>
      </c>
      <c r="B59" t="s">
        <v>112</v>
      </c>
      <c r="C59" t="s">
        <v>555</v>
      </c>
      <c r="D59">
        <v>1750000</v>
      </c>
      <c r="E59" t="s">
        <v>101</v>
      </c>
    </row>
    <row r="60" spans="1:5" x14ac:dyDescent="0.25">
      <c r="A60" s="14">
        <v>42515.519895833335</v>
      </c>
      <c r="B60" t="s">
        <v>103</v>
      </c>
      <c r="C60" t="s">
        <v>449</v>
      </c>
      <c r="D60">
        <v>1470000</v>
      </c>
      <c r="E60" t="s">
        <v>283</v>
      </c>
    </row>
    <row r="61" spans="1:5" x14ac:dyDescent="0.25">
      <c r="A61" s="14">
        <v>42514.973946759259</v>
      </c>
      <c r="B61" t="s">
        <v>129</v>
      </c>
      <c r="C61" t="s">
        <v>567</v>
      </c>
      <c r="D61">
        <v>1180000</v>
      </c>
      <c r="E61" t="s">
        <v>550</v>
      </c>
    </row>
    <row r="62" spans="1:5" x14ac:dyDescent="0.25">
      <c r="A62" s="14">
        <v>42515.500590277778</v>
      </c>
      <c r="B62" t="s">
        <v>264</v>
      </c>
      <c r="C62" t="s">
        <v>441</v>
      </c>
      <c r="D62">
        <v>1090000</v>
      </c>
      <c r="E62" t="s">
        <v>169</v>
      </c>
    </row>
    <row r="63" spans="1:5" x14ac:dyDescent="0.25">
      <c r="A63" s="14">
        <v>42514.932858796295</v>
      </c>
      <c r="B63" t="s">
        <v>126</v>
      </c>
      <c r="C63" t="s">
        <v>565</v>
      </c>
      <c r="D63">
        <v>1240000</v>
      </c>
      <c r="E63" t="s">
        <v>545</v>
      </c>
    </row>
    <row r="64" spans="1:5" x14ac:dyDescent="0.25">
      <c r="A64" s="14">
        <v>42515.359317129631</v>
      </c>
      <c r="B64" t="s">
        <v>115</v>
      </c>
      <c r="C64" t="s">
        <v>388</v>
      </c>
      <c r="D64">
        <v>1100000</v>
      </c>
      <c r="E64" t="s">
        <v>122</v>
      </c>
    </row>
    <row r="65" spans="1:5" x14ac:dyDescent="0.25">
      <c r="A65" s="14">
        <v>42514.954583333332</v>
      </c>
      <c r="B65" t="s">
        <v>112</v>
      </c>
      <c r="C65" t="s">
        <v>555</v>
      </c>
      <c r="D65">
        <v>1750000</v>
      </c>
      <c r="E65" t="s">
        <v>101</v>
      </c>
    </row>
    <row r="66" spans="1:5" x14ac:dyDescent="0.25">
      <c r="A66" s="14">
        <v>42515.306180555555</v>
      </c>
      <c r="B66" t="s">
        <v>103</v>
      </c>
      <c r="C66" t="s">
        <v>377</v>
      </c>
      <c r="D66">
        <v>900000</v>
      </c>
      <c r="E66" t="s">
        <v>285</v>
      </c>
    </row>
    <row r="67" spans="1:5" x14ac:dyDescent="0.25">
      <c r="A67" s="14">
        <v>42514.851469907408</v>
      </c>
      <c r="B67" t="s">
        <v>113</v>
      </c>
      <c r="C67" t="s">
        <v>568</v>
      </c>
      <c r="D67">
        <v>1750000</v>
      </c>
      <c r="E67" t="s">
        <v>101</v>
      </c>
    </row>
    <row r="68" spans="1:5" x14ac:dyDescent="0.25">
      <c r="A68" s="14">
        <v>42514.915775462963</v>
      </c>
      <c r="B68" t="s">
        <v>113</v>
      </c>
      <c r="C68" t="s">
        <v>569</v>
      </c>
      <c r="D68">
        <v>1750000</v>
      </c>
      <c r="E68" t="s">
        <v>101</v>
      </c>
    </row>
    <row r="69" spans="1:5" x14ac:dyDescent="0.25">
      <c r="A69" s="14">
        <v>42514.832476851851</v>
      </c>
      <c r="B69" t="s">
        <v>125</v>
      </c>
      <c r="C69" t="s">
        <v>568</v>
      </c>
      <c r="D69">
        <v>1240000</v>
      </c>
      <c r="E69" t="s">
        <v>545</v>
      </c>
    </row>
    <row r="70" spans="1:5" x14ac:dyDescent="0.25">
      <c r="A70" s="14">
        <v>42515.650092592594</v>
      </c>
      <c r="B70" t="s">
        <v>115</v>
      </c>
      <c r="C70" t="s">
        <v>325</v>
      </c>
      <c r="D70">
        <v>890000</v>
      </c>
      <c r="E70" t="s">
        <v>281</v>
      </c>
    </row>
    <row r="71" spans="1:5" x14ac:dyDescent="0.25">
      <c r="A71" s="14">
        <v>42515.058796296296</v>
      </c>
      <c r="B71" t="s">
        <v>125</v>
      </c>
      <c r="C71" t="s">
        <v>537</v>
      </c>
      <c r="D71">
        <v>1240000</v>
      </c>
      <c r="E71" t="s">
        <v>545</v>
      </c>
    </row>
    <row r="72" spans="1:5" x14ac:dyDescent="0.25">
      <c r="A72" s="14">
        <v>42515.579907407409</v>
      </c>
      <c r="B72" t="s">
        <v>115</v>
      </c>
      <c r="C72" t="s">
        <v>455</v>
      </c>
      <c r="D72">
        <v>890000</v>
      </c>
      <c r="E72" t="s">
        <v>281</v>
      </c>
    </row>
    <row r="73" spans="1:5" x14ac:dyDescent="0.25">
      <c r="A73" s="14">
        <v>42515.254282407404</v>
      </c>
      <c r="B73" t="s">
        <v>65</v>
      </c>
      <c r="C73" t="s">
        <v>312</v>
      </c>
      <c r="D73">
        <v>1430000</v>
      </c>
      <c r="E73" t="s">
        <v>123</v>
      </c>
    </row>
    <row r="74" spans="1:5" x14ac:dyDescent="0.25">
      <c r="A74" s="14">
        <v>42515.566261574073</v>
      </c>
      <c r="B74" t="s">
        <v>150</v>
      </c>
      <c r="C74" t="s">
        <v>452</v>
      </c>
      <c r="D74">
        <v>1140000</v>
      </c>
      <c r="E74" t="s">
        <v>62</v>
      </c>
    </row>
    <row r="75" spans="1:5" x14ac:dyDescent="0.25">
      <c r="A75" s="14">
        <v>42515.275891203702</v>
      </c>
      <c r="B75" t="s">
        <v>90</v>
      </c>
      <c r="C75" t="s">
        <v>313</v>
      </c>
      <c r="D75">
        <v>1190000</v>
      </c>
      <c r="E75" t="s">
        <v>279</v>
      </c>
    </row>
    <row r="76" spans="1:5" x14ac:dyDescent="0.25">
      <c r="A76" s="14">
        <v>42515.414467592593</v>
      </c>
      <c r="B76" t="s">
        <v>104</v>
      </c>
      <c r="C76" t="s">
        <v>316</v>
      </c>
      <c r="D76">
        <v>900000</v>
      </c>
      <c r="E76" t="s">
        <v>285</v>
      </c>
    </row>
    <row r="77" spans="1:5" x14ac:dyDescent="0.25">
      <c r="A77" s="14">
        <v>42515.649259259262</v>
      </c>
      <c r="B77" t="s">
        <v>264</v>
      </c>
      <c r="C77" t="s">
        <v>479</v>
      </c>
      <c r="D77">
        <v>1090000</v>
      </c>
      <c r="E77" t="s">
        <v>169</v>
      </c>
    </row>
    <row r="78" spans="1:5" x14ac:dyDescent="0.25">
      <c r="A78" s="14">
        <v>42515.991261574076</v>
      </c>
      <c r="B78" t="s">
        <v>116</v>
      </c>
      <c r="C78" t="s">
        <v>536</v>
      </c>
      <c r="D78">
        <v>1750000</v>
      </c>
      <c r="E78" t="s">
        <v>101</v>
      </c>
    </row>
    <row r="79" spans="1:5" x14ac:dyDescent="0.25">
      <c r="A79" s="14">
        <v>42515.661203703705</v>
      </c>
      <c r="B79" t="s">
        <v>124</v>
      </c>
      <c r="C79" t="s">
        <v>476</v>
      </c>
      <c r="D79">
        <v>1830000</v>
      </c>
      <c r="E79" t="s">
        <v>131</v>
      </c>
    </row>
    <row r="80" spans="1:5" x14ac:dyDescent="0.25">
      <c r="A80" s="14">
        <v>42515.703159722223</v>
      </c>
      <c r="B80" t="s">
        <v>104</v>
      </c>
      <c r="C80" t="s">
        <v>327</v>
      </c>
      <c r="D80">
        <v>1470000</v>
      </c>
      <c r="E80" t="s">
        <v>283</v>
      </c>
    </row>
    <row r="81" spans="1:5" x14ac:dyDescent="0.25">
      <c r="A81" s="14">
        <v>42515.824745370373</v>
      </c>
      <c r="B81" t="s">
        <v>263</v>
      </c>
      <c r="C81" t="s">
        <v>513</v>
      </c>
      <c r="D81">
        <v>1740000</v>
      </c>
      <c r="E81" t="s">
        <v>98</v>
      </c>
    </row>
    <row r="82" spans="1:5" x14ac:dyDescent="0.25">
      <c r="A82" s="14">
        <v>42515.421770833331</v>
      </c>
      <c r="B82" t="s">
        <v>150</v>
      </c>
      <c r="C82" t="s">
        <v>403</v>
      </c>
      <c r="D82">
        <v>1230000</v>
      </c>
      <c r="E82" t="s">
        <v>547</v>
      </c>
    </row>
    <row r="83" spans="1:5" x14ac:dyDescent="0.25">
      <c r="A83" s="14">
        <v>42515.970243055555</v>
      </c>
      <c r="B83" t="s">
        <v>103</v>
      </c>
      <c r="C83" t="s">
        <v>535</v>
      </c>
      <c r="D83">
        <v>1180000</v>
      </c>
      <c r="E83" t="s">
        <v>550</v>
      </c>
    </row>
    <row r="84" spans="1:5" x14ac:dyDescent="0.25">
      <c r="A84" s="14">
        <v>42515.401273148149</v>
      </c>
      <c r="B84" t="s">
        <v>114</v>
      </c>
      <c r="C84" t="s">
        <v>408</v>
      </c>
      <c r="D84">
        <v>1290000</v>
      </c>
      <c r="E84" t="s">
        <v>148</v>
      </c>
    </row>
    <row r="85" spans="1:5" x14ac:dyDescent="0.25">
      <c r="A85" s="14">
        <v>42516.017962962964</v>
      </c>
      <c r="B85" t="s">
        <v>114</v>
      </c>
      <c r="C85" t="s">
        <v>540</v>
      </c>
      <c r="D85">
        <v>1240000</v>
      </c>
      <c r="E85" t="s">
        <v>545</v>
      </c>
    </row>
    <row r="86" spans="1:5" x14ac:dyDescent="0.25">
      <c r="A86" s="14">
        <v>42515.256851851853</v>
      </c>
      <c r="B86" t="s">
        <v>114</v>
      </c>
      <c r="C86" t="s">
        <v>370</v>
      </c>
      <c r="D86">
        <v>1290000</v>
      </c>
      <c r="E86" t="s">
        <v>148</v>
      </c>
    </row>
    <row r="87" spans="1:5" x14ac:dyDescent="0.25">
      <c r="A87" s="14">
        <v>42516.032719907409</v>
      </c>
      <c r="B87" t="s">
        <v>115</v>
      </c>
      <c r="C87" t="s">
        <v>538</v>
      </c>
      <c r="D87">
        <v>1750000</v>
      </c>
      <c r="E87" t="s">
        <v>101</v>
      </c>
    </row>
    <row r="88" spans="1:5" x14ac:dyDescent="0.25">
      <c r="A88" s="14">
        <v>42515.014178240737</v>
      </c>
      <c r="B88" t="s">
        <v>130</v>
      </c>
      <c r="C88" t="s">
        <v>570</v>
      </c>
      <c r="D88">
        <v>1280000</v>
      </c>
      <c r="E88" t="s">
        <v>63</v>
      </c>
    </row>
    <row r="89" spans="1:5" x14ac:dyDescent="0.25">
      <c r="A89" s="14">
        <v>42516.207800925928</v>
      </c>
      <c r="B89" t="s">
        <v>126</v>
      </c>
      <c r="C89" t="s">
        <v>571</v>
      </c>
      <c r="D89">
        <v>1100000</v>
      </c>
      <c r="E89" t="s">
        <v>122</v>
      </c>
    </row>
    <row r="90" spans="1:5" x14ac:dyDescent="0.25">
      <c r="A90" s="14">
        <v>42514.974988425929</v>
      </c>
      <c r="B90" t="s">
        <v>129</v>
      </c>
      <c r="C90" t="s">
        <v>567</v>
      </c>
      <c r="D90">
        <v>1180000</v>
      </c>
      <c r="E90" t="s">
        <v>550</v>
      </c>
    </row>
    <row r="91" spans="1:5" x14ac:dyDescent="0.25">
      <c r="A91" s="14">
        <v>42516.235925925925</v>
      </c>
      <c r="B91" t="s">
        <v>149</v>
      </c>
      <c r="C91" t="s">
        <v>561</v>
      </c>
      <c r="D91">
        <v>1110000</v>
      </c>
      <c r="E91" t="s">
        <v>121</v>
      </c>
    </row>
    <row r="92" spans="1:5" x14ac:dyDescent="0.25">
      <c r="A92" s="14">
        <v>42516.054710648146</v>
      </c>
      <c r="B92" t="s">
        <v>124</v>
      </c>
      <c r="C92" t="s">
        <v>543</v>
      </c>
      <c r="D92">
        <v>1240000</v>
      </c>
      <c r="E92" t="s">
        <v>545</v>
      </c>
    </row>
    <row r="93" spans="1:5" x14ac:dyDescent="0.25">
      <c r="A93" s="14">
        <v>42516.255624999998</v>
      </c>
      <c r="B93" t="s">
        <v>90</v>
      </c>
      <c r="C93" t="s">
        <v>572</v>
      </c>
      <c r="D93">
        <v>1360000</v>
      </c>
      <c r="E93" t="s">
        <v>194</v>
      </c>
    </row>
    <row r="94" spans="1:5" x14ac:dyDescent="0.25">
      <c r="A94" s="14">
        <v>42515.793865740743</v>
      </c>
      <c r="B94" t="s">
        <v>115</v>
      </c>
      <c r="C94" t="s">
        <v>508</v>
      </c>
      <c r="D94">
        <v>1750000</v>
      </c>
      <c r="E94" t="s">
        <v>101</v>
      </c>
    </row>
    <row r="95" spans="1:5" x14ac:dyDescent="0.25">
      <c r="A95" s="14">
        <v>42515.276701388888</v>
      </c>
      <c r="B95" t="s">
        <v>150</v>
      </c>
      <c r="C95" t="s">
        <v>368</v>
      </c>
      <c r="D95">
        <v>1230000</v>
      </c>
      <c r="E95" t="s">
        <v>547</v>
      </c>
    </row>
    <row r="96" spans="1:5" x14ac:dyDescent="0.25">
      <c r="A96" s="14">
        <v>42515.692291666666</v>
      </c>
      <c r="B96" t="s">
        <v>65</v>
      </c>
      <c r="C96" t="s">
        <v>482</v>
      </c>
      <c r="D96">
        <v>880000</v>
      </c>
      <c r="E96" t="s">
        <v>105</v>
      </c>
    </row>
    <row r="97" spans="1:5" x14ac:dyDescent="0.25">
      <c r="A97" s="14">
        <v>42515.292893518519</v>
      </c>
      <c r="B97" t="s">
        <v>124</v>
      </c>
      <c r="C97" t="s">
        <v>371</v>
      </c>
      <c r="D97">
        <v>1290000</v>
      </c>
      <c r="E97" t="s">
        <v>148</v>
      </c>
    </row>
    <row r="98" spans="1:5" x14ac:dyDescent="0.25">
      <c r="A98" s="14">
        <v>42515.663622685184</v>
      </c>
      <c r="B98" t="s">
        <v>286</v>
      </c>
      <c r="C98" t="s">
        <v>478</v>
      </c>
      <c r="D98">
        <v>1490000</v>
      </c>
      <c r="E98" t="s">
        <v>549</v>
      </c>
    </row>
    <row r="99" spans="1:5" x14ac:dyDescent="0.25">
      <c r="A99" s="14">
        <v>42515.506574074076</v>
      </c>
      <c r="B99" t="s">
        <v>64</v>
      </c>
      <c r="C99" t="s">
        <v>444</v>
      </c>
      <c r="D99">
        <v>880000</v>
      </c>
      <c r="E99" t="s">
        <v>105</v>
      </c>
    </row>
    <row r="100" spans="1:5" x14ac:dyDescent="0.25">
      <c r="A100" s="14">
        <v>42515.579131944447</v>
      </c>
      <c r="B100" t="s">
        <v>264</v>
      </c>
      <c r="C100" t="s">
        <v>320</v>
      </c>
      <c r="D100">
        <v>1090000</v>
      </c>
      <c r="E100" t="s">
        <v>169</v>
      </c>
    </row>
    <row r="101" spans="1:5" x14ac:dyDescent="0.25">
      <c r="A101" s="14">
        <v>42516.174467592595</v>
      </c>
      <c r="B101" t="s">
        <v>108</v>
      </c>
      <c r="C101" t="s">
        <v>573</v>
      </c>
      <c r="D101">
        <v>1290000</v>
      </c>
      <c r="E101" t="s">
        <v>148</v>
      </c>
    </row>
    <row r="102" spans="1:5" x14ac:dyDescent="0.25">
      <c r="A102" s="14">
        <v>42515.474085648151</v>
      </c>
      <c r="B102" t="s">
        <v>116</v>
      </c>
      <c r="C102" t="s">
        <v>422</v>
      </c>
      <c r="D102">
        <v>890000</v>
      </c>
      <c r="E102" t="s">
        <v>281</v>
      </c>
    </row>
    <row r="103" spans="1:5" x14ac:dyDescent="0.25">
      <c r="A103" s="14">
        <v>42515.036273148151</v>
      </c>
      <c r="B103" t="s">
        <v>128</v>
      </c>
      <c r="C103" t="s">
        <v>551</v>
      </c>
      <c r="D103">
        <v>1180000</v>
      </c>
      <c r="E103" t="s">
        <v>550</v>
      </c>
    </row>
    <row r="104" spans="1:5" x14ac:dyDescent="0.25">
      <c r="A104" s="14">
        <v>42515.473958333336</v>
      </c>
      <c r="B104" t="s">
        <v>114</v>
      </c>
      <c r="C104" t="s">
        <v>430</v>
      </c>
      <c r="D104">
        <v>1830000</v>
      </c>
      <c r="E104" t="s">
        <v>131</v>
      </c>
    </row>
    <row r="105" spans="1:5" x14ac:dyDescent="0.25">
      <c r="A105" s="14">
        <v>42515.28634259259</v>
      </c>
      <c r="B105" t="s">
        <v>64</v>
      </c>
      <c r="C105" t="s">
        <v>314</v>
      </c>
      <c r="D105">
        <v>1430000</v>
      </c>
      <c r="E105" t="s">
        <v>123</v>
      </c>
    </row>
    <row r="106" spans="1:5" x14ac:dyDescent="0.25">
      <c r="A106" s="14">
        <v>42515.460995370369</v>
      </c>
      <c r="B106" t="s">
        <v>89</v>
      </c>
      <c r="C106" t="s">
        <v>317</v>
      </c>
      <c r="D106">
        <v>1090000</v>
      </c>
      <c r="E106" t="s">
        <v>169</v>
      </c>
    </row>
    <row r="107" spans="1:5" x14ac:dyDescent="0.25">
      <c r="A107" s="14">
        <v>42515.348749999997</v>
      </c>
      <c r="B107" t="s">
        <v>150</v>
      </c>
      <c r="C107" t="s">
        <v>384</v>
      </c>
      <c r="D107">
        <v>1230000</v>
      </c>
      <c r="E107" t="s">
        <v>547</v>
      </c>
    </row>
    <row r="108" spans="1:5" x14ac:dyDescent="0.25">
      <c r="A108" s="14">
        <v>42515.42291666667</v>
      </c>
      <c r="B108" t="s">
        <v>90</v>
      </c>
      <c r="C108" t="s">
        <v>414</v>
      </c>
      <c r="D108">
        <v>1090000</v>
      </c>
      <c r="E108" t="s">
        <v>169</v>
      </c>
    </row>
    <row r="109" spans="1:5" x14ac:dyDescent="0.25">
      <c r="A109" s="14">
        <v>42515.37462962963</v>
      </c>
      <c r="B109" t="s">
        <v>286</v>
      </c>
      <c r="C109" t="s">
        <v>315</v>
      </c>
      <c r="D109">
        <v>1260000</v>
      </c>
      <c r="E109" t="s">
        <v>273</v>
      </c>
    </row>
    <row r="110" spans="1:5" x14ac:dyDescent="0.25">
      <c r="A110" s="14">
        <v>42515.389803240738</v>
      </c>
      <c r="B110" t="s">
        <v>89</v>
      </c>
      <c r="C110" t="s">
        <v>397</v>
      </c>
      <c r="D110">
        <v>1190000</v>
      </c>
      <c r="E110" t="s">
        <v>279</v>
      </c>
    </row>
    <row r="111" spans="1:5" x14ac:dyDescent="0.25">
      <c r="A111" s="14">
        <v>42515.466770833336</v>
      </c>
      <c r="B111" t="s">
        <v>116</v>
      </c>
      <c r="C111" t="s">
        <v>422</v>
      </c>
      <c r="D111">
        <v>890000</v>
      </c>
      <c r="E111" t="s">
        <v>281</v>
      </c>
    </row>
    <row r="112" spans="1:5" x14ac:dyDescent="0.25">
      <c r="A112" s="14">
        <v>42515.212916666664</v>
      </c>
      <c r="B112" t="s">
        <v>263</v>
      </c>
      <c r="C112" t="s">
        <v>310</v>
      </c>
      <c r="D112">
        <v>1100000</v>
      </c>
      <c r="E112" t="s">
        <v>122</v>
      </c>
    </row>
    <row r="113" spans="1:5" x14ac:dyDescent="0.25">
      <c r="A113" s="14">
        <v>42515.620185185187</v>
      </c>
      <c r="B113" t="s">
        <v>114</v>
      </c>
      <c r="C113" t="s">
        <v>474</v>
      </c>
      <c r="D113">
        <v>1830000</v>
      </c>
      <c r="E113" t="s">
        <v>131</v>
      </c>
    </row>
    <row r="114" spans="1:5" x14ac:dyDescent="0.25">
      <c r="A114" s="14">
        <v>42514.828622685185</v>
      </c>
      <c r="B114" t="s">
        <v>112</v>
      </c>
      <c r="C114" t="s">
        <v>574</v>
      </c>
      <c r="D114">
        <v>1750000</v>
      </c>
      <c r="E114" t="s">
        <v>101</v>
      </c>
    </row>
    <row r="115" spans="1:5" x14ac:dyDescent="0.25">
      <c r="A115" s="14">
        <v>42515.780624999999</v>
      </c>
      <c r="B115" t="s">
        <v>150</v>
      </c>
      <c r="C115" t="s">
        <v>332</v>
      </c>
      <c r="D115">
        <v>1140000</v>
      </c>
      <c r="E115" t="s">
        <v>62</v>
      </c>
    </row>
    <row r="116" spans="1:5" x14ac:dyDescent="0.25">
      <c r="A116" s="14">
        <v>42515.867847222224</v>
      </c>
      <c r="B116" t="s">
        <v>115</v>
      </c>
      <c r="C116" t="s">
        <v>517</v>
      </c>
      <c r="D116">
        <v>1750000</v>
      </c>
      <c r="E116" t="s">
        <v>101</v>
      </c>
    </row>
    <row r="117" spans="1:5" x14ac:dyDescent="0.25">
      <c r="A117" s="14">
        <v>42515.518750000003</v>
      </c>
      <c r="B117" t="s">
        <v>115</v>
      </c>
      <c r="C117" t="s">
        <v>426</v>
      </c>
      <c r="D117">
        <v>890000</v>
      </c>
      <c r="E117" t="s">
        <v>281</v>
      </c>
    </row>
    <row r="118" spans="1:5" x14ac:dyDescent="0.25">
      <c r="A118" s="14">
        <v>42515.718981481485</v>
      </c>
      <c r="B118" t="s">
        <v>115</v>
      </c>
      <c r="C118" t="s">
        <v>493</v>
      </c>
      <c r="D118">
        <v>890000</v>
      </c>
      <c r="E118" t="s">
        <v>281</v>
      </c>
    </row>
    <row r="119" spans="1:5" x14ac:dyDescent="0.25">
      <c r="A119" s="14">
        <v>42515.52820601852</v>
      </c>
      <c r="B119" t="s">
        <v>149</v>
      </c>
      <c r="C119" t="s">
        <v>451</v>
      </c>
      <c r="D119">
        <v>1140000</v>
      </c>
      <c r="E119" t="s">
        <v>62</v>
      </c>
    </row>
    <row r="120" spans="1:5" x14ac:dyDescent="0.25">
      <c r="A120" s="14">
        <v>42515.692523148151</v>
      </c>
      <c r="B120" t="s">
        <v>114</v>
      </c>
      <c r="C120" t="s">
        <v>495</v>
      </c>
      <c r="D120">
        <v>940000</v>
      </c>
      <c r="E120" t="s">
        <v>575</v>
      </c>
    </row>
    <row r="121" spans="1:5" x14ac:dyDescent="0.25">
      <c r="A121" s="14">
        <v>42515.547025462962</v>
      </c>
      <c r="B121" t="s">
        <v>65</v>
      </c>
      <c r="C121" t="s">
        <v>447</v>
      </c>
      <c r="D121">
        <v>880000</v>
      </c>
      <c r="E121" t="s">
        <v>105</v>
      </c>
    </row>
    <row r="122" spans="1:5" x14ac:dyDescent="0.25">
      <c r="A122" s="14">
        <v>42515.55872685185</v>
      </c>
      <c r="B122" t="s">
        <v>284</v>
      </c>
      <c r="C122" t="s">
        <v>459</v>
      </c>
      <c r="D122">
        <v>1490000</v>
      </c>
      <c r="E122" t="s">
        <v>549</v>
      </c>
    </row>
    <row r="123" spans="1:5" x14ac:dyDescent="0.25">
      <c r="A123" s="14">
        <v>42515.684907407405</v>
      </c>
      <c r="B123" t="s">
        <v>116</v>
      </c>
      <c r="C123" t="s">
        <v>491</v>
      </c>
      <c r="D123">
        <v>890000</v>
      </c>
      <c r="E123" t="s">
        <v>281</v>
      </c>
    </row>
    <row r="124" spans="1:5" x14ac:dyDescent="0.25">
      <c r="A124" s="14">
        <v>42515.390914351854</v>
      </c>
      <c r="B124" t="s">
        <v>116</v>
      </c>
      <c r="C124" t="s">
        <v>405</v>
      </c>
      <c r="D124">
        <v>1100000</v>
      </c>
      <c r="E124" t="s">
        <v>122</v>
      </c>
    </row>
    <row r="125" spans="1:5" x14ac:dyDescent="0.25">
      <c r="A125" s="14">
        <v>42515.933425925927</v>
      </c>
      <c r="B125" t="s">
        <v>114</v>
      </c>
      <c r="C125" t="s">
        <v>528</v>
      </c>
      <c r="D125">
        <v>1240000</v>
      </c>
      <c r="E125" t="s">
        <v>545</v>
      </c>
    </row>
    <row r="126" spans="1:5" x14ac:dyDescent="0.25">
      <c r="A126" s="14">
        <v>42515.969907407409</v>
      </c>
      <c r="B126" t="s">
        <v>124</v>
      </c>
      <c r="C126" t="s">
        <v>530</v>
      </c>
      <c r="D126">
        <v>1240000</v>
      </c>
      <c r="E126" t="s">
        <v>545</v>
      </c>
    </row>
    <row r="127" spans="1:5" x14ac:dyDescent="0.25">
      <c r="A127" s="14">
        <v>42515.206342592595</v>
      </c>
      <c r="B127" t="s">
        <v>64</v>
      </c>
      <c r="C127" t="s">
        <v>362</v>
      </c>
      <c r="D127">
        <v>1430000</v>
      </c>
      <c r="E127" t="s">
        <v>123</v>
      </c>
    </row>
    <row r="128" spans="1:5" x14ac:dyDescent="0.25">
      <c r="A128" s="14">
        <v>42515.710601851853</v>
      </c>
      <c r="B128" t="s">
        <v>150</v>
      </c>
      <c r="C128" t="s">
        <v>489</v>
      </c>
      <c r="D128">
        <v>1140000</v>
      </c>
      <c r="E128" t="s">
        <v>62</v>
      </c>
    </row>
    <row r="129" spans="1:5" x14ac:dyDescent="0.25">
      <c r="A129" s="14">
        <v>42515.285891203705</v>
      </c>
      <c r="B129" t="s">
        <v>115</v>
      </c>
      <c r="C129" t="s">
        <v>369</v>
      </c>
      <c r="D129">
        <v>1100000</v>
      </c>
      <c r="E129" t="s">
        <v>122</v>
      </c>
    </row>
    <row r="130" spans="1:5" x14ac:dyDescent="0.25">
      <c r="A130" s="14">
        <v>42515.683564814812</v>
      </c>
      <c r="B130" t="s">
        <v>263</v>
      </c>
      <c r="C130" t="s">
        <v>326</v>
      </c>
      <c r="D130">
        <v>1090000</v>
      </c>
      <c r="E130" t="s">
        <v>169</v>
      </c>
    </row>
    <row r="131" spans="1:5" x14ac:dyDescent="0.25">
      <c r="A131" s="14">
        <v>42515.368993055556</v>
      </c>
      <c r="B131" t="s">
        <v>124</v>
      </c>
      <c r="C131" t="s">
        <v>391</v>
      </c>
      <c r="D131">
        <v>1290000</v>
      </c>
      <c r="E131" t="s">
        <v>148</v>
      </c>
    </row>
    <row r="132" spans="1:5" x14ac:dyDescent="0.25">
      <c r="A132" s="14">
        <v>42516.238703703704</v>
      </c>
      <c r="B132" t="s">
        <v>149</v>
      </c>
      <c r="C132" t="s">
        <v>561</v>
      </c>
      <c r="D132">
        <v>1110000</v>
      </c>
      <c r="E132" t="s">
        <v>121</v>
      </c>
    </row>
    <row r="133" spans="1:5" x14ac:dyDescent="0.25">
      <c r="A133" s="14">
        <v>42515.522002314814</v>
      </c>
      <c r="B133" t="s">
        <v>286</v>
      </c>
      <c r="C133" t="s">
        <v>439</v>
      </c>
      <c r="D133">
        <v>1490000</v>
      </c>
      <c r="E133" t="s">
        <v>549</v>
      </c>
    </row>
    <row r="134" spans="1:5" x14ac:dyDescent="0.25">
      <c r="A134" s="14">
        <v>42516.011655092596</v>
      </c>
      <c r="B134" t="s">
        <v>104</v>
      </c>
      <c r="C134" t="s">
        <v>337</v>
      </c>
      <c r="D134">
        <v>1180000</v>
      </c>
      <c r="E134" t="s">
        <v>550</v>
      </c>
    </row>
    <row r="135" spans="1:5" x14ac:dyDescent="0.25">
      <c r="A135" s="14">
        <v>42515.672939814816</v>
      </c>
      <c r="B135" t="s">
        <v>149</v>
      </c>
      <c r="C135" t="s">
        <v>488</v>
      </c>
      <c r="D135">
        <v>1140000</v>
      </c>
      <c r="E135" t="s">
        <v>62</v>
      </c>
    </row>
    <row r="136" spans="1:5" x14ac:dyDescent="0.25">
      <c r="A136" s="14">
        <v>42515.740567129629</v>
      </c>
      <c r="B136" t="s">
        <v>286</v>
      </c>
      <c r="C136" t="s">
        <v>499</v>
      </c>
      <c r="D136">
        <v>1490000</v>
      </c>
      <c r="E136" t="s">
        <v>549</v>
      </c>
    </row>
    <row r="137" spans="1:5" x14ac:dyDescent="0.25">
      <c r="A137" s="14">
        <v>42515.79005787037</v>
      </c>
      <c r="B137" t="s">
        <v>264</v>
      </c>
      <c r="C137" t="s">
        <v>331</v>
      </c>
      <c r="D137">
        <v>1740000</v>
      </c>
      <c r="E137" t="s">
        <v>98</v>
      </c>
    </row>
    <row r="138" spans="1:5" x14ac:dyDescent="0.25">
      <c r="A138" s="14">
        <v>42516.191874999997</v>
      </c>
      <c r="B138" t="s">
        <v>282</v>
      </c>
      <c r="C138" t="s">
        <v>576</v>
      </c>
      <c r="D138">
        <v>1460000</v>
      </c>
      <c r="E138" t="s">
        <v>277</v>
      </c>
    </row>
    <row r="139" spans="1:5" x14ac:dyDescent="0.25">
      <c r="A139" s="14">
        <v>42515.828449074077</v>
      </c>
      <c r="B139" t="s">
        <v>116</v>
      </c>
      <c r="C139" t="s">
        <v>516</v>
      </c>
      <c r="D139">
        <v>1750000</v>
      </c>
      <c r="E139" t="s">
        <v>101</v>
      </c>
    </row>
    <row r="140" spans="1:5" x14ac:dyDescent="0.25">
      <c r="A140" s="14">
        <v>42515.948622685188</v>
      </c>
      <c r="B140" t="s">
        <v>115</v>
      </c>
      <c r="C140" t="s">
        <v>527</v>
      </c>
      <c r="D140">
        <v>1750000</v>
      </c>
      <c r="E140" t="s">
        <v>101</v>
      </c>
    </row>
    <row r="141" spans="1:5" x14ac:dyDescent="0.25">
      <c r="A141" s="14">
        <v>42516.276284722226</v>
      </c>
      <c r="B141" t="s">
        <v>126</v>
      </c>
      <c r="C141" t="s">
        <v>577</v>
      </c>
      <c r="D141">
        <v>1100000</v>
      </c>
      <c r="E141" t="s">
        <v>122</v>
      </c>
    </row>
    <row r="142" spans="1:5" x14ac:dyDescent="0.25">
      <c r="A142" s="14">
        <v>42515.768587962964</v>
      </c>
      <c r="B142" t="s">
        <v>114</v>
      </c>
      <c r="C142" t="s">
        <v>510</v>
      </c>
      <c r="D142">
        <v>1240000</v>
      </c>
      <c r="E142" t="s">
        <v>545</v>
      </c>
    </row>
    <row r="143" spans="1:5" x14ac:dyDescent="0.25">
      <c r="A143" s="14">
        <v>42516.294398148151</v>
      </c>
      <c r="B143" t="s">
        <v>89</v>
      </c>
      <c r="C143" t="s">
        <v>578</v>
      </c>
      <c r="D143">
        <v>1360000</v>
      </c>
      <c r="E143" t="s">
        <v>194</v>
      </c>
    </row>
    <row r="144" spans="1:5" x14ac:dyDescent="0.25">
      <c r="A144" s="14">
        <v>42516.172118055554</v>
      </c>
      <c r="B144" t="s">
        <v>130</v>
      </c>
      <c r="C144" t="s">
        <v>579</v>
      </c>
      <c r="D144">
        <v>1430000</v>
      </c>
      <c r="E144" t="s">
        <v>123</v>
      </c>
    </row>
    <row r="145" spans="1:5" x14ac:dyDescent="0.25">
      <c r="A145" s="14">
        <v>42515.59412037037</v>
      </c>
      <c r="B145" t="s">
        <v>286</v>
      </c>
      <c r="C145" t="s">
        <v>461</v>
      </c>
      <c r="D145">
        <v>1490000</v>
      </c>
      <c r="E145" t="s">
        <v>549</v>
      </c>
    </row>
    <row r="146" spans="1:5" x14ac:dyDescent="0.25">
      <c r="A146" s="14">
        <v>42515.965243055558</v>
      </c>
      <c r="B146" t="s">
        <v>264</v>
      </c>
      <c r="C146" t="s">
        <v>531</v>
      </c>
      <c r="D146">
        <v>1740000</v>
      </c>
      <c r="E146" t="s">
        <v>98</v>
      </c>
    </row>
    <row r="147" spans="1:5" x14ac:dyDescent="0.25">
      <c r="A147" s="14">
        <v>42515.613263888888</v>
      </c>
      <c r="B147" t="s">
        <v>263</v>
      </c>
      <c r="C147" t="s">
        <v>463</v>
      </c>
      <c r="D147">
        <v>1090000</v>
      </c>
      <c r="E147" t="s">
        <v>169</v>
      </c>
    </row>
    <row r="148" spans="1:5" x14ac:dyDescent="0.25">
      <c r="A148" s="14">
        <v>42515.747800925928</v>
      </c>
      <c r="B148" t="s">
        <v>149</v>
      </c>
      <c r="C148" t="s">
        <v>506</v>
      </c>
      <c r="D148">
        <v>1140000</v>
      </c>
      <c r="E148" t="s">
        <v>62</v>
      </c>
    </row>
    <row r="149" spans="1:5" x14ac:dyDescent="0.25">
      <c r="A149" s="14">
        <v>42515.807997685188</v>
      </c>
      <c r="B149" t="s">
        <v>103</v>
      </c>
      <c r="C149" t="s">
        <v>333</v>
      </c>
      <c r="D149">
        <v>1180000</v>
      </c>
      <c r="E149" t="s">
        <v>550</v>
      </c>
    </row>
    <row r="150" spans="1:5" x14ac:dyDescent="0.25">
      <c r="A150" s="14">
        <v>42515.718831018516</v>
      </c>
      <c r="B150" t="s">
        <v>264</v>
      </c>
      <c r="C150" t="s">
        <v>500</v>
      </c>
      <c r="D150">
        <v>1740000</v>
      </c>
      <c r="E150" t="s">
        <v>98</v>
      </c>
    </row>
    <row r="151" spans="1:5" x14ac:dyDescent="0.25">
      <c r="A151" s="14">
        <v>42515.994884259257</v>
      </c>
      <c r="B151" t="s">
        <v>263</v>
      </c>
      <c r="C151" t="s">
        <v>336</v>
      </c>
      <c r="D151">
        <v>1740000</v>
      </c>
      <c r="E151" t="s">
        <v>98</v>
      </c>
    </row>
    <row r="152" spans="1:5" x14ac:dyDescent="0.25">
      <c r="A152" s="14">
        <v>42516.222013888888</v>
      </c>
      <c r="B152" t="s">
        <v>89</v>
      </c>
      <c r="C152" t="s">
        <v>580</v>
      </c>
      <c r="D152">
        <v>1360000</v>
      </c>
      <c r="E152" t="s">
        <v>194</v>
      </c>
    </row>
    <row r="153" spans="1:5" x14ac:dyDescent="0.25">
      <c r="A153" s="14">
        <v>42514.870729166665</v>
      </c>
      <c r="B153" t="s">
        <v>126</v>
      </c>
      <c r="C153" t="s">
        <v>581</v>
      </c>
      <c r="D153">
        <v>1240000</v>
      </c>
      <c r="E153" t="s">
        <v>545</v>
      </c>
    </row>
    <row r="154" spans="1:5" x14ac:dyDescent="0.25">
      <c r="A154" s="14">
        <v>42515.757291666669</v>
      </c>
      <c r="B154" t="s">
        <v>116</v>
      </c>
      <c r="C154" t="s">
        <v>507</v>
      </c>
      <c r="D154">
        <v>1750000</v>
      </c>
      <c r="E154" t="s">
        <v>101</v>
      </c>
    </row>
    <row r="155" spans="1:5" x14ac:dyDescent="0.25">
      <c r="A155" s="14">
        <v>42514.897002314814</v>
      </c>
      <c r="B155" t="s">
        <v>125</v>
      </c>
      <c r="C155" t="s">
        <v>582</v>
      </c>
      <c r="D155">
        <v>1240000</v>
      </c>
      <c r="E155" t="s">
        <v>545</v>
      </c>
    </row>
    <row r="156" spans="1:5" x14ac:dyDescent="0.25">
      <c r="A156" s="14">
        <v>42515.716423611113</v>
      </c>
      <c r="B156" t="s">
        <v>264</v>
      </c>
      <c r="C156" t="s">
        <v>500</v>
      </c>
      <c r="D156">
        <v>1740000</v>
      </c>
      <c r="E156" t="s">
        <v>98</v>
      </c>
    </row>
    <row r="157" spans="1:5" x14ac:dyDescent="0.25">
      <c r="A157" s="14">
        <v>42515.234247685185</v>
      </c>
      <c r="B157" t="s">
        <v>149</v>
      </c>
      <c r="C157" t="s">
        <v>366</v>
      </c>
      <c r="D157">
        <v>1230000</v>
      </c>
      <c r="E157" t="s">
        <v>547</v>
      </c>
    </row>
    <row r="158" spans="1:5" x14ac:dyDescent="0.25">
      <c r="A158" s="14">
        <v>42516.016932870371</v>
      </c>
      <c r="B158" t="s">
        <v>114</v>
      </c>
      <c r="C158" t="s">
        <v>540</v>
      </c>
      <c r="D158">
        <v>1240000</v>
      </c>
      <c r="E158" t="s">
        <v>545</v>
      </c>
    </row>
    <row r="159" spans="1:5" x14ac:dyDescent="0.25">
      <c r="A159" s="14">
        <v>42515.192569444444</v>
      </c>
      <c r="B159" t="s">
        <v>284</v>
      </c>
      <c r="C159" t="s">
        <v>356</v>
      </c>
      <c r="D159">
        <v>1260000</v>
      </c>
      <c r="E159" t="s">
        <v>273</v>
      </c>
    </row>
    <row r="160" spans="1:5" x14ac:dyDescent="0.25">
      <c r="A160" s="14">
        <v>42515.764398148145</v>
      </c>
      <c r="B160" t="s">
        <v>65</v>
      </c>
      <c r="C160" t="s">
        <v>503</v>
      </c>
      <c r="D160">
        <v>880000</v>
      </c>
      <c r="E160" t="s">
        <v>105</v>
      </c>
    </row>
    <row r="161" spans="1:5" x14ac:dyDescent="0.25">
      <c r="A161" s="14">
        <v>42514.875462962962</v>
      </c>
      <c r="B161" t="s">
        <v>128</v>
      </c>
      <c r="C161" t="s">
        <v>583</v>
      </c>
      <c r="D161">
        <v>1180000</v>
      </c>
      <c r="E161" t="s">
        <v>550</v>
      </c>
    </row>
    <row r="162" spans="1:5" x14ac:dyDescent="0.25">
      <c r="A162" s="14">
        <v>42516.301469907405</v>
      </c>
      <c r="B162" t="s">
        <v>280</v>
      </c>
      <c r="C162" t="s">
        <v>584</v>
      </c>
      <c r="D162">
        <v>1460000</v>
      </c>
      <c r="E162" t="s">
        <v>277</v>
      </c>
    </row>
    <row r="163" spans="1:5" x14ac:dyDescent="0.25">
      <c r="A163" s="14">
        <v>42514.851504629631</v>
      </c>
      <c r="B163" t="s">
        <v>129</v>
      </c>
      <c r="C163" t="s">
        <v>585</v>
      </c>
      <c r="D163">
        <v>1180000</v>
      </c>
      <c r="E163" t="s">
        <v>550</v>
      </c>
    </row>
    <row r="164" spans="1:5" x14ac:dyDescent="0.25">
      <c r="A164" s="14">
        <v>42515.442511574074</v>
      </c>
      <c r="B164" t="s">
        <v>124</v>
      </c>
      <c r="C164" t="s">
        <v>410</v>
      </c>
      <c r="D164">
        <v>1290000</v>
      </c>
      <c r="E164" t="s">
        <v>148</v>
      </c>
    </row>
    <row r="165" spans="1:5" x14ac:dyDescent="0.25">
      <c r="A165" s="14">
        <v>42515.20517361111</v>
      </c>
      <c r="B165" t="s">
        <v>90</v>
      </c>
      <c r="C165" t="s">
        <v>309</v>
      </c>
      <c r="D165">
        <v>1190000</v>
      </c>
      <c r="E165" t="s">
        <v>279</v>
      </c>
    </row>
    <row r="166" spans="1:5" x14ac:dyDescent="0.25">
      <c r="A166" s="14">
        <v>42515.318692129629</v>
      </c>
      <c r="B166" t="s">
        <v>116</v>
      </c>
      <c r="C166" t="s">
        <v>385</v>
      </c>
      <c r="D166">
        <v>1100000</v>
      </c>
      <c r="E166" t="s">
        <v>122</v>
      </c>
    </row>
    <row r="167" spans="1:5" x14ac:dyDescent="0.25">
      <c r="A167" s="14">
        <v>42514.997083333335</v>
      </c>
      <c r="B167" t="s">
        <v>126</v>
      </c>
      <c r="C167" t="s">
        <v>586</v>
      </c>
      <c r="D167">
        <v>1240000</v>
      </c>
      <c r="E167" t="s">
        <v>545</v>
      </c>
    </row>
    <row r="168" spans="1:5" x14ac:dyDescent="0.25">
      <c r="A168" s="14">
        <v>42515.267777777779</v>
      </c>
      <c r="B168" t="s">
        <v>284</v>
      </c>
      <c r="C168" t="s">
        <v>372</v>
      </c>
      <c r="D168">
        <v>1260000</v>
      </c>
      <c r="E168" t="s">
        <v>273</v>
      </c>
    </row>
    <row r="169" spans="1:5" x14ac:dyDescent="0.25">
      <c r="A169" s="14">
        <v>42515.096932870372</v>
      </c>
      <c r="B169" t="s">
        <v>133</v>
      </c>
      <c r="C169" t="s">
        <v>542</v>
      </c>
      <c r="D169">
        <v>1280000</v>
      </c>
      <c r="E169" t="s">
        <v>63</v>
      </c>
    </row>
    <row r="170" spans="1:5" x14ac:dyDescent="0.25">
      <c r="A170" s="14">
        <v>42515.132685185185</v>
      </c>
      <c r="B170" t="s">
        <v>90</v>
      </c>
      <c r="C170" t="s">
        <v>338</v>
      </c>
      <c r="D170">
        <v>1430000</v>
      </c>
      <c r="E170" t="s">
        <v>123</v>
      </c>
    </row>
    <row r="171" spans="1:5" x14ac:dyDescent="0.25">
      <c r="A171" s="14">
        <v>42515.17260416667</v>
      </c>
      <c r="B171" t="s">
        <v>116</v>
      </c>
      <c r="C171" t="s">
        <v>348</v>
      </c>
      <c r="D171">
        <v>1100000</v>
      </c>
      <c r="E171" t="s">
        <v>122</v>
      </c>
    </row>
    <row r="172" spans="1:5" x14ac:dyDescent="0.25">
      <c r="A172" s="14">
        <v>42515.5778125</v>
      </c>
      <c r="B172" t="s">
        <v>264</v>
      </c>
      <c r="C172" t="s">
        <v>320</v>
      </c>
      <c r="D172">
        <v>1090000</v>
      </c>
      <c r="E172" t="s">
        <v>169</v>
      </c>
    </row>
    <row r="173" spans="1:5" x14ac:dyDescent="0.25">
      <c r="A173" s="14">
        <v>42514.960162037038</v>
      </c>
      <c r="B173" t="s">
        <v>133</v>
      </c>
      <c r="C173" t="s">
        <v>587</v>
      </c>
      <c r="D173">
        <v>1280000</v>
      </c>
      <c r="E173" t="s">
        <v>63</v>
      </c>
    </row>
    <row r="174" spans="1:5" x14ac:dyDescent="0.25">
      <c r="A174" s="14">
        <v>42515.07953703704</v>
      </c>
      <c r="B174" t="s">
        <v>133</v>
      </c>
      <c r="C174" t="s">
        <v>542</v>
      </c>
      <c r="D174">
        <v>1280000</v>
      </c>
      <c r="E174" t="s">
        <v>63</v>
      </c>
    </row>
    <row r="175" spans="1:5" x14ac:dyDescent="0.25">
      <c r="A175" s="14">
        <v>42515.266412037039</v>
      </c>
      <c r="B175" t="s">
        <v>284</v>
      </c>
      <c r="C175" t="s">
        <v>372</v>
      </c>
      <c r="D175">
        <v>1260000</v>
      </c>
      <c r="E175" t="s">
        <v>273</v>
      </c>
    </row>
    <row r="176" spans="1:5" x14ac:dyDescent="0.25">
      <c r="A176" s="14">
        <v>42515.603877314818</v>
      </c>
      <c r="B176" t="s">
        <v>149</v>
      </c>
      <c r="C176" t="s">
        <v>469</v>
      </c>
      <c r="D176">
        <v>1140000</v>
      </c>
      <c r="E176" t="s">
        <v>62</v>
      </c>
    </row>
    <row r="177" spans="1:5" x14ac:dyDescent="0.25">
      <c r="A177" s="14">
        <v>42515.181631944448</v>
      </c>
      <c r="B177" t="s">
        <v>114</v>
      </c>
      <c r="C177" t="s">
        <v>353</v>
      </c>
      <c r="D177">
        <v>1290000</v>
      </c>
      <c r="E177" t="s">
        <v>148</v>
      </c>
    </row>
    <row r="178" spans="1:5" x14ac:dyDescent="0.25">
      <c r="A178" s="14">
        <v>42515.488599537035</v>
      </c>
      <c r="B178" t="s">
        <v>150</v>
      </c>
      <c r="C178" t="s">
        <v>420</v>
      </c>
      <c r="D178">
        <v>900000</v>
      </c>
      <c r="E178" t="s">
        <v>285</v>
      </c>
    </row>
    <row r="179" spans="1:5" x14ac:dyDescent="0.25">
      <c r="A179" s="14">
        <v>42515.226793981485</v>
      </c>
      <c r="B179" t="s">
        <v>103</v>
      </c>
      <c r="C179" t="s">
        <v>363</v>
      </c>
      <c r="D179">
        <v>900000</v>
      </c>
      <c r="E179" t="s">
        <v>285</v>
      </c>
    </row>
    <row r="180" spans="1:5" x14ac:dyDescent="0.25">
      <c r="A180" s="14">
        <v>42515.434224537035</v>
      </c>
      <c r="B180" t="s">
        <v>64</v>
      </c>
      <c r="C180" t="s">
        <v>416</v>
      </c>
      <c r="D180">
        <v>1190000</v>
      </c>
      <c r="E180" t="s">
        <v>279</v>
      </c>
    </row>
    <row r="181" spans="1:5" x14ac:dyDescent="0.25">
      <c r="A181" s="14">
        <v>42515.381018518521</v>
      </c>
      <c r="B181" t="s">
        <v>149</v>
      </c>
      <c r="C181" t="s">
        <v>402</v>
      </c>
      <c r="D181">
        <v>1230000</v>
      </c>
      <c r="E181" t="s">
        <v>547</v>
      </c>
    </row>
    <row r="182" spans="1:5" x14ac:dyDescent="0.25">
      <c r="A182" s="14">
        <v>42515.327326388891</v>
      </c>
      <c r="B182" t="s">
        <v>65</v>
      </c>
      <c r="C182" t="s">
        <v>376</v>
      </c>
      <c r="D182">
        <v>1430000</v>
      </c>
      <c r="E182" t="s">
        <v>123</v>
      </c>
    </row>
    <row r="183" spans="1:5" x14ac:dyDescent="0.25">
      <c r="A183" s="14">
        <v>42515.473356481481</v>
      </c>
      <c r="B183" t="s">
        <v>65</v>
      </c>
      <c r="C183" t="s">
        <v>318</v>
      </c>
      <c r="D183">
        <v>1190000</v>
      </c>
      <c r="E183" t="s">
        <v>279</v>
      </c>
    </row>
    <row r="184" spans="1:5" x14ac:dyDescent="0.25">
      <c r="A184" s="14">
        <v>42515.320104166669</v>
      </c>
      <c r="B184" t="s">
        <v>116</v>
      </c>
      <c r="C184" t="s">
        <v>385</v>
      </c>
      <c r="D184">
        <v>1100000</v>
      </c>
      <c r="E184" t="s">
        <v>122</v>
      </c>
    </row>
    <row r="185" spans="1:5" x14ac:dyDescent="0.25">
      <c r="A185" s="14">
        <v>42515.485266203701</v>
      </c>
      <c r="B185" t="s">
        <v>284</v>
      </c>
      <c r="C185" t="s">
        <v>435</v>
      </c>
      <c r="D185">
        <v>1490000</v>
      </c>
      <c r="E185" t="s">
        <v>549</v>
      </c>
    </row>
    <row r="186" spans="1:5" x14ac:dyDescent="0.25">
      <c r="A186" s="14">
        <v>42515.3046412037</v>
      </c>
      <c r="B186" t="s">
        <v>286</v>
      </c>
      <c r="C186" t="s">
        <v>373</v>
      </c>
      <c r="D186">
        <v>1260000</v>
      </c>
      <c r="E186" t="s">
        <v>273</v>
      </c>
    </row>
    <row r="187" spans="1:5" x14ac:dyDescent="0.25">
      <c r="A187" s="14">
        <v>42515.733275462961</v>
      </c>
      <c r="B187" t="s">
        <v>124</v>
      </c>
      <c r="C187" t="s">
        <v>330</v>
      </c>
      <c r="D187">
        <v>940000</v>
      </c>
      <c r="E187" t="s">
        <v>575</v>
      </c>
    </row>
    <row r="188" spans="1:5" x14ac:dyDescent="0.25">
      <c r="A188" s="14">
        <v>42514.838194444441</v>
      </c>
      <c r="B188" t="s">
        <v>125</v>
      </c>
      <c r="C188" t="s">
        <v>588</v>
      </c>
      <c r="D188">
        <v>1240000</v>
      </c>
      <c r="E188" t="s">
        <v>545</v>
      </c>
    </row>
    <row r="189" spans="1:5" x14ac:dyDescent="0.25">
      <c r="A189" s="14">
        <v>42516.213356481479</v>
      </c>
      <c r="B189" t="s">
        <v>110</v>
      </c>
      <c r="C189" t="s">
        <v>589</v>
      </c>
      <c r="D189">
        <v>1290000</v>
      </c>
      <c r="E189" t="s">
        <v>148</v>
      </c>
    </row>
    <row r="190" spans="1:5" x14ac:dyDescent="0.25">
      <c r="A190" s="14">
        <v>42515.247199074074</v>
      </c>
      <c r="B190" t="s">
        <v>116</v>
      </c>
      <c r="C190" t="s">
        <v>311</v>
      </c>
      <c r="D190">
        <v>1100000</v>
      </c>
      <c r="E190" t="s">
        <v>122</v>
      </c>
    </row>
    <row r="191" spans="1:5" x14ac:dyDescent="0.25">
      <c r="A191" s="14">
        <v>42516.248553240737</v>
      </c>
      <c r="B191" t="s">
        <v>130</v>
      </c>
      <c r="C191" t="s">
        <v>590</v>
      </c>
      <c r="D191">
        <v>1430000</v>
      </c>
      <c r="E191" t="s">
        <v>123</v>
      </c>
    </row>
    <row r="192" spans="1:5" x14ac:dyDescent="0.25">
      <c r="A192" s="14">
        <v>42515.03833333333</v>
      </c>
      <c r="B192" t="s">
        <v>113</v>
      </c>
      <c r="C192" t="s">
        <v>553</v>
      </c>
      <c r="D192">
        <v>1750000</v>
      </c>
      <c r="E192" t="s">
        <v>101</v>
      </c>
    </row>
    <row r="193" spans="1:5" x14ac:dyDescent="0.25">
      <c r="A193" s="14">
        <v>42515.593449074076</v>
      </c>
      <c r="B193" t="s">
        <v>103</v>
      </c>
      <c r="C193" t="s">
        <v>467</v>
      </c>
      <c r="D193">
        <v>1470000</v>
      </c>
      <c r="E193" t="s">
        <v>283</v>
      </c>
    </row>
    <row r="194" spans="1:5" x14ac:dyDescent="0.25">
      <c r="A194" s="14">
        <v>42514.996493055558</v>
      </c>
      <c r="B194" t="s">
        <v>126</v>
      </c>
      <c r="C194" t="s">
        <v>586</v>
      </c>
      <c r="D194">
        <v>1240000</v>
      </c>
      <c r="E194" t="s">
        <v>545</v>
      </c>
    </row>
    <row r="195" spans="1:5" x14ac:dyDescent="0.25">
      <c r="A195" s="14">
        <v>42515.846076388887</v>
      </c>
      <c r="B195" t="s">
        <v>104</v>
      </c>
      <c r="C195" t="s">
        <v>334</v>
      </c>
      <c r="D195">
        <v>1180000</v>
      </c>
      <c r="E195" t="s">
        <v>550</v>
      </c>
    </row>
    <row r="196" spans="1:5" x14ac:dyDescent="0.25">
      <c r="A196" s="14">
        <v>42515.629756944443</v>
      </c>
      <c r="B196" t="s">
        <v>284</v>
      </c>
      <c r="C196" t="s">
        <v>323</v>
      </c>
      <c r="D196">
        <v>1490000</v>
      </c>
      <c r="E196" t="s">
        <v>549</v>
      </c>
    </row>
    <row r="197" spans="1:5" x14ac:dyDescent="0.25">
      <c r="A197" s="14">
        <v>42515.413657407407</v>
      </c>
      <c r="B197" t="s">
        <v>104</v>
      </c>
      <c r="C197" t="s">
        <v>419</v>
      </c>
      <c r="D197">
        <v>900000</v>
      </c>
      <c r="E197" t="s">
        <v>285</v>
      </c>
    </row>
    <row r="198" spans="1:5" x14ac:dyDescent="0.25">
      <c r="A198" s="14">
        <v>42515.42832175926</v>
      </c>
      <c r="B198" t="s">
        <v>115</v>
      </c>
      <c r="C198" t="s">
        <v>406</v>
      </c>
      <c r="D198">
        <v>1100000</v>
      </c>
      <c r="E198" t="s">
        <v>122</v>
      </c>
    </row>
    <row r="199" spans="1:5" x14ac:dyDescent="0.25">
      <c r="A199" s="14">
        <v>42515.655231481483</v>
      </c>
      <c r="B199" t="s">
        <v>64</v>
      </c>
      <c r="C199" t="s">
        <v>324</v>
      </c>
      <c r="D199">
        <v>880000</v>
      </c>
      <c r="E199" t="s">
        <v>105</v>
      </c>
    </row>
    <row r="200" spans="1:5" x14ac:dyDescent="0.25">
      <c r="A200" s="14">
        <v>42515.318495370368</v>
      </c>
      <c r="B200" t="s">
        <v>89</v>
      </c>
      <c r="C200" t="s">
        <v>374</v>
      </c>
      <c r="D200">
        <v>1190000</v>
      </c>
      <c r="E200" t="s">
        <v>279</v>
      </c>
    </row>
    <row r="201" spans="1:5" x14ac:dyDescent="0.25">
      <c r="A201" s="14">
        <v>42515.870868055557</v>
      </c>
      <c r="B201" t="s">
        <v>264</v>
      </c>
      <c r="C201" t="s">
        <v>521</v>
      </c>
      <c r="D201">
        <v>1740000</v>
      </c>
      <c r="E201" t="s">
        <v>98</v>
      </c>
    </row>
    <row r="202" spans="1:5" x14ac:dyDescent="0.25">
      <c r="A202" s="14">
        <v>42514.989016203705</v>
      </c>
      <c r="B202" t="s">
        <v>133</v>
      </c>
      <c r="C202" t="s">
        <v>587</v>
      </c>
      <c r="D202">
        <v>1280000</v>
      </c>
      <c r="E202" t="s">
        <v>63</v>
      </c>
    </row>
    <row r="203" spans="1:5" x14ac:dyDescent="0.25">
      <c r="A203" s="14">
        <v>42515.910752314812</v>
      </c>
      <c r="B203" t="s">
        <v>263</v>
      </c>
      <c r="C203" t="s">
        <v>335</v>
      </c>
      <c r="D203">
        <v>1740000</v>
      </c>
      <c r="E203" t="s">
        <v>98</v>
      </c>
    </row>
    <row r="204" spans="1:5" x14ac:dyDescent="0.25">
      <c r="A204" s="14">
        <v>42515.535381944443</v>
      </c>
      <c r="B204" t="s">
        <v>263</v>
      </c>
      <c r="C204" t="s">
        <v>319</v>
      </c>
      <c r="D204">
        <v>1090000</v>
      </c>
      <c r="E204" t="s">
        <v>169</v>
      </c>
    </row>
    <row r="205" spans="1:5" x14ac:dyDescent="0.25">
      <c r="A205" s="14">
        <v>42516.285567129627</v>
      </c>
      <c r="B205" t="s">
        <v>133</v>
      </c>
      <c r="C205" t="s">
        <v>591</v>
      </c>
      <c r="D205">
        <v>1430000</v>
      </c>
      <c r="E205" t="s">
        <v>123</v>
      </c>
    </row>
    <row r="206" spans="1:5" x14ac:dyDescent="0.25">
      <c r="A206" s="14">
        <v>42515.33865740741</v>
      </c>
      <c r="B206" t="s">
        <v>284</v>
      </c>
      <c r="C206" t="s">
        <v>393</v>
      </c>
      <c r="D206">
        <v>1260000</v>
      </c>
      <c r="E206" t="s">
        <v>273</v>
      </c>
    </row>
    <row r="207" spans="1:5" x14ac:dyDescent="0.25">
      <c r="A207" s="14">
        <v>42516.288773148146</v>
      </c>
      <c r="B207" t="s">
        <v>110</v>
      </c>
      <c r="C207" t="s">
        <v>592</v>
      </c>
      <c r="D207">
        <v>1290000</v>
      </c>
      <c r="E207" t="s">
        <v>148</v>
      </c>
    </row>
    <row r="208" spans="1:5" x14ac:dyDescent="0.25">
      <c r="A208" s="14">
        <v>42515.309432870374</v>
      </c>
      <c r="B208" t="s">
        <v>149</v>
      </c>
      <c r="C208" t="s">
        <v>383</v>
      </c>
      <c r="D208">
        <v>1230000</v>
      </c>
      <c r="E208" t="s">
        <v>547</v>
      </c>
    </row>
    <row r="209" spans="1:5" x14ac:dyDescent="0.25">
      <c r="A209" s="14">
        <v>42515.489837962959</v>
      </c>
      <c r="B209" t="s">
        <v>114</v>
      </c>
      <c r="C209" t="s">
        <v>430</v>
      </c>
      <c r="D209">
        <v>1830000</v>
      </c>
      <c r="E209" t="s">
        <v>131</v>
      </c>
    </row>
    <row r="210" spans="1:5" x14ac:dyDescent="0.25">
      <c r="A210" s="14">
        <v>42515.248344907406</v>
      </c>
      <c r="B210" t="s">
        <v>116</v>
      </c>
      <c r="C210" t="s">
        <v>311</v>
      </c>
      <c r="D210">
        <v>1100000</v>
      </c>
      <c r="E210" t="s">
        <v>122</v>
      </c>
    </row>
    <row r="211" spans="1:5" x14ac:dyDescent="0.25">
      <c r="A211" s="14">
        <v>42515.589467592596</v>
      </c>
      <c r="B211" t="s">
        <v>124</v>
      </c>
      <c r="C211" t="s">
        <v>458</v>
      </c>
      <c r="D211">
        <v>1830000</v>
      </c>
      <c r="E211" t="s">
        <v>131</v>
      </c>
    </row>
    <row r="212" spans="1:5" x14ac:dyDescent="0.25">
      <c r="A212" s="14">
        <v>42515.168541666666</v>
      </c>
      <c r="B212" t="s">
        <v>65</v>
      </c>
      <c r="C212" t="s">
        <v>341</v>
      </c>
      <c r="D212">
        <v>1430000</v>
      </c>
      <c r="E212" t="s">
        <v>123</v>
      </c>
    </row>
    <row r="213" spans="1:5" x14ac:dyDescent="0.25">
      <c r="A213" s="14">
        <v>42515.715266203704</v>
      </c>
      <c r="B213" t="s">
        <v>264</v>
      </c>
      <c r="C213" t="s">
        <v>500</v>
      </c>
      <c r="D213">
        <v>1740000</v>
      </c>
      <c r="E213" t="s">
        <v>98</v>
      </c>
    </row>
    <row r="214" spans="1:5" x14ac:dyDescent="0.25">
      <c r="A214" s="14">
        <v>42515.612604166665</v>
      </c>
      <c r="B214" t="s">
        <v>116</v>
      </c>
      <c r="C214" t="s">
        <v>472</v>
      </c>
      <c r="D214">
        <v>890000</v>
      </c>
      <c r="E214" t="s">
        <v>281</v>
      </c>
    </row>
    <row r="215" spans="1:5" x14ac:dyDescent="0.25">
      <c r="A215" s="14">
        <v>42515.726342592592</v>
      </c>
      <c r="B215" t="s">
        <v>64</v>
      </c>
      <c r="C215" t="s">
        <v>328</v>
      </c>
      <c r="D215">
        <v>880000</v>
      </c>
      <c r="E215" t="s">
        <v>105</v>
      </c>
    </row>
    <row r="216" spans="1:5" x14ac:dyDescent="0.25">
      <c r="A216" s="14">
        <v>42515.453541666669</v>
      </c>
      <c r="B216" t="s">
        <v>149</v>
      </c>
      <c r="C216" t="s">
        <v>419</v>
      </c>
      <c r="D216">
        <v>900000</v>
      </c>
      <c r="E216" t="s">
        <v>285</v>
      </c>
    </row>
    <row r="217" spans="1:5" x14ac:dyDescent="0.25">
      <c r="A217" s="14">
        <v>42515.885983796295</v>
      </c>
      <c r="B217" t="s">
        <v>103</v>
      </c>
      <c r="C217" t="s">
        <v>523</v>
      </c>
      <c r="D217">
        <v>1180000</v>
      </c>
      <c r="E217" t="s">
        <v>550</v>
      </c>
    </row>
    <row r="218" spans="1:5" x14ac:dyDescent="0.25">
      <c r="A218" s="14">
        <v>42515.256678240738</v>
      </c>
      <c r="B218" t="s">
        <v>104</v>
      </c>
      <c r="C218" t="s">
        <v>365</v>
      </c>
      <c r="D218">
        <v>900000</v>
      </c>
      <c r="E218" t="s">
        <v>285</v>
      </c>
    </row>
    <row r="219" spans="1:5" x14ac:dyDescent="0.25">
      <c r="A219" s="14">
        <v>42516.213576388887</v>
      </c>
      <c r="B219" t="s">
        <v>113</v>
      </c>
      <c r="C219" t="s">
        <v>593</v>
      </c>
      <c r="D219">
        <v>1430000</v>
      </c>
      <c r="E219" t="s">
        <v>123</v>
      </c>
    </row>
    <row r="220" spans="1:5" x14ac:dyDescent="0.25">
      <c r="A220" s="14">
        <v>42514.808587962965</v>
      </c>
      <c r="B220" t="s">
        <v>126</v>
      </c>
      <c r="C220" t="s">
        <v>594</v>
      </c>
      <c r="D220">
        <v>1240000</v>
      </c>
      <c r="E220" t="s">
        <v>545</v>
      </c>
    </row>
    <row r="221" spans="1:5" x14ac:dyDescent="0.25">
      <c r="A221" s="14">
        <v>42515.505636574075</v>
      </c>
      <c r="B221" t="s">
        <v>115</v>
      </c>
      <c r="C221" t="s">
        <v>426</v>
      </c>
      <c r="D221">
        <v>890000</v>
      </c>
      <c r="E221" t="s">
        <v>281</v>
      </c>
    </row>
    <row r="222" spans="1:5" x14ac:dyDescent="0.25">
      <c r="A222" s="14">
        <v>42515.541261574072</v>
      </c>
      <c r="B222" t="s">
        <v>116</v>
      </c>
      <c r="C222" t="s">
        <v>453</v>
      </c>
      <c r="D222">
        <v>890000</v>
      </c>
      <c r="E222" t="s">
        <v>281</v>
      </c>
    </row>
    <row r="223" spans="1:5" x14ac:dyDescent="0.25">
      <c r="A223" s="14">
        <v>42515.552928240744</v>
      </c>
      <c r="B223" t="s">
        <v>104</v>
      </c>
      <c r="C223" t="s">
        <v>450</v>
      </c>
      <c r="D223">
        <v>1470000</v>
      </c>
      <c r="E223" t="s">
        <v>283</v>
      </c>
    </row>
    <row r="224" spans="1:5" x14ac:dyDescent="0.25">
      <c r="A224" s="14">
        <v>42515.481550925928</v>
      </c>
      <c r="B224" t="s">
        <v>104</v>
      </c>
      <c r="C224" t="s">
        <v>418</v>
      </c>
      <c r="D224">
        <v>1470000</v>
      </c>
      <c r="E224" t="s">
        <v>283</v>
      </c>
    </row>
    <row r="225" spans="1:5" x14ac:dyDescent="0.25">
      <c r="A225" s="14">
        <v>42515.807430555556</v>
      </c>
      <c r="B225" t="s">
        <v>124</v>
      </c>
      <c r="C225" t="s">
        <v>511</v>
      </c>
      <c r="D225">
        <v>1240000</v>
      </c>
      <c r="E225" t="s">
        <v>545</v>
      </c>
    </row>
    <row r="226" spans="1:5" x14ac:dyDescent="0.25">
      <c r="A226" s="14">
        <v>42515.444745370369</v>
      </c>
      <c r="B226" t="s">
        <v>103</v>
      </c>
      <c r="C226" t="s">
        <v>417</v>
      </c>
      <c r="D226">
        <v>1470000</v>
      </c>
      <c r="E226" t="s">
        <v>283</v>
      </c>
    </row>
    <row r="227" spans="1:5" x14ac:dyDescent="0.25">
      <c r="A227" s="14">
        <v>42515.928831018522</v>
      </c>
      <c r="B227" t="s">
        <v>104</v>
      </c>
      <c r="C227" t="s">
        <v>524</v>
      </c>
      <c r="D227">
        <v>1180000</v>
      </c>
      <c r="E227" t="s">
        <v>550</v>
      </c>
    </row>
    <row r="228" spans="1:5" x14ac:dyDescent="0.25">
      <c r="A228" s="14">
        <v>42515.153715277775</v>
      </c>
      <c r="B228" t="s">
        <v>103</v>
      </c>
      <c r="C228" t="s">
        <v>344</v>
      </c>
      <c r="D228">
        <v>1230000</v>
      </c>
      <c r="E228" t="s">
        <v>547</v>
      </c>
    </row>
    <row r="229" spans="1:5" x14ac:dyDescent="0.25">
      <c r="A229" s="14">
        <v>42516.307824074072</v>
      </c>
      <c r="B229" t="s">
        <v>276</v>
      </c>
      <c r="C229" t="s">
        <v>595</v>
      </c>
      <c r="D229">
        <v>1310000</v>
      </c>
      <c r="E229" t="s">
        <v>560</v>
      </c>
    </row>
    <row r="230" spans="1:5" x14ac:dyDescent="0.25">
      <c r="A230" s="14">
        <v>42514.937731481485</v>
      </c>
      <c r="B230" t="s">
        <v>128</v>
      </c>
      <c r="C230" t="s">
        <v>596</v>
      </c>
      <c r="D230">
        <v>1180000</v>
      </c>
      <c r="E230" t="s">
        <v>550</v>
      </c>
    </row>
    <row r="232" spans="1:5" x14ac:dyDescent="0.25">
      <c r="A232" s="14">
        <v>42509.4612037037</v>
      </c>
      <c r="B232" t="s">
        <v>113</v>
      </c>
      <c r="C232" t="s">
        <v>203</v>
      </c>
      <c r="D232">
        <v>1800000</v>
      </c>
      <c r="E232" t="s">
        <v>97</v>
      </c>
    </row>
    <row r="233" spans="1:5" x14ac:dyDescent="0.25">
      <c r="A233" s="14">
        <v>42510.170173611114</v>
      </c>
      <c r="B233" t="s">
        <v>126</v>
      </c>
      <c r="C233" t="s">
        <v>204</v>
      </c>
      <c r="D233">
        <v>1740000</v>
      </c>
      <c r="E233" t="s">
        <v>98</v>
      </c>
    </row>
    <row r="234" spans="1:5" x14ac:dyDescent="0.25">
      <c r="A234" s="14">
        <v>42509.349814814814</v>
      </c>
      <c r="B234" t="s">
        <v>112</v>
      </c>
      <c r="C234" t="s">
        <v>205</v>
      </c>
      <c r="D234">
        <v>1100000</v>
      </c>
      <c r="E234" t="s">
        <v>122</v>
      </c>
    </row>
    <row r="235" spans="1:5" x14ac:dyDescent="0.25">
      <c r="A235" s="14">
        <v>42508.843541666669</v>
      </c>
      <c r="B235" t="s">
        <v>128</v>
      </c>
      <c r="C235" t="s">
        <v>157</v>
      </c>
      <c r="D235">
        <v>1820000</v>
      </c>
      <c r="E235" t="s">
        <v>132</v>
      </c>
    </row>
    <row r="236" spans="1:5" x14ac:dyDescent="0.25">
      <c r="A236" s="14">
        <v>42509.230567129627</v>
      </c>
      <c r="B236" t="s">
        <v>128</v>
      </c>
      <c r="C236" t="s">
        <v>171</v>
      </c>
      <c r="D236">
        <v>1800000</v>
      </c>
      <c r="E236" t="s">
        <v>97</v>
      </c>
    </row>
    <row r="237" spans="1:5" x14ac:dyDescent="0.25">
      <c r="A237" s="14">
        <v>42509.155497685184</v>
      </c>
      <c r="B237" t="s">
        <v>130</v>
      </c>
      <c r="C237" t="s">
        <v>174</v>
      </c>
      <c r="D237">
        <v>1110000</v>
      </c>
      <c r="E237" t="s">
        <v>121</v>
      </c>
    </row>
    <row r="238" spans="1:5" x14ac:dyDescent="0.25">
      <c r="A238" s="14">
        <v>42509.016562500001</v>
      </c>
      <c r="B238" t="s">
        <v>64</v>
      </c>
      <c r="C238" t="s">
        <v>166</v>
      </c>
      <c r="D238">
        <v>1810000</v>
      </c>
      <c r="E238" t="s">
        <v>146</v>
      </c>
    </row>
    <row r="239" spans="1:5" x14ac:dyDescent="0.25">
      <c r="A239" s="14">
        <v>42509.276435185187</v>
      </c>
      <c r="B239" t="s">
        <v>115</v>
      </c>
      <c r="C239" t="s">
        <v>184</v>
      </c>
      <c r="D239">
        <v>1110000</v>
      </c>
      <c r="E239" t="s">
        <v>121</v>
      </c>
    </row>
    <row r="240" spans="1:5" x14ac:dyDescent="0.25">
      <c r="A240" s="14">
        <v>42508.80091435185</v>
      </c>
      <c r="B240" t="s">
        <v>112</v>
      </c>
      <c r="C240" t="s">
        <v>168</v>
      </c>
      <c r="D240">
        <v>970000</v>
      </c>
      <c r="E240" t="s">
        <v>170</v>
      </c>
    </row>
    <row r="241" spans="1:5" x14ac:dyDescent="0.25">
      <c r="A241" s="14">
        <v>42509.286458333336</v>
      </c>
      <c r="B241" t="s">
        <v>125</v>
      </c>
      <c r="C241" t="s">
        <v>180</v>
      </c>
      <c r="D241">
        <v>1430000</v>
      </c>
      <c r="E241" t="s">
        <v>123</v>
      </c>
    </row>
    <row r="242" spans="1:5" x14ac:dyDescent="0.25">
      <c r="A242" s="14">
        <v>42508.777453703704</v>
      </c>
      <c r="B242" t="s">
        <v>128</v>
      </c>
      <c r="C242" t="s">
        <v>172</v>
      </c>
      <c r="D242">
        <v>1820000</v>
      </c>
      <c r="E242" t="s">
        <v>132</v>
      </c>
    </row>
    <row r="243" spans="1:5" x14ac:dyDescent="0.25">
      <c r="A243" s="14">
        <v>42509.396412037036</v>
      </c>
      <c r="B243" t="s">
        <v>124</v>
      </c>
      <c r="C243" t="s">
        <v>206</v>
      </c>
      <c r="D243">
        <v>1300000</v>
      </c>
      <c r="E243" t="s">
        <v>107</v>
      </c>
    </row>
    <row r="244" spans="1:5" x14ac:dyDescent="0.25">
      <c r="A244" s="14">
        <v>42508.778773148151</v>
      </c>
      <c r="B244" t="s">
        <v>128</v>
      </c>
      <c r="C244" t="s">
        <v>172</v>
      </c>
      <c r="D244">
        <v>1820000</v>
      </c>
      <c r="E244" t="s">
        <v>132</v>
      </c>
    </row>
    <row r="245" spans="1:5" x14ac:dyDescent="0.25">
      <c r="A245" s="14">
        <v>42509.446099537039</v>
      </c>
      <c r="B245" t="s">
        <v>130</v>
      </c>
      <c r="C245" t="s">
        <v>207</v>
      </c>
      <c r="D245">
        <v>880000</v>
      </c>
      <c r="E245" t="s">
        <v>105</v>
      </c>
    </row>
    <row r="246" spans="1:5" x14ac:dyDescent="0.25">
      <c r="A246" s="14">
        <v>42509.122523148151</v>
      </c>
      <c r="B246" t="s">
        <v>112</v>
      </c>
      <c r="C246" t="s">
        <v>175</v>
      </c>
      <c r="D246">
        <v>1300000</v>
      </c>
      <c r="E246" t="s">
        <v>107</v>
      </c>
    </row>
    <row r="247" spans="1:5" x14ac:dyDescent="0.25">
      <c r="A247" s="14">
        <v>42509.639918981484</v>
      </c>
      <c r="B247" t="s">
        <v>124</v>
      </c>
      <c r="C247" t="s">
        <v>208</v>
      </c>
      <c r="D247">
        <v>1770000</v>
      </c>
      <c r="E247" t="s">
        <v>96</v>
      </c>
    </row>
    <row r="248" spans="1:5" x14ac:dyDescent="0.25">
      <c r="A248" s="14">
        <v>42508.829155092593</v>
      </c>
      <c r="B248" t="s">
        <v>103</v>
      </c>
      <c r="C248" t="s">
        <v>158</v>
      </c>
      <c r="D248">
        <v>1410000</v>
      </c>
      <c r="E248" t="s">
        <v>147</v>
      </c>
    </row>
    <row r="249" spans="1:5" x14ac:dyDescent="0.25">
      <c r="A249" s="14">
        <v>42509.671724537038</v>
      </c>
      <c r="B249" t="s">
        <v>89</v>
      </c>
      <c r="C249" t="s">
        <v>209</v>
      </c>
      <c r="D249">
        <v>1090000</v>
      </c>
      <c r="E249" t="s">
        <v>169</v>
      </c>
    </row>
    <row r="250" spans="1:5" x14ac:dyDescent="0.25">
      <c r="A250" s="14">
        <v>42509.968634259261</v>
      </c>
      <c r="B250" t="s">
        <v>128</v>
      </c>
      <c r="C250" t="s">
        <v>210</v>
      </c>
      <c r="D250">
        <v>1810000</v>
      </c>
      <c r="E250" t="s">
        <v>146</v>
      </c>
    </row>
    <row r="251" spans="1:5" x14ac:dyDescent="0.25">
      <c r="A251" s="14">
        <v>42508.79178240741</v>
      </c>
      <c r="B251" t="s">
        <v>104</v>
      </c>
      <c r="C251" t="s">
        <v>155</v>
      </c>
      <c r="D251">
        <v>1410000</v>
      </c>
      <c r="E251" t="s">
        <v>147</v>
      </c>
    </row>
    <row r="252" spans="1:5" x14ac:dyDescent="0.25">
      <c r="A252" s="14">
        <v>42509.875578703701</v>
      </c>
      <c r="B252" t="s">
        <v>110</v>
      </c>
      <c r="C252" t="s">
        <v>211</v>
      </c>
      <c r="D252">
        <v>1830000</v>
      </c>
      <c r="E252" t="s">
        <v>131</v>
      </c>
    </row>
    <row r="253" spans="1:5" x14ac:dyDescent="0.25">
      <c r="A253" s="14">
        <v>42509.194305555553</v>
      </c>
      <c r="B253" t="s">
        <v>115</v>
      </c>
      <c r="C253" t="s">
        <v>182</v>
      </c>
      <c r="D253">
        <v>1110000</v>
      </c>
      <c r="E253" t="s">
        <v>121</v>
      </c>
    </row>
    <row r="254" spans="1:5" x14ac:dyDescent="0.25">
      <c r="A254" s="14">
        <v>42509.72755787037</v>
      </c>
      <c r="B254" t="s">
        <v>112</v>
      </c>
      <c r="C254" t="s">
        <v>212</v>
      </c>
      <c r="D254">
        <v>1290000</v>
      </c>
      <c r="E254" t="s">
        <v>148</v>
      </c>
    </row>
    <row r="255" spans="1:5" x14ac:dyDescent="0.25">
      <c r="A255" s="14">
        <v>42509.30840277778</v>
      </c>
      <c r="B255" t="s">
        <v>116</v>
      </c>
      <c r="C255" t="s">
        <v>213</v>
      </c>
      <c r="D255">
        <v>1110000</v>
      </c>
      <c r="E255" t="s">
        <v>121</v>
      </c>
    </row>
    <row r="256" spans="1:5" x14ac:dyDescent="0.25">
      <c r="A256" s="14">
        <v>42509.712037037039</v>
      </c>
      <c r="B256" t="s">
        <v>125</v>
      </c>
      <c r="C256" t="s">
        <v>214</v>
      </c>
      <c r="D256">
        <v>1780000</v>
      </c>
      <c r="E256" t="s">
        <v>106</v>
      </c>
    </row>
    <row r="257" spans="1:5" x14ac:dyDescent="0.25">
      <c r="A257" s="14">
        <v>42509.425613425927</v>
      </c>
      <c r="B257" t="s">
        <v>112</v>
      </c>
      <c r="C257" t="s">
        <v>215</v>
      </c>
      <c r="D257">
        <v>1770000</v>
      </c>
      <c r="E257" t="s">
        <v>96</v>
      </c>
    </row>
    <row r="258" spans="1:5" x14ac:dyDescent="0.25">
      <c r="A258" s="14">
        <v>42509.590057870373</v>
      </c>
      <c r="B258" t="s">
        <v>115</v>
      </c>
      <c r="C258" t="s">
        <v>196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128</v>
      </c>
      <c r="C259" t="s">
        <v>216</v>
      </c>
      <c r="D259">
        <v>1760000</v>
      </c>
      <c r="E259" t="s">
        <v>134</v>
      </c>
    </row>
    <row r="260" spans="1:5" x14ac:dyDescent="0.25">
      <c r="A260" s="14">
        <v>42509.46974537037</v>
      </c>
      <c r="B260" t="s">
        <v>103</v>
      </c>
      <c r="C260" t="s">
        <v>198</v>
      </c>
      <c r="D260">
        <v>1750000</v>
      </c>
      <c r="E260" t="s">
        <v>101</v>
      </c>
    </row>
    <row r="261" spans="1:5" x14ac:dyDescent="0.25">
      <c r="A261" s="14">
        <v>42509.460173611114</v>
      </c>
      <c r="B261" t="s">
        <v>113</v>
      </c>
      <c r="C261" t="s">
        <v>203</v>
      </c>
      <c r="D261">
        <v>1800000</v>
      </c>
      <c r="E261" t="s">
        <v>97</v>
      </c>
    </row>
    <row r="262" spans="1:5" x14ac:dyDescent="0.25">
      <c r="A262" s="14">
        <v>42509.408865740741</v>
      </c>
      <c r="B262" t="s">
        <v>133</v>
      </c>
      <c r="C262" t="s">
        <v>217</v>
      </c>
      <c r="D262">
        <v>1200000</v>
      </c>
      <c r="E262" t="s">
        <v>173</v>
      </c>
    </row>
    <row r="263" spans="1:5" x14ac:dyDescent="0.25">
      <c r="A263" s="14">
        <v>42509.470752314817</v>
      </c>
      <c r="B263" t="s">
        <v>124</v>
      </c>
      <c r="C263" t="s">
        <v>218</v>
      </c>
      <c r="D263">
        <v>1770000</v>
      </c>
      <c r="E263" t="s">
        <v>96</v>
      </c>
    </row>
    <row r="264" spans="1:5" x14ac:dyDescent="0.25">
      <c r="A264" s="14">
        <v>42509.403020833335</v>
      </c>
      <c r="B264" t="s">
        <v>103</v>
      </c>
      <c r="C264" t="s">
        <v>219</v>
      </c>
      <c r="D264">
        <v>1760000</v>
      </c>
      <c r="E264" t="s">
        <v>134</v>
      </c>
    </row>
    <row r="265" spans="1:5" x14ac:dyDescent="0.25">
      <c r="A265" s="14">
        <v>42509.575057870374</v>
      </c>
      <c r="B265" t="s">
        <v>124</v>
      </c>
      <c r="C265" t="s">
        <v>197</v>
      </c>
      <c r="D265">
        <v>1770000</v>
      </c>
      <c r="E265" t="s">
        <v>96</v>
      </c>
    </row>
    <row r="266" spans="1:5" x14ac:dyDescent="0.25">
      <c r="A266" s="14">
        <v>42509.381666666668</v>
      </c>
      <c r="B266" t="s">
        <v>116</v>
      </c>
      <c r="C266" t="s">
        <v>220</v>
      </c>
      <c r="D266">
        <v>1110000</v>
      </c>
      <c r="E266" t="s">
        <v>121</v>
      </c>
    </row>
    <row r="267" spans="1:5" x14ac:dyDescent="0.25">
      <c r="A267" s="14">
        <v>42508.989918981482</v>
      </c>
      <c r="B267" t="s">
        <v>103</v>
      </c>
      <c r="C267" t="s">
        <v>165</v>
      </c>
      <c r="D267">
        <v>1410000</v>
      </c>
      <c r="E267" t="s">
        <v>147</v>
      </c>
    </row>
    <row r="268" spans="1:5" x14ac:dyDescent="0.25">
      <c r="A268" s="14">
        <v>42509.361203703702</v>
      </c>
      <c r="B268" t="s">
        <v>114</v>
      </c>
      <c r="C268" t="s">
        <v>221</v>
      </c>
      <c r="D268">
        <v>1300000</v>
      </c>
      <c r="E268" t="s">
        <v>107</v>
      </c>
    </row>
    <row r="269" spans="1:5" x14ac:dyDescent="0.25">
      <c r="A269" s="14">
        <v>42509.389791666668</v>
      </c>
      <c r="B269" t="s">
        <v>126</v>
      </c>
      <c r="C269" t="s">
        <v>222</v>
      </c>
      <c r="D269">
        <v>1430000</v>
      </c>
      <c r="E269" t="s">
        <v>123</v>
      </c>
    </row>
    <row r="270" spans="1:5" x14ac:dyDescent="0.25">
      <c r="A270" s="14">
        <v>42509.314201388886</v>
      </c>
      <c r="B270" t="s">
        <v>113</v>
      </c>
      <c r="C270" t="s">
        <v>223</v>
      </c>
      <c r="D270">
        <v>1100000</v>
      </c>
      <c r="E270" t="s">
        <v>122</v>
      </c>
    </row>
    <row r="271" spans="1:5" x14ac:dyDescent="0.25">
      <c r="A271" s="14">
        <v>42509.422743055555</v>
      </c>
      <c r="B271" t="s">
        <v>115</v>
      </c>
      <c r="C271" t="s">
        <v>202</v>
      </c>
      <c r="D271">
        <v>1110000</v>
      </c>
      <c r="E271" t="s">
        <v>121</v>
      </c>
    </row>
    <row r="272" spans="1:5" x14ac:dyDescent="0.25">
      <c r="A272" s="14">
        <v>42509.182106481479</v>
      </c>
      <c r="B272" t="s">
        <v>103</v>
      </c>
      <c r="C272" t="s">
        <v>177</v>
      </c>
      <c r="D272">
        <v>1760000</v>
      </c>
      <c r="E272" t="s">
        <v>134</v>
      </c>
    </row>
    <row r="273" spans="1:5" x14ac:dyDescent="0.25">
      <c r="A273" s="14">
        <v>42509.546886574077</v>
      </c>
      <c r="B273" t="s">
        <v>125</v>
      </c>
      <c r="C273" t="s">
        <v>198</v>
      </c>
      <c r="D273">
        <v>1750000</v>
      </c>
      <c r="E273" t="s">
        <v>101</v>
      </c>
    </row>
    <row r="274" spans="1:5" x14ac:dyDescent="0.25">
      <c r="A274" s="14">
        <v>42510.017488425925</v>
      </c>
      <c r="B274" t="s">
        <v>129</v>
      </c>
      <c r="C274" t="s">
        <v>224</v>
      </c>
      <c r="D274">
        <v>1810000</v>
      </c>
      <c r="E274" t="s">
        <v>146</v>
      </c>
    </row>
    <row r="275" spans="1:5" x14ac:dyDescent="0.25">
      <c r="A275" s="14">
        <v>42509.632696759261</v>
      </c>
      <c r="B275" t="s">
        <v>125</v>
      </c>
      <c r="C275" t="s">
        <v>189</v>
      </c>
      <c r="D275">
        <v>1780000</v>
      </c>
      <c r="E275" t="s">
        <v>106</v>
      </c>
    </row>
    <row r="276" spans="1:5" x14ac:dyDescent="0.25">
      <c r="A276" s="14">
        <v>42509.771354166667</v>
      </c>
      <c r="B276" t="s">
        <v>116</v>
      </c>
      <c r="C276" t="s">
        <v>225</v>
      </c>
      <c r="D276">
        <v>1810000</v>
      </c>
      <c r="E276" t="s">
        <v>146</v>
      </c>
    </row>
    <row r="277" spans="1:5" x14ac:dyDescent="0.25">
      <c r="A277" s="14">
        <v>42509.641446759262</v>
      </c>
      <c r="B277" t="s">
        <v>124</v>
      </c>
      <c r="C277" t="s">
        <v>208</v>
      </c>
      <c r="D277">
        <v>1770000</v>
      </c>
      <c r="E277" t="s">
        <v>96</v>
      </c>
    </row>
    <row r="278" spans="1:5" x14ac:dyDescent="0.25">
      <c r="A278" s="14">
        <v>42509.771990740737</v>
      </c>
      <c r="B278" t="s">
        <v>116</v>
      </c>
      <c r="C278" t="s">
        <v>225</v>
      </c>
      <c r="D278">
        <v>1810000</v>
      </c>
      <c r="E278" t="s">
        <v>146</v>
      </c>
    </row>
    <row r="279" spans="1:5" x14ac:dyDescent="0.25">
      <c r="A279" s="14">
        <v>42508.975185185183</v>
      </c>
      <c r="B279" t="s">
        <v>129</v>
      </c>
      <c r="C279" t="s">
        <v>163</v>
      </c>
      <c r="D279">
        <v>1820000</v>
      </c>
      <c r="E279" t="s">
        <v>132</v>
      </c>
    </row>
    <row r="280" spans="1:5" x14ac:dyDescent="0.25">
      <c r="A280" s="14">
        <v>42509.767534722225</v>
      </c>
      <c r="B280" t="s">
        <v>113</v>
      </c>
      <c r="C280" t="s">
        <v>191</v>
      </c>
      <c r="D280">
        <v>1290000</v>
      </c>
      <c r="E280" t="s">
        <v>148</v>
      </c>
    </row>
    <row r="281" spans="1:5" x14ac:dyDescent="0.25">
      <c r="A281" s="14">
        <v>42509.175011574072</v>
      </c>
      <c r="B281" t="s">
        <v>128</v>
      </c>
      <c r="C281" t="s">
        <v>186</v>
      </c>
      <c r="D281">
        <v>1800000</v>
      </c>
      <c r="E281" t="s">
        <v>97</v>
      </c>
    </row>
    <row r="282" spans="1:5" x14ac:dyDescent="0.25">
      <c r="A282" s="14">
        <v>42509.672662037039</v>
      </c>
      <c r="B282" t="s">
        <v>114</v>
      </c>
      <c r="C282" t="s">
        <v>226</v>
      </c>
      <c r="D282">
        <v>1770000</v>
      </c>
      <c r="E282" t="s">
        <v>96</v>
      </c>
    </row>
    <row r="283" spans="1:5" x14ac:dyDescent="0.25">
      <c r="A283" s="14">
        <v>42509.191099537034</v>
      </c>
      <c r="B283" t="s">
        <v>129</v>
      </c>
      <c r="C283" t="s">
        <v>179</v>
      </c>
      <c r="D283">
        <v>1800000</v>
      </c>
      <c r="E283" t="s">
        <v>97</v>
      </c>
    </row>
    <row r="284" spans="1:5" x14ac:dyDescent="0.25">
      <c r="A284" s="14">
        <v>42509.503958333335</v>
      </c>
      <c r="B284" t="s">
        <v>115</v>
      </c>
      <c r="C284" t="s">
        <v>227</v>
      </c>
      <c r="D284">
        <v>1200000</v>
      </c>
      <c r="E284" t="s">
        <v>173</v>
      </c>
    </row>
    <row r="285" spans="1:5" x14ac:dyDescent="0.25">
      <c r="A285" s="14">
        <v>42509.287094907406</v>
      </c>
      <c r="B285" t="s">
        <v>114</v>
      </c>
      <c r="C285" t="s">
        <v>181</v>
      </c>
      <c r="D285">
        <v>1300000</v>
      </c>
      <c r="E285" t="s">
        <v>107</v>
      </c>
    </row>
    <row r="286" spans="1:5" x14ac:dyDescent="0.25">
      <c r="A286" s="14">
        <v>42509.467650462961</v>
      </c>
      <c r="B286" t="s">
        <v>90</v>
      </c>
      <c r="C286" t="s">
        <v>228</v>
      </c>
      <c r="D286">
        <v>1090000</v>
      </c>
      <c r="E286" t="s">
        <v>169</v>
      </c>
    </row>
    <row r="287" spans="1:5" x14ac:dyDescent="0.25">
      <c r="A287" s="14">
        <v>42509.296412037038</v>
      </c>
      <c r="B287" t="s">
        <v>130</v>
      </c>
      <c r="C287" t="s">
        <v>229</v>
      </c>
      <c r="D287">
        <v>1200000</v>
      </c>
      <c r="E287" t="s">
        <v>173</v>
      </c>
    </row>
    <row r="288" spans="1:5" x14ac:dyDescent="0.25">
      <c r="A288" s="14">
        <v>42509.378287037034</v>
      </c>
      <c r="B288" t="s">
        <v>128</v>
      </c>
      <c r="C288" t="s">
        <v>230</v>
      </c>
      <c r="D288">
        <v>1800000</v>
      </c>
      <c r="E288" t="s">
        <v>97</v>
      </c>
    </row>
    <row r="289" spans="1:5" x14ac:dyDescent="0.25">
      <c r="A289" s="14">
        <v>42509.371157407404</v>
      </c>
      <c r="B289" t="s">
        <v>130</v>
      </c>
      <c r="C289" t="s">
        <v>231</v>
      </c>
      <c r="D289">
        <v>1200000</v>
      </c>
      <c r="E289" t="s">
        <v>173</v>
      </c>
    </row>
    <row r="290" spans="1:5" x14ac:dyDescent="0.25">
      <c r="A290" s="14">
        <v>42510.235601851855</v>
      </c>
      <c r="B290" t="s">
        <v>128</v>
      </c>
      <c r="C290" t="s">
        <v>232</v>
      </c>
      <c r="D290">
        <v>1750000</v>
      </c>
      <c r="E290" t="s">
        <v>101</v>
      </c>
    </row>
    <row r="291" spans="1:5" x14ac:dyDescent="0.25">
      <c r="A291" s="14">
        <v>42508.927499999998</v>
      </c>
      <c r="B291" t="s">
        <v>64</v>
      </c>
      <c r="C291" t="s">
        <v>161</v>
      </c>
      <c r="D291">
        <v>1810000</v>
      </c>
      <c r="E291" t="s">
        <v>146</v>
      </c>
    </row>
    <row r="292" spans="1:5" x14ac:dyDescent="0.25">
      <c r="A292" s="14">
        <v>42510.226886574077</v>
      </c>
      <c r="B292" t="s">
        <v>116</v>
      </c>
      <c r="C292" t="s">
        <v>193</v>
      </c>
      <c r="D292">
        <v>1360000</v>
      </c>
      <c r="E292" t="s">
        <v>194</v>
      </c>
    </row>
    <row r="293" spans="1:5" x14ac:dyDescent="0.25">
      <c r="A293" s="14">
        <v>42509.207384259258</v>
      </c>
      <c r="B293" t="s">
        <v>112</v>
      </c>
      <c r="C293" t="s">
        <v>185</v>
      </c>
      <c r="D293">
        <v>1100000</v>
      </c>
      <c r="E293" t="s">
        <v>122</v>
      </c>
    </row>
    <row r="294" spans="1:5" x14ac:dyDescent="0.25">
      <c r="A294" s="14">
        <v>42509.78765046296</v>
      </c>
      <c r="B294" t="s">
        <v>103</v>
      </c>
      <c r="C294" t="s">
        <v>233</v>
      </c>
      <c r="D294">
        <v>1830000</v>
      </c>
      <c r="E294" t="s">
        <v>131</v>
      </c>
    </row>
    <row r="295" spans="1:5" x14ac:dyDescent="0.25">
      <c r="A295" s="14">
        <v>42509.228668981479</v>
      </c>
      <c r="B295" t="s">
        <v>130</v>
      </c>
      <c r="C295" t="s">
        <v>183</v>
      </c>
      <c r="D295">
        <v>1200000</v>
      </c>
      <c r="E295" t="s">
        <v>173</v>
      </c>
    </row>
    <row r="296" spans="1:5" x14ac:dyDescent="0.25">
      <c r="A296" s="14">
        <v>42509.34888888889</v>
      </c>
      <c r="B296" t="s">
        <v>115</v>
      </c>
      <c r="C296" t="s">
        <v>234</v>
      </c>
      <c r="D296">
        <v>1110000</v>
      </c>
      <c r="E296" t="s">
        <v>121</v>
      </c>
    </row>
    <row r="297" spans="1:5" x14ac:dyDescent="0.25">
      <c r="A297" s="14">
        <v>42509.349814814814</v>
      </c>
      <c r="B297" t="s">
        <v>115</v>
      </c>
      <c r="C297" t="s">
        <v>234</v>
      </c>
      <c r="D297">
        <v>1110000</v>
      </c>
      <c r="E297" t="s">
        <v>121</v>
      </c>
    </row>
    <row r="298" spans="1:5" x14ac:dyDescent="0.25">
      <c r="A298" s="14">
        <v>42509.325428240743</v>
      </c>
      <c r="B298" t="s">
        <v>124</v>
      </c>
      <c r="C298" t="s">
        <v>235</v>
      </c>
      <c r="D298">
        <v>1300000</v>
      </c>
      <c r="E298" t="s">
        <v>107</v>
      </c>
    </row>
    <row r="299" spans="1:5" x14ac:dyDescent="0.25">
      <c r="A299" s="14">
        <v>42509.386817129627</v>
      </c>
      <c r="B299" t="s">
        <v>113</v>
      </c>
      <c r="C299" t="s">
        <v>236</v>
      </c>
      <c r="D299">
        <v>1100000</v>
      </c>
      <c r="E299" t="s">
        <v>122</v>
      </c>
    </row>
    <row r="300" spans="1:5" x14ac:dyDescent="0.25">
      <c r="A300" s="14">
        <v>42509.317013888889</v>
      </c>
      <c r="B300" t="s">
        <v>126</v>
      </c>
      <c r="C300" t="s">
        <v>237</v>
      </c>
      <c r="D300">
        <v>1430000</v>
      </c>
      <c r="E300" t="s">
        <v>123</v>
      </c>
    </row>
    <row r="301" spans="1:5" x14ac:dyDescent="0.25">
      <c r="A301" s="14">
        <v>42509.465474537035</v>
      </c>
      <c r="B301" t="s">
        <v>90</v>
      </c>
      <c r="C301" t="s">
        <v>228</v>
      </c>
      <c r="D301">
        <v>1090000</v>
      </c>
      <c r="E301" t="s">
        <v>169</v>
      </c>
    </row>
    <row r="302" spans="1:5" x14ac:dyDescent="0.25">
      <c r="A302" s="14">
        <v>42509.053877314815</v>
      </c>
      <c r="B302" t="s">
        <v>65</v>
      </c>
      <c r="C302" t="s">
        <v>167</v>
      </c>
      <c r="D302">
        <v>1810000</v>
      </c>
      <c r="E302" t="s">
        <v>146</v>
      </c>
    </row>
    <row r="303" spans="1:5" x14ac:dyDescent="0.25">
      <c r="A303" s="14">
        <v>42509.495740740742</v>
      </c>
      <c r="B303" t="s">
        <v>115</v>
      </c>
      <c r="C303" t="s">
        <v>227</v>
      </c>
      <c r="D303">
        <v>1200000</v>
      </c>
      <c r="E303" t="s">
        <v>173</v>
      </c>
    </row>
    <row r="304" spans="1:5" x14ac:dyDescent="0.25">
      <c r="A304" s="14">
        <v>42509.986886574072</v>
      </c>
      <c r="B304" t="s">
        <v>108</v>
      </c>
      <c r="C304" t="s">
        <v>238</v>
      </c>
      <c r="D304">
        <v>1830000</v>
      </c>
      <c r="E304" t="s">
        <v>131</v>
      </c>
    </row>
    <row r="305" spans="1:5" x14ac:dyDescent="0.25">
      <c r="A305" s="14">
        <v>42509.693414351852</v>
      </c>
      <c r="B305" t="s">
        <v>130</v>
      </c>
      <c r="C305" t="s">
        <v>201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129</v>
      </c>
      <c r="C306" t="s">
        <v>239</v>
      </c>
      <c r="D306">
        <v>1810000</v>
      </c>
      <c r="E306" t="s">
        <v>146</v>
      </c>
    </row>
    <row r="307" spans="1:5" x14ac:dyDescent="0.25">
      <c r="A307" s="14">
        <v>42510.013171296298</v>
      </c>
      <c r="B307" t="s">
        <v>125</v>
      </c>
      <c r="C307" t="s">
        <v>240</v>
      </c>
      <c r="D307">
        <v>1820000</v>
      </c>
      <c r="E307" t="s">
        <v>132</v>
      </c>
    </row>
    <row r="308" spans="1:5" x14ac:dyDescent="0.25">
      <c r="A308" s="14">
        <v>42509.721388888887</v>
      </c>
      <c r="B308" t="s">
        <v>133</v>
      </c>
      <c r="C308" t="s">
        <v>192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130</v>
      </c>
      <c r="C309" t="s">
        <v>241</v>
      </c>
      <c r="D309">
        <v>1110000</v>
      </c>
      <c r="E309" t="s">
        <v>121</v>
      </c>
    </row>
    <row r="310" spans="1:5" x14ac:dyDescent="0.25">
      <c r="A310" s="14">
        <v>42509.56449074074</v>
      </c>
      <c r="B310" t="s">
        <v>103</v>
      </c>
      <c r="C310" t="s">
        <v>242</v>
      </c>
      <c r="D310">
        <v>880000</v>
      </c>
      <c r="E310" t="s">
        <v>105</v>
      </c>
    </row>
    <row r="311" spans="1:5" x14ac:dyDescent="0.25">
      <c r="A311" s="14">
        <v>42510.206967592596</v>
      </c>
      <c r="B311" t="s">
        <v>149</v>
      </c>
      <c r="C311" t="s">
        <v>243</v>
      </c>
      <c r="D311">
        <v>1760000</v>
      </c>
      <c r="E311" t="s">
        <v>134</v>
      </c>
    </row>
    <row r="312" spans="1:5" x14ac:dyDescent="0.25">
      <c r="A312" s="14">
        <v>42509.544525462959</v>
      </c>
      <c r="B312" t="s">
        <v>116</v>
      </c>
      <c r="C312" t="s">
        <v>188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133</v>
      </c>
      <c r="C313" t="s">
        <v>192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114</v>
      </c>
      <c r="C314" t="s">
        <v>244</v>
      </c>
      <c r="D314">
        <v>1770000</v>
      </c>
      <c r="E314" t="s">
        <v>96</v>
      </c>
    </row>
    <row r="315" spans="1:5" x14ac:dyDescent="0.25">
      <c r="A315" s="14">
        <v>42509.783726851849</v>
      </c>
      <c r="B315" t="s">
        <v>124</v>
      </c>
      <c r="C315" t="s">
        <v>200</v>
      </c>
      <c r="D315">
        <v>1770000</v>
      </c>
      <c r="E315" t="s">
        <v>96</v>
      </c>
    </row>
    <row r="316" spans="1:5" x14ac:dyDescent="0.25">
      <c r="A316" s="14">
        <v>42509.483263888891</v>
      </c>
      <c r="B316" t="s">
        <v>129</v>
      </c>
      <c r="C316" t="s">
        <v>245</v>
      </c>
      <c r="D316">
        <v>1780000</v>
      </c>
      <c r="E316" t="s">
        <v>106</v>
      </c>
    </row>
    <row r="317" spans="1:5" x14ac:dyDescent="0.25">
      <c r="A317" s="14">
        <v>42509.894861111112</v>
      </c>
      <c r="B317" t="s">
        <v>126</v>
      </c>
      <c r="C317" t="s">
        <v>246</v>
      </c>
      <c r="D317">
        <v>1820000</v>
      </c>
      <c r="E317" t="s">
        <v>132</v>
      </c>
    </row>
    <row r="318" spans="1:5" x14ac:dyDescent="0.25">
      <c r="A318" s="14">
        <v>42509.014467592591</v>
      </c>
      <c r="B318" t="s">
        <v>128</v>
      </c>
      <c r="C318" t="s">
        <v>164</v>
      </c>
      <c r="D318">
        <v>1820000</v>
      </c>
      <c r="E318" t="s">
        <v>132</v>
      </c>
    </row>
    <row r="319" spans="1:5" x14ac:dyDescent="0.25">
      <c r="A319" s="14">
        <v>42509.930706018517</v>
      </c>
      <c r="B319" t="s">
        <v>125</v>
      </c>
      <c r="C319" t="s">
        <v>247</v>
      </c>
      <c r="D319">
        <v>1820000</v>
      </c>
      <c r="E319" t="s">
        <v>132</v>
      </c>
    </row>
    <row r="320" spans="1:5" x14ac:dyDescent="0.25">
      <c r="A320" s="14">
        <v>42510.193611111114</v>
      </c>
      <c r="B320" t="s">
        <v>113</v>
      </c>
      <c r="C320" t="s">
        <v>195</v>
      </c>
      <c r="D320">
        <v>1480000</v>
      </c>
      <c r="E320" t="s">
        <v>127</v>
      </c>
    </row>
    <row r="321" spans="1:5" x14ac:dyDescent="0.25">
      <c r="A321" s="14">
        <v>42510.233148148145</v>
      </c>
      <c r="B321" t="s">
        <v>112</v>
      </c>
      <c r="C321" t="s">
        <v>248</v>
      </c>
      <c r="D321">
        <v>1480000</v>
      </c>
      <c r="E321" t="s">
        <v>127</v>
      </c>
    </row>
    <row r="322" spans="1:5" x14ac:dyDescent="0.25">
      <c r="A322" s="14">
        <v>42509.720069444447</v>
      </c>
      <c r="B322" t="s">
        <v>133</v>
      </c>
      <c r="C322" t="s">
        <v>192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125</v>
      </c>
      <c r="C323" t="s">
        <v>214</v>
      </c>
      <c r="D323">
        <v>1780000</v>
      </c>
      <c r="E323" t="s">
        <v>106</v>
      </c>
    </row>
    <row r="324" spans="1:5" x14ac:dyDescent="0.25">
      <c r="A324" s="14">
        <v>42509.681979166664</v>
      </c>
      <c r="B324" t="s">
        <v>104</v>
      </c>
      <c r="C324" t="s">
        <v>249</v>
      </c>
      <c r="D324">
        <v>880000</v>
      </c>
      <c r="E324" t="s">
        <v>105</v>
      </c>
    </row>
    <row r="325" spans="1:5" x14ac:dyDescent="0.25">
      <c r="A325" s="14">
        <v>42509.766018518516</v>
      </c>
      <c r="B325" t="s">
        <v>113</v>
      </c>
      <c r="C325" t="s">
        <v>191</v>
      </c>
      <c r="D325">
        <v>1290000</v>
      </c>
      <c r="E325" t="s">
        <v>148</v>
      </c>
    </row>
    <row r="326" spans="1:5" x14ac:dyDescent="0.25">
      <c r="A326" s="14">
        <v>42509.565706018519</v>
      </c>
      <c r="B326" t="s">
        <v>103</v>
      </c>
      <c r="C326" t="s">
        <v>242</v>
      </c>
      <c r="D326">
        <v>880000</v>
      </c>
      <c r="E326" t="s">
        <v>105</v>
      </c>
    </row>
    <row r="327" spans="1:5" x14ac:dyDescent="0.25">
      <c r="A327" s="14">
        <v>42509.791203703702</v>
      </c>
      <c r="B327" t="s">
        <v>133</v>
      </c>
      <c r="C327" t="s">
        <v>250</v>
      </c>
      <c r="D327">
        <v>1840000</v>
      </c>
      <c r="E327" t="s">
        <v>190</v>
      </c>
    </row>
    <row r="328" spans="1:5" x14ac:dyDescent="0.25">
      <c r="A328" s="14">
        <v>42509.528067129628</v>
      </c>
      <c r="B328" t="s">
        <v>130</v>
      </c>
      <c r="C328" t="s">
        <v>199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133</v>
      </c>
      <c r="C329" t="s">
        <v>250</v>
      </c>
      <c r="D329">
        <v>1840000</v>
      </c>
      <c r="E329" t="s">
        <v>190</v>
      </c>
    </row>
    <row r="330" spans="1:5" x14ac:dyDescent="0.25">
      <c r="A330" s="14">
        <v>42509.226018518515</v>
      </c>
      <c r="B330" t="s">
        <v>104</v>
      </c>
      <c r="C330" t="s">
        <v>176</v>
      </c>
      <c r="D330">
        <v>1760000</v>
      </c>
      <c r="E330" t="s">
        <v>134</v>
      </c>
    </row>
    <row r="331" spans="1:5" x14ac:dyDescent="0.25">
      <c r="A331" s="14">
        <v>42510.254224537035</v>
      </c>
      <c r="B331" t="s">
        <v>89</v>
      </c>
      <c r="C331" t="s">
        <v>251</v>
      </c>
      <c r="D331">
        <v>1430000</v>
      </c>
      <c r="E331" t="s">
        <v>123</v>
      </c>
    </row>
    <row r="332" spans="1:5" x14ac:dyDescent="0.25">
      <c r="A332" s="14">
        <v>42509.20952546296</v>
      </c>
      <c r="B332" t="s">
        <v>114</v>
      </c>
      <c r="C332" t="s">
        <v>178</v>
      </c>
      <c r="D332">
        <v>1300000</v>
      </c>
      <c r="E332" t="s">
        <v>107</v>
      </c>
    </row>
    <row r="333" spans="1:5" x14ac:dyDescent="0.25">
      <c r="A333" s="14">
        <v>42509.715451388889</v>
      </c>
      <c r="B333" t="s">
        <v>103</v>
      </c>
      <c r="C333" t="s">
        <v>252</v>
      </c>
      <c r="D333">
        <v>1830000</v>
      </c>
      <c r="E333" t="s">
        <v>131</v>
      </c>
    </row>
    <row r="334" spans="1:5" x14ac:dyDescent="0.25">
      <c r="A334" s="14">
        <v>42508.994432870371</v>
      </c>
      <c r="B334" t="s">
        <v>150</v>
      </c>
      <c r="C334" t="s">
        <v>162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116</v>
      </c>
      <c r="C335" t="s">
        <v>225</v>
      </c>
      <c r="D335">
        <v>1810000</v>
      </c>
      <c r="E335" t="s">
        <v>146</v>
      </c>
    </row>
    <row r="336" spans="1:5" x14ac:dyDescent="0.25">
      <c r="A336" s="14">
        <v>42508.93136574074</v>
      </c>
      <c r="B336" t="s">
        <v>128</v>
      </c>
      <c r="C336" t="s">
        <v>160</v>
      </c>
      <c r="D336">
        <v>1820000</v>
      </c>
      <c r="E336" t="s">
        <v>132</v>
      </c>
    </row>
    <row r="337" spans="1:5" x14ac:dyDescent="0.25">
      <c r="A337" s="14">
        <v>42509.789884259262</v>
      </c>
      <c r="B337" t="s">
        <v>133</v>
      </c>
      <c r="C337" t="s">
        <v>250</v>
      </c>
      <c r="D337">
        <v>1840000</v>
      </c>
      <c r="E337" t="s">
        <v>190</v>
      </c>
    </row>
    <row r="338" spans="1:5" x14ac:dyDescent="0.25">
      <c r="A338" s="14">
        <v>42508.848796296297</v>
      </c>
      <c r="B338" t="s">
        <v>64</v>
      </c>
      <c r="C338" t="s">
        <v>159</v>
      </c>
      <c r="D338">
        <v>1810000</v>
      </c>
      <c r="E338" t="s">
        <v>146</v>
      </c>
    </row>
    <row r="339" spans="1:5" x14ac:dyDescent="0.25">
      <c r="A339" s="14">
        <v>42509.809479166666</v>
      </c>
      <c r="B339" t="s">
        <v>126</v>
      </c>
      <c r="C339" t="s">
        <v>253</v>
      </c>
      <c r="D339">
        <v>1820000</v>
      </c>
      <c r="E339" t="s">
        <v>132</v>
      </c>
    </row>
    <row r="340" spans="1:5" x14ac:dyDescent="0.25">
      <c r="A340" s="14">
        <v>42508.785601851851</v>
      </c>
      <c r="B340" t="s">
        <v>149</v>
      </c>
      <c r="C340" t="s">
        <v>156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129</v>
      </c>
      <c r="C341" t="s">
        <v>254</v>
      </c>
      <c r="D341">
        <v>1810000</v>
      </c>
      <c r="E341" t="s">
        <v>146</v>
      </c>
    </row>
    <row r="342" spans="1:5" x14ac:dyDescent="0.25">
      <c r="A342" s="14">
        <v>42509.412430555552</v>
      </c>
      <c r="B342" t="s">
        <v>129</v>
      </c>
      <c r="C342" t="s">
        <v>255</v>
      </c>
      <c r="D342">
        <v>1800000</v>
      </c>
      <c r="E342" t="s">
        <v>97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42515</v>
      </c>
      <c r="B2" s="10"/>
      <c r="C2" s="37">
        <v>50</v>
      </c>
      <c r="F2" t="s">
        <v>86</v>
      </c>
    </row>
    <row r="3" spans="1:6" x14ac:dyDescent="0.25">
      <c r="F3" t="s">
        <v>87</v>
      </c>
    </row>
    <row r="4" spans="1:6" x14ac:dyDescent="0.25">
      <c r="F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2016-05-26T15:09:59Z</dcterms:modified>
</cp:coreProperties>
</file>