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Enforcements!$A$6:$N$102</definedName>
    <definedName name="_xlnm._FilterDatabase" localSheetId="2" hidden="1">'Missing Trips'!$A$2:$G$2</definedName>
    <definedName name="_xlnm._FilterDatabase" localSheetId="0" hidden="1">'Train Runs'!$A$12:$AD$208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Runs'!$A$12:$J$98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4" i="1" l="1"/>
  <c r="P16" i="1"/>
  <c r="P14" i="1"/>
  <c r="P126" i="1"/>
  <c r="P110" i="1"/>
  <c r="P93" i="1"/>
  <c r="P82" i="1"/>
  <c r="P80" i="1"/>
  <c r="P75" i="1"/>
  <c r="P73" i="1"/>
  <c r="P71" i="1"/>
  <c r="P19" i="1"/>
  <c r="K15" i="1"/>
  <c r="L15" i="1"/>
  <c r="M15" i="1"/>
  <c r="T15" i="1"/>
  <c r="V15" i="1"/>
  <c r="X15" i="1"/>
  <c r="Y15" i="1"/>
  <c r="U15" i="1" s="1"/>
  <c r="Z15" i="1"/>
  <c r="AB15" i="1"/>
  <c r="AC15" i="1"/>
  <c r="AD15" i="1"/>
  <c r="AE15" i="1"/>
  <c r="AF15" i="1"/>
  <c r="K16" i="1"/>
  <c r="L16" i="1"/>
  <c r="M16" i="1"/>
  <c r="T16" i="1"/>
  <c r="V16" i="1"/>
  <c r="X16" i="1"/>
  <c r="Y16" i="1"/>
  <c r="U16" i="1" s="1"/>
  <c r="S16" i="1" s="1"/>
  <c r="Z16" i="1"/>
  <c r="AB16" i="1"/>
  <c r="AC16" i="1"/>
  <c r="AD16" i="1"/>
  <c r="AE16" i="1"/>
  <c r="AF16" i="1"/>
  <c r="K17" i="1"/>
  <c r="L17" i="1"/>
  <c r="M17" i="1"/>
  <c r="T17" i="1"/>
  <c r="V17" i="1"/>
  <c r="X17" i="1"/>
  <c r="Y17" i="1"/>
  <c r="AA17" i="1" s="1"/>
  <c r="W17" i="1" s="1"/>
  <c r="Z17" i="1"/>
  <c r="AB17" i="1"/>
  <c r="AC17" i="1"/>
  <c r="AD17" i="1"/>
  <c r="AE17" i="1"/>
  <c r="AF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K19" i="1"/>
  <c r="L19" i="1"/>
  <c r="M19" i="1"/>
  <c r="T19" i="1"/>
  <c r="V19" i="1"/>
  <c r="X19" i="1"/>
  <c r="Y19" i="1"/>
  <c r="AA19" i="1" s="1"/>
  <c r="W19" i="1" s="1"/>
  <c r="Z19" i="1"/>
  <c r="AB19" i="1"/>
  <c r="AC19" i="1"/>
  <c r="AD19" i="1"/>
  <c r="AE19" i="1"/>
  <c r="AF19" i="1"/>
  <c r="K20" i="1"/>
  <c r="L20" i="1"/>
  <c r="M20" i="1"/>
  <c r="N20" i="1" s="1"/>
  <c r="T20" i="1"/>
  <c r="V20" i="1"/>
  <c r="X20" i="1"/>
  <c r="Y20" i="1"/>
  <c r="U20" i="1" s="1"/>
  <c r="S20" i="1" s="1"/>
  <c r="Z20" i="1"/>
  <c r="AB20" i="1"/>
  <c r="AC20" i="1"/>
  <c r="AD20" i="1"/>
  <c r="AE20" i="1"/>
  <c r="AF20" i="1"/>
  <c r="K21" i="1"/>
  <c r="L21" i="1"/>
  <c r="M21" i="1"/>
  <c r="N21" i="1" s="1"/>
  <c r="T21" i="1"/>
  <c r="V21" i="1"/>
  <c r="X21" i="1"/>
  <c r="Y21" i="1"/>
  <c r="AA21" i="1" s="1"/>
  <c r="W21" i="1" s="1"/>
  <c r="Z21" i="1"/>
  <c r="AB21" i="1"/>
  <c r="AC21" i="1"/>
  <c r="AD21" i="1"/>
  <c r="AE21" i="1"/>
  <c r="AF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K23" i="1"/>
  <c r="L23" i="1"/>
  <c r="M23" i="1"/>
  <c r="N23" i="1" s="1"/>
  <c r="T23" i="1"/>
  <c r="V23" i="1"/>
  <c r="X23" i="1"/>
  <c r="Y23" i="1"/>
  <c r="AA23" i="1" s="1"/>
  <c r="W23" i="1" s="1"/>
  <c r="Z23" i="1"/>
  <c r="AB23" i="1"/>
  <c r="AC23" i="1"/>
  <c r="AD23" i="1"/>
  <c r="AE23" i="1"/>
  <c r="AF23" i="1"/>
  <c r="K24" i="1"/>
  <c r="L24" i="1"/>
  <c r="M24" i="1"/>
  <c r="N24" i="1" s="1"/>
  <c r="T24" i="1"/>
  <c r="V24" i="1"/>
  <c r="X24" i="1"/>
  <c r="Y24" i="1"/>
  <c r="U24" i="1" s="1"/>
  <c r="S24" i="1" s="1"/>
  <c r="Z24" i="1"/>
  <c r="AA24" i="1" s="1"/>
  <c r="W24" i="1" s="1"/>
  <c r="AB24" i="1"/>
  <c r="AC24" i="1"/>
  <c r="AD24" i="1"/>
  <c r="AE24" i="1"/>
  <c r="AF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K26" i="1"/>
  <c r="L26" i="1"/>
  <c r="M26" i="1"/>
  <c r="N26" i="1" s="1"/>
  <c r="T26" i="1"/>
  <c r="V26" i="1"/>
  <c r="X26" i="1"/>
  <c r="Y26" i="1"/>
  <c r="U26" i="1" s="1"/>
  <c r="S26" i="1" s="1"/>
  <c r="Z26" i="1"/>
  <c r="AA26" i="1" s="1"/>
  <c r="W26" i="1" s="1"/>
  <c r="AB26" i="1"/>
  <c r="AC26" i="1"/>
  <c r="AD26" i="1"/>
  <c r="AE26" i="1"/>
  <c r="AF26" i="1"/>
  <c r="K27" i="1"/>
  <c r="L27" i="1"/>
  <c r="M27" i="1"/>
  <c r="N27" i="1" s="1"/>
  <c r="T27" i="1"/>
  <c r="V27" i="1"/>
  <c r="X27" i="1"/>
  <c r="Y27" i="1"/>
  <c r="AA27" i="1" s="1"/>
  <c r="W27" i="1" s="1"/>
  <c r="Z27" i="1"/>
  <c r="AB27" i="1"/>
  <c r="AC27" i="1"/>
  <c r="AD27" i="1"/>
  <c r="AE27" i="1"/>
  <c r="AF27" i="1"/>
  <c r="K28" i="1"/>
  <c r="L28" i="1"/>
  <c r="M28" i="1"/>
  <c r="N28" i="1" s="1"/>
  <c r="T28" i="1"/>
  <c r="V28" i="1"/>
  <c r="X28" i="1"/>
  <c r="Y28" i="1"/>
  <c r="Z28" i="1"/>
  <c r="AA28" i="1" s="1"/>
  <c r="W28" i="1" s="1"/>
  <c r="AB28" i="1"/>
  <c r="AC28" i="1"/>
  <c r="AD28" i="1"/>
  <c r="AE28" i="1"/>
  <c r="AF28" i="1"/>
  <c r="K29" i="1"/>
  <c r="L29" i="1"/>
  <c r="M29" i="1"/>
  <c r="N29" i="1" s="1"/>
  <c r="T29" i="1"/>
  <c r="V29" i="1"/>
  <c r="X29" i="1"/>
  <c r="Y29" i="1"/>
  <c r="AA29" i="1" s="1"/>
  <c r="W29" i="1" s="1"/>
  <c r="Z29" i="1"/>
  <c r="AB29" i="1"/>
  <c r="AC29" i="1"/>
  <c r="AD29" i="1"/>
  <c r="AE29" i="1"/>
  <c r="AF29" i="1"/>
  <c r="K30" i="1"/>
  <c r="L30" i="1"/>
  <c r="M30" i="1"/>
  <c r="N30" i="1" s="1"/>
  <c r="T30" i="1"/>
  <c r="V30" i="1"/>
  <c r="X30" i="1"/>
  <c r="Y30" i="1"/>
  <c r="U30" i="1" s="1"/>
  <c r="S30" i="1" s="1"/>
  <c r="Z30" i="1"/>
  <c r="AA30" i="1"/>
  <c r="W30" i="1" s="1"/>
  <c r="AB30" i="1"/>
  <c r="AC30" i="1"/>
  <c r="AD30" i="1"/>
  <c r="AE30" i="1"/>
  <c r="AF30" i="1"/>
  <c r="K31" i="1"/>
  <c r="L31" i="1"/>
  <c r="M31" i="1"/>
  <c r="N31" i="1" s="1"/>
  <c r="T31" i="1"/>
  <c r="V31" i="1"/>
  <c r="X31" i="1"/>
  <c r="Y31" i="1"/>
  <c r="AA31" i="1" s="1"/>
  <c r="W31" i="1" s="1"/>
  <c r="Z31" i="1"/>
  <c r="AB31" i="1"/>
  <c r="AC31" i="1"/>
  <c r="AD31" i="1"/>
  <c r="AE31" i="1"/>
  <c r="AF31" i="1"/>
  <c r="K32" i="1"/>
  <c r="L32" i="1"/>
  <c r="M32" i="1"/>
  <c r="N32" i="1" s="1"/>
  <c r="T32" i="1"/>
  <c r="V32" i="1"/>
  <c r="X32" i="1"/>
  <c r="Y32" i="1"/>
  <c r="U32" i="1" s="1"/>
  <c r="S32" i="1" s="1"/>
  <c r="Z32" i="1"/>
  <c r="AA32" i="1" s="1"/>
  <c r="W32" i="1" s="1"/>
  <c r="AB32" i="1"/>
  <c r="AC32" i="1"/>
  <c r="AD32" i="1"/>
  <c r="AE32" i="1"/>
  <c r="AF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K34" i="1"/>
  <c r="L34" i="1"/>
  <c r="M34" i="1"/>
  <c r="N34" i="1" s="1"/>
  <c r="T34" i="1"/>
  <c r="V34" i="1"/>
  <c r="X34" i="1"/>
  <c r="Y34" i="1"/>
  <c r="U34" i="1" s="1"/>
  <c r="S34" i="1" s="1"/>
  <c r="Z34" i="1"/>
  <c r="AA34" i="1" s="1"/>
  <c r="W34" i="1" s="1"/>
  <c r="AB34" i="1"/>
  <c r="AC34" i="1"/>
  <c r="AD34" i="1"/>
  <c r="AE34" i="1"/>
  <c r="AF34" i="1"/>
  <c r="K35" i="1"/>
  <c r="L35" i="1"/>
  <c r="M35" i="1"/>
  <c r="N35" i="1" s="1"/>
  <c r="T35" i="1"/>
  <c r="V35" i="1"/>
  <c r="X35" i="1"/>
  <c r="Y35" i="1"/>
  <c r="AA35" i="1" s="1"/>
  <c r="W35" i="1" s="1"/>
  <c r="Z35" i="1"/>
  <c r="AB35" i="1"/>
  <c r="AC35" i="1"/>
  <c r="AD35" i="1"/>
  <c r="AE35" i="1"/>
  <c r="AF35" i="1"/>
  <c r="K36" i="1"/>
  <c r="L36" i="1"/>
  <c r="M36" i="1"/>
  <c r="N36" i="1" s="1"/>
  <c r="T36" i="1"/>
  <c r="V36" i="1"/>
  <c r="X36" i="1"/>
  <c r="Y36" i="1"/>
  <c r="Z36" i="1"/>
  <c r="AA36" i="1" s="1"/>
  <c r="W36" i="1" s="1"/>
  <c r="AB36" i="1"/>
  <c r="AC36" i="1"/>
  <c r="AD36" i="1"/>
  <c r="AE36" i="1"/>
  <c r="AF36" i="1"/>
  <c r="K37" i="1"/>
  <c r="L37" i="1"/>
  <c r="M37" i="1"/>
  <c r="N37" i="1" s="1"/>
  <c r="T37" i="1"/>
  <c r="V37" i="1"/>
  <c r="X37" i="1"/>
  <c r="Y37" i="1"/>
  <c r="AA37" i="1" s="1"/>
  <c r="W37" i="1" s="1"/>
  <c r="Z37" i="1"/>
  <c r="AB37" i="1"/>
  <c r="AC37" i="1"/>
  <c r="AD37" i="1"/>
  <c r="AE37" i="1"/>
  <c r="AF37" i="1"/>
  <c r="K38" i="1"/>
  <c r="L38" i="1"/>
  <c r="M38" i="1"/>
  <c r="N38" i="1" s="1"/>
  <c r="T38" i="1"/>
  <c r="V38" i="1"/>
  <c r="X38" i="1"/>
  <c r="Y38" i="1"/>
  <c r="U38" i="1" s="1"/>
  <c r="S38" i="1" s="1"/>
  <c r="Z38" i="1"/>
  <c r="AA38" i="1"/>
  <c r="W38" i="1" s="1"/>
  <c r="AB38" i="1"/>
  <c r="AC38" i="1"/>
  <c r="AD38" i="1"/>
  <c r="AE38" i="1"/>
  <c r="AF38" i="1"/>
  <c r="K39" i="1"/>
  <c r="L39" i="1"/>
  <c r="M39" i="1"/>
  <c r="N39" i="1" s="1"/>
  <c r="T39" i="1"/>
  <c r="V39" i="1"/>
  <c r="X39" i="1"/>
  <c r="Y39" i="1"/>
  <c r="AA39" i="1" s="1"/>
  <c r="W39" i="1" s="1"/>
  <c r="Z39" i="1"/>
  <c r="AB39" i="1"/>
  <c r="AC39" i="1"/>
  <c r="AD39" i="1"/>
  <c r="AE39" i="1"/>
  <c r="AF39" i="1"/>
  <c r="K40" i="1"/>
  <c r="L40" i="1"/>
  <c r="M40" i="1"/>
  <c r="N40" i="1" s="1"/>
  <c r="T40" i="1"/>
  <c r="V40" i="1"/>
  <c r="X40" i="1"/>
  <c r="Y40" i="1"/>
  <c r="U40" i="1" s="1"/>
  <c r="S40" i="1" s="1"/>
  <c r="Z40" i="1"/>
  <c r="AA40" i="1" s="1"/>
  <c r="W40" i="1" s="1"/>
  <c r="AB40" i="1"/>
  <c r="AC40" i="1"/>
  <c r="AD40" i="1"/>
  <c r="AE40" i="1"/>
  <c r="AF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K42" i="1"/>
  <c r="L42" i="1"/>
  <c r="M42" i="1"/>
  <c r="N42" i="1" s="1"/>
  <c r="T42" i="1"/>
  <c r="V42" i="1"/>
  <c r="X42" i="1"/>
  <c r="Y42" i="1"/>
  <c r="U42" i="1" s="1"/>
  <c r="S42" i="1" s="1"/>
  <c r="Z42" i="1"/>
  <c r="AA42" i="1" s="1"/>
  <c r="W42" i="1" s="1"/>
  <c r="AB42" i="1"/>
  <c r="AC42" i="1"/>
  <c r="AD42" i="1"/>
  <c r="AE42" i="1"/>
  <c r="AF42" i="1"/>
  <c r="K43" i="1"/>
  <c r="L43" i="1"/>
  <c r="M43" i="1"/>
  <c r="N43" i="1" s="1"/>
  <c r="T43" i="1"/>
  <c r="V43" i="1"/>
  <c r="X43" i="1"/>
  <c r="Y43" i="1"/>
  <c r="AA43" i="1" s="1"/>
  <c r="W43" i="1" s="1"/>
  <c r="Z43" i="1"/>
  <c r="AB43" i="1"/>
  <c r="AC43" i="1"/>
  <c r="AD43" i="1"/>
  <c r="AE43" i="1"/>
  <c r="AF43" i="1"/>
  <c r="K44" i="1"/>
  <c r="L44" i="1"/>
  <c r="M44" i="1"/>
  <c r="N44" i="1" s="1"/>
  <c r="T44" i="1"/>
  <c r="V44" i="1"/>
  <c r="X44" i="1"/>
  <c r="Y44" i="1"/>
  <c r="Z44" i="1"/>
  <c r="AA44" i="1" s="1"/>
  <c r="W44" i="1" s="1"/>
  <c r="AB44" i="1"/>
  <c r="AC44" i="1"/>
  <c r="AD44" i="1"/>
  <c r="AE44" i="1"/>
  <c r="AF44" i="1"/>
  <c r="K45" i="1"/>
  <c r="L45" i="1"/>
  <c r="M45" i="1"/>
  <c r="N45" i="1" s="1"/>
  <c r="T45" i="1"/>
  <c r="V45" i="1"/>
  <c r="X45" i="1"/>
  <c r="Y45" i="1"/>
  <c r="AA45" i="1" s="1"/>
  <c r="W45" i="1" s="1"/>
  <c r="Z45" i="1"/>
  <c r="AB45" i="1"/>
  <c r="AC45" i="1"/>
  <c r="AD45" i="1"/>
  <c r="AE45" i="1"/>
  <c r="AF45" i="1"/>
  <c r="K46" i="1"/>
  <c r="L46" i="1"/>
  <c r="M46" i="1"/>
  <c r="N46" i="1" s="1"/>
  <c r="T46" i="1"/>
  <c r="V46" i="1"/>
  <c r="X46" i="1"/>
  <c r="Y46" i="1"/>
  <c r="U46" i="1" s="1"/>
  <c r="S46" i="1" s="1"/>
  <c r="Z46" i="1"/>
  <c r="AA46" i="1"/>
  <c r="W46" i="1" s="1"/>
  <c r="AB46" i="1"/>
  <c r="AC46" i="1"/>
  <c r="AD46" i="1"/>
  <c r="AE46" i="1"/>
  <c r="AF46" i="1"/>
  <c r="K47" i="1"/>
  <c r="L47" i="1"/>
  <c r="M47" i="1"/>
  <c r="N47" i="1" s="1"/>
  <c r="T47" i="1"/>
  <c r="V47" i="1"/>
  <c r="X47" i="1"/>
  <c r="Y47" i="1"/>
  <c r="AA47" i="1" s="1"/>
  <c r="W47" i="1" s="1"/>
  <c r="Z47" i="1"/>
  <c r="AB47" i="1"/>
  <c r="AC47" i="1"/>
  <c r="AD47" i="1"/>
  <c r="AE47" i="1"/>
  <c r="AF47" i="1"/>
  <c r="K48" i="1"/>
  <c r="L48" i="1"/>
  <c r="M48" i="1"/>
  <c r="N48" i="1" s="1"/>
  <c r="T48" i="1"/>
  <c r="V48" i="1"/>
  <c r="X48" i="1"/>
  <c r="Y48" i="1"/>
  <c r="Z48" i="1"/>
  <c r="AA48" i="1" s="1"/>
  <c r="W48" i="1" s="1"/>
  <c r="AB48" i="1"/>
  <c r="AC48" i="1"/>
  <c r="AD48" i="1"/>
  <c r="AE48" i="1"/>
  <c r="AF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K50" i="1"/>
  <c r="L50" i="1"/>
  <c r="M50" i="1"/>
  <c r="N50" i="1" s="1"/>
  <c r="T50" i="1"/>
  <c r="V50" i="1"/>
  <c r="X50" i="1"/>
  <c r="Y50" i="1"/>
  <c r="U50" i="1" s="1"/>
  <c r="S50" i="1" s="1"/>
  <c r="Z50" i="1"/>
  <c r="AA50" i="1" s="1"/>
  <c r="W50" i="1" s="1"/>
  <c r="AB50" i="1"/>
  <c r="AC50" i="1"/>
  <c r="AD50" i="1"/>
  <c r="AE50" i="1"/>
  <c r="AF50" i="1"/>
  <c r="K51" i="1"/>
  <c r="L51" i="1"/>
  <c r="M51" i="1"/>
  <c r="N51" i="1" s="1"/>
  <c r="T51" i="1"/>
  <c r="V51" i="1"/>
  <c r="X51" i="1"/>
  <c r="Y51" i="1"/>
  <c r="AA51" i="1" s="1"/>
  <c r="W51" i="1" s="1"/>
  <c r="Z51" i="1"/>
  <c r="AB51" i="1"/>
  <c r="AC51" i="1"/>
  <c r="AD51" i="1"/>
  <c r="AE51" i="1"/>
  <c r="AF51" i="1"/>
  <c r="K52" i="1"/>
  <c r="L52" i="1"/>
  <c r="M52" i="1"/>
  <c r="N52" i="1" s="1"/>
  <c r="T52" i="1"/>
  <c r="V52" i="1"/>
  <c r="X52" i="1"/>
  <c r="Y52" i="1"/>
  <c r="Z52" i="1"/>
  <c r="AA52" i="1" s="1"/>
  <c r="W52" i="1" s="1"/>
  <c r="AB52" i="1"/>
  <c r="AC52" i="1"/>
  <c r="AD52" i="1"/>
  <c r="AE52" i="1"/>
  <c r="AF52" i="1"/>
  <c r="K53" i="1"/>
  <c r="L53" i="1"/>
  <c r="M53" i="1"/>
  <c r="N53" i="1" s="1"/>
  <c r="T53" i="1"/>
  <c r="V53" i="1"/>
  <c r="X53" i="1"/>
  <c r="Y53" i="1"/>
  <c r="AA53" i="1" s="1"/>
  <c r="W53" i="1" s="1"/>
  <c r="Z53" i="1"/>
  <c r="AB53" i="1"/>
  <c r="AC53" i="1"/>
  <c r="AD53" i="1"/>
  <c r="AE53" i="1"/>
  <c r="AF53" i="1"/>
  <c r="K54" i="1"/>
  <c r="L54" i="1"/>
  <c r="M54" i="1"/>
  <c r="N54" i="1" s="1"/>
  <c r="T54" i="1"/>
  <c r="V54" i="1"/>
  <c r="X54" i="1"/>
  <c r="Y54" i="1"/>
  <c r="U54" i="1" s="1"/>
  <c r="S54" i="1" s="1"/>
  <c r="Z54" i="1"/>
  <c r="AA54" i="1"/>
  <c r="W54" i="1" s="1"/>
  <c r="AB54" i="1"/>
  <c r="AC54" i="1"/>
  <c r="AD54" i="1"/>
  <c r="AE54" i="1"/>
  <c r="AF54" i="1"/>
  <c r="K55" i="1"/>
  <c r="L55" i="1"/>
  <c r="M55" i="1"/>
  <c r="N55" i="1" s="1"/>
  <c r="T55" i="1"/>
  <c r="V55" i="1"/>
  <c r="X55" i="1"/>
  <c r="Y55" i="1"/>
  <c r="AA55" i="1" s="1"/>
  <c r="W55" i="1" s="1"/>
  <c r="Z55" i="1"/>
  <c r="AB55" i="1"/>
  <c r="AC55" i="1"/>
  <c r="AD55" i="1"/>
  <c r="AE55" i="1"/>
  <c r="AF55" i="1"/>
  <c r="K56" i="1"/>
  <c r="L56" i="1"/>
  <c r="M56" i="1"/>
  <c r="N56" i="1" s="1"/>
  <c r="T56" i="1"/>
  <c r="V56" i="1"/>
  <c r="X56" i="1"/>
  <c r="Y56" i="1"/>
  <c r="Z56" i="1"/>
  <c r="AA56" i="1" s="1"/>
  <c r="W56" i="1" s="1"/>
  <c r="AB56" i="1"/>
  <c r="AC56" i="1"/>
  <c r="AD56" i="1"/>
  <c r="AE56" i="1"/>
  <c r="AF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K58" i="1"/>
  <c r="L58" i="1"/>
  <c r="M58" i="1"/>
  <c r="N58" i="1" s="1"/>
  <c r="T58" i="1"/>
  <c r="V58" i="1"/>
  <c r="X58" i="1"/>
  <c r="Y58" i="1"/>
  <c r="AA58" i="1" s="1"/>
  <c r="W58" i="1" s="1"/>
  <c r="Z58" i="1"/>
  <c r="AB58" i="1"/>
  <c r="AC58" i="1"/>
  <c r="AD58" i="1"/>
  <c r="AE58" i="1"/>
  <c r="AF58" i="1"/>
  <c r="K59" i="1"/>
  <c r="L59" i="1"/>
  <c r="M59" i="1"/>
  <c r="N59" i="1" s="1"/>
  <c r="T59" i="1"/>
  <c r="V59" i="1"/>
  <c r="X59" i="1"/>
  <c r="Y59" i="1"/>
  <c r="U59" i="1" s="1"/>
  <c r="S59" i="1" s="1"/>
  <c r="Z59" i="1"/>
  <c r="AA59" i="1" s="1"/>
  <c r="W59" i="1" s="1"/>
  <c r="AB59" i="1"/>
  <c r="AC59" i="1"/>
  <c r="AD59" i="1"/>
  <c r="AE59" i="1"/>
  <c r="AF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K61" i="1"/>
  <c r="L61" i="1"/>
  <c r="M61" i="1"/>
  <c r="N61" i="1" s="1"/>
  <c r="T61" i="1"/>
  <c r="V61" i="1"/>
  <c r="X61" i="1"/>
  <c r="Y61" i="1"/>
  <c r="AA61" i="1" s="1"/>
  <c r="W61" i="1" s="1"/>
  <c r="Z61" i="1"/>
  <c r="AB61" i="1"/>
  <c r="AC61" i="1"/>
  <c r="AD61" i="1"/>
  <c r="AE61" i="1"/>
  <c r="AF61" i="1"/>
  <c r="K62" i="1"/>
  <c r="L62" i="1"/>
  <c r="M62" i="1"/>
  <c r="N62" i="1" s="1"/>
  <c r="T62" i="1"/>
  <c r="V62" i="1"/>
  <c r="X62" i="1"/>
  <c r="Y62" i="1"/>
  <c r="AA62" i="1" s="1"/>
  <c r="W62" i="1" s="1"/>
  <c r="Z62" i="1"/>
  <c r="AB62" i="1"/>
  <c r="AC62" i="1"/>
  <c r="AD62" i="1"/>
  <c r="AE62" i="1"/>
  <c r="AF62" i="1"/>
  <c r="K63" i="1"/>
  <c r="L63" i="1"/>
  <c r="M63" i="1"/>
  <c r="N63" i="1" s="1"/>
  <c r="T63" i="1"/>
  <c r="V63" i="1"/>
  <c r="X63" i="1"/>
  <c r="Y63" i="1"/>
  <c r="Z63" i="1"/>
  <c r="AA63" i="1"/>
  <c r="W63" i="1" s="1"/>
  <c r="AB63" i="1"/>
  <c r="AC63" i="1"/>
  <c r="AD63" i="1"/>
  <c r="AE63" i="1"/>
  <c r="AF63" i="1"/>
  <c r="K64" i="1"/>
  <c r="L64" i="1"/>
  <c r="M64" i="1"/>
  <c r="N64" i="1" s="1"/>
  <c r="T64" i="1"/>
  <c r="V64" i="1"/>
  <c r="X64" i="1"/>
  <c r="Y64" i="1"/>
  <c r="U64" i="1" s="1"/>
  <c r="S64" i="1" s="1"/>
  <c r="Z64" i="1"/>
  <c r="AB64" i="1"/>
  <c r="AC64" i="1"/>
  <c r="AD64" i="1"/>
  <c r="AE64" i="1"/>
  <c r="AF64" i="1"/>
  <c r="K65" i="1"/>
  <c r="L65" i="1"/>
  <c r="M65" i="1"/>
  <c r="N65" i="1" s="1"/>
  <c r="T65" i="1"/>
  <c r="V65" i="1"/>
  <c r="X65" i="1"/>
  <c r="Y65" i="1"/>
  <c r="AA65" i="1" s="1"/>
  <c r="W65" i="1" s="1"/>
  <c r="Z65" i="1"/>
  <c r="AB65" i="1"/>
  <c r="AC65" i="1"/>
  <c r="AD65" i="1"/>
  <c r="AE65" i="1"/>
  <c r="AF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K67" i="1"/>
  <c r="L67" i="1"/>
  <c r="M67" i="1"/>
  <c r="N67" i="1" s="1"/>
  <c r="T67" i="1"/>
  <c r="V67" i="1"/>
  <c r="X67" i="1"/>
  <c r="Y67" i="1"/>
  <c r="Z67" i="1"/>
  <c r="AA67" i="1" s="1"/>
  <c r="W67" i="1" s="1"/>
  <c r="AB67" i="1"/>
  <c r="AC67" i="1"/>
  <c r="AD67" i="1"/>
  <c r="AE67" i="1"/>
  <c r="AF67" i="1"/>
  <c r="K68" i="1"/>
  <c r="L68" i="1"/>
  <c r="M68" i="1"/>
  <c r="N68" i="1" s="1"/>
  <c r="T68" i="1"/>
  <c r="V68" i="1"/>
  <c r="X68" i="1"/>
  <c r="Y68" i="1"/>
  <c r="U68" i="1" s="1"/>
  <c r="S68" i="1" s="1"/>
  <c r="Z68" i="1"/>
  <c r="AB68" i="1"/>
  <c r="AC68" i="1"/>
  <c r="AD68" i="1"/>
  <c r="AE68" i="1"/>
  <c r="AF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AE70" i="1"/>
  <c r="AF70" i="1"/>
  <c r="K71" i="1"/>
  <c r="L71" i="1"/>
  <c r="M71" i="1"/>
  <c r="T71" i="1"/>
  <c r="V71" i="1"/>
  <c r="X71" i="1"/>
  <c r="Y71" i="1"/>
  <c r="Z71" i="1"/>
  <c r="AA71" i="1" s="1"/>
  <c r="W71" i="1" s="1"/>
  <c r="AB71" i="1"/>
  <c r="AC71" i="1"/>
  <c r="AD71" i="1"/>
  <c r="AE71" i="1"/>
  <c r="AF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AE72" i="1"/>
  <c r="AF72" i="1"/>
  <c r="K73" i="1"/>
  <c r="L73" i="1"/>
  <c r="M73" i="1"/>
  <c r="T73" i="1"/>
  <c r="V73" i="1"/>
  <c r="X73" i="1"/>
  <c r="Y73" i="1"/>
  <c r="Z73" i="1"/>
  <c r="AB73" i="1"/>
  <c r="AC73" i="1"/>
  <c r="AD73" i="1"/>
  <c r="AE73" i="1"/>
  <c r="AF73" i="1"/>
  <c r="K74" i="1"/>
  <c r="L74" i="1"/>
  <c r="M74" i="1"/>
  <c r="N74" i="1" s="1"/>
  <c r="T74" i="1"/>
  <c r="V74" i="1"/>
  <c r="X74" i="1"/>
  <c r="Y74" i="1"/>
  <c r="AA74" i="1" s="1"/>
  <c r="W74" i="1" s="1"/>
  <c r="Z74" i="1"/>
  <c r="AB74" i="1"/>
  <c r="AC74" i="1"/>
  <c r="AD74" i="1"/>
  <c r="AE74" i="1"/>
  <c r="AF74" i="1"/>
  <c r="K75" i="1"/>
  <c r="L75" i="1"/>
  <c r="M75" i="1"/>
  <c r="T75" i="1"/>
  <c r="V75" i="1"/>
  <c r="X75" i="1"/>
  <c r="Y75" i="1"/>
  <c r="Z75" i="1"/>
  <c r="AA75" i="1" s="1"/>
  <c r="W75" i="1" s="1"/>
  <c r="AB75" i="1"/>
  <c r="AC75" i="1"/>
  <c r="AD75" i="1"/>
  <c r="AE75" i="1"/>
  <c r="AF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K77" i="1"/>
  <c r="L77" i="1"/>
  <c r="M77" i="1"/>
  <c r="N77" i="1" s="1"/>
  <c r="T77" i="1"/>
  <c r="V77" i="1"/>
  <c r="X77" i="1"/>
  <c r="Y77" i="1"/>
  <c r="U77" i="1" s="1"/>
  <c r="S77" i="1" s="1"/>
  <c r="Z77" i="1"/>
  <c r="AB77" i="1"/>
  <c r="AC77" i="1"/>
  <c r="AD77" i="1"/>
  <c r="AE77" i="1"/>
  <c r="AF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K80" i="1"/>
  <c r="L80" i="1"/>
  <c r="M80" i="1"/>
  <c r="T80" i="1"/>
  <c r="V80" i="1"/>
  <c r="X80" i="1"/>
  <c r="Y80" i="1"/>
  <c r="AA80" i="1" s="1"/>
  <c r="W80" i="1" s="1"/>
  <c r="Z80" i="1"/>
  <c r="AB80" i="1"/>
  <c r="AC80" i="1"/>
  <c r="AD80" i="1"/>
  <c r="AE80" i="1"/>
  <c r="AF80" i="1"/>
  <c r="K81" i="1"/>
  <c r="L81" i="1"/>
  <c r="M81" i="1"/>
  <c r="N81" i="1" s="1"/>
  <c r="T81" i="1"/>
  <c r="V81" i="1"/>
  <c r="X81" i="1"/>
  <c r="Y81" i="1"/>
  <c r="Z81" i="1"/>
  <c r="AA81" i="1"/>
  <c r="W81" i="1" s="1"/>
  <c r="AB81" i="1"/>
  <c r="AC81" i="1"/>
  <c r="AD81" i="1"/>
  <c r="AE81" i="1"/>
  <c r="AF81" i="1"/>
  <c r="K82" i="1"/>
  <c r="L82" i="1"/>
  <c r="M82" i="1"/>
  <c r="T82" i="1"/>
  <c r="V82" i="1"/>
  <c r="X82" i="1"/>
  <c r="Y82" i="1"/>
  <c r="AA82" i="1" s="1"/>
  <c r="W82" i="1" s="1"/>
  <c r="Z82" i="1"/>
  <c r="AB82" i="1"/>
  <c r="AC82" i="1"/>
  <c r="AD82" i="1"/>
  <c r="AE82" i="1"/>
  <c r="AF82" i="1"/>
  <c r="K83" i="1"/>
  <c r="L83" i="1"/>
  <c r="M83" i="1"/>
  <c r="N83" i="1" s="1"/>
  <c r="T83" i="1"/>
  <c r="V83" i="1"/>
  <c r="X83" i="1"/>
  <c r="Y83" i="1"/>
  <c r="U83" i="1" s="1"/>
  <c r="S83" i="1" s="1"/>
  <c r="Z83" i="1"/>
  <c r="AA83" i="1" s="1"/>
  <c r="W83" i="1" s="1"/>
  <c r="AB83" i="1"/>
  <c r="AC83" i="1"/>
  <c r="AD83" i="1"/>
  <c r="AE83" i="1"/>
  <c r="AF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K85" i="1"/>
  <c r="L85" i="1"/>
  <c r="M85" i="1"/>
  <c r="N85" i="1" s="1"/>
  <c r="T85" i="1"/>
  <c r="V85" i="1"/>
  <c r="X85" i="1"/>
  <c r="Y85" i="1"/>
  <c r="U85" i="1" s="1"/>
  <c r="S85" i="1" s="1"/>
  <c r="Z85" i="1"/>
  <c r="AB85" i="1"/>
  <c r="AC85" i="1"/>
  <c r="AD85" i="1"/>
  <c r="AE85" i="1"/>
  <c r="AF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AE87" i="1"/>
  <c r="AF87" i="1"/>
  <c r="K88" i="1"/>
  <c r="L88" i="1"/>
  <c r="M88" i="1"/>
  <c r="N88" i="1" s="1"/>
  <c r="T88" i="1"/>
  <c r="V88" i="1"/>
  <c r="X88" i="1"/>
  <c r="Y88" i="1"/>
  <c r="Z88" i="1"/>
  <c r="U88" i="1" s="1"/>
  <c r="S88" i="1" s="1"/>
  <c r="AB88" i="1"/>
  <c r="AC88" i="1"/>
  <c r="AD88" i="1"/>
  <c r="AE88" i="1"/>
  <c r="AF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K92" i="1"/>
  <c r="L92" i="1"/>
  <c r="M92" i="1"/>
  <c r="N92" i="1" s="1"/>
  <c r="T92" i="1"/>
  <c r="V92" i="1"/>
  <c r="X92" i="1"/>
  <c r="Y92" i="1"/>
  <c r="Z92" i="1"/>
  <c r="U92" i="1" s="1"/>
  <c r="S92" i="1" s="1"/>
  <c r="AB92" i="1"/>
  <c r="AC92" i="1"/>
  <c r="AD92" i="1"/>
  <c r="AE92" i="1"/>
  <c r="AF92" i="1"/>
  <c r="K93" i="1"/>
  <c r="L93" i="1"/>
  <c r="M93" i="1"/>
  <c r="T93" i="1"/>
  <c r="V93" i="1"/>
  <c r="X93" i="1"/>
  <c r="Y93" i="1"/>
  <c r="Z93" i="1"/>
  <c r="AB93" i="1"/>
  <c r="AC93" i="1"/>
  <c r="AD93" i="1"/>
  <c r="AE93" i="1"/>
  <c r="AF93" i="1"/>
  <c r="K94" i="1"/>
  <c r="L94" i="1"/>
  <c r="M94" i="1"/>
  <c r="T94" i="1"/>
  <c r="V94" i="1"/>
  <c r="X94" i="1"/>
  <c r="Y94" i="1"/>
  <c r="Z94" i="1"/>
  <c r="AB94" i="1"/>
  <c r="AC94" i="1"/>
  <c r="AD94" i="1"/>
  <c r="AE94" i="1"/>
  <c r="AF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K96" i="1"/>
  <c r="L96" i="1"/>
  <c r="M96" i="1"/>
  <c r="N96" i="1" s="1"/>
  <c r="T96" i="1"/>
  <c r="V96" i="1"/>
  <c r="X96" i="1"/>
  <c r="Y96" i="1"/>
  <c r="Z96" i="1"/>
  <c r="U96" i="1" s="1"/>
  <c r="S96" i="1" s="1"/>
  <c r="AB96" i="1"/>
  <c r="AC96" i="1"/>
  <c r="AD96" i="1"/>
  <c r="AE96" i="1"/>
  <c r="AF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K99" i="1"/>
  <c r="L99" i="1"/>
  <c r="M99" i="1"/>
  <c r="N99" i="1" s="1"/>
  <c r="T99" i="1"/>
  <c r="V99" i="1"/>
  <c r="X99" i="1"/>
  <c r="Y99" i="1"/>
  <c r="Z99" i="1"/>
  <c r="AB99" i="1"/>
  <c r="AC99" i="1"/>
  <c r="AD99" i="1"/>
  <c r="AE99" i="1"/>
  <c r="AF99" i="1"/>
  <c r="K100" i="1"/>
  <c r="L100" i="1"/>
  <c r="M100" i="1"/>
  <c r="N100" i="1" s="1"/>
  <c r="T100" i="1"/>
  <c r="V100" i="1"/>
  <c r="X100" i="1"/>
  <c r="Y100" i="1"/>
  <c r="Z100" i="1"/>
  <c r="U100" i="1" s="1"/>
  <c r="S100" i="1" s="1"/>
  <c r="AB100" i="1"/>
  <c r="AC100" i="1"/>
  <c r="AD100" i="1"/>
  <c r="AE100" i="1"/>
  <c r="AF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AE103" i="1"/>
  <c r="AF103" i="1"/>
  <c r="K104" i="1"/>
  <c r="L104" i="1"/>
  <c r="M104" i="1"/>
  <c r="T104" i="1"/>
  <c r="V104" i="1"/>
  <c r="X104" i="1"/>
  <c r="Y104" i="1"/>
  <c r="U104" i="1"/>
  <c r="S104" i="1" s="1"/>
  <c r="AB104" i="1"/>
  <c r="AC104" i="1"/>
  <c r="AD104" i="1"/>
  <c r="AE104" i="1"/>
  <c r="AF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K108" i="1"/>
  <c r="L108" i="1"/>
  <c r="M108" i="1"/>
  <c r="N108" i="1" s="1"/>
  <c r="T108" i="1"/>
  <c r="V108" i="1"/>
  <c r="X108" i="1"/>
  <c r="Y108" i="1"/>
  <c r="Z108" i="1"/>
  <c r="U108" i="1" s="1"/>
  <c r="S108" i="1" s="1"/>
  <c r="AB108" i="1"/>
  <c r="AC108" i="1"/>
  <c r="AD108" i="1"/>
  <c r="AE108" i="1"/>
  <c r="AF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K110" i="1"/>
  <c r="L110" i="1"/>
  <c r="M110" i="1"/>
  <c r="T110" i="1"/>
  <c r="V110" i="1"/>
  <c r="X110" i="1"/>
  <c r="Y110" i="1"/>
  <c r="Z110" i="1"/>
  <c r="AB110" i="1"/>
  <c r="AC110" i="1"/>
  <c r="AD110" i="1"/>
  <c r="AE110" i="1"/>
  <c r="AF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K112" i="1"/>
  <c r="L112" i="1"/>
  <c r="M112" i="1"/>
  <c r="N112" i="1" s="1"/>
  <c r="T112" i="1"/>
  <c r="V112" i="1"/>
  <c r="X112" i="1"/>
  <c r="Y112" i="1"/>
  <c r="Z112" i="1"/>
  <c r="U112" i="1" s="1"/>
  <c r="S112" i="1" s="1"/>
  <c r="AB112" i="1"/>
  <c r="AC112" i="1"/>
  <c r="AD112" i="1"/>
  <c r="AE112" i="1"/>
  <c r="AF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AE115" i="1"/>
  <c r="AF115" i="1"/>
  <c r="K116" i="1"/>
  <c r="L116" i="1"/>
  <c r="M116" i="1"/>
  <c r="N116" i="1" s="1"/>
  <c r="T116" i="1"/>
  <c r="V116" i="1"/>
  <c r="X116" i="1"/>
  <c r="Y116" i="1"/>
  <c r="Z116" i="1"/>
  <c r="U116" i="1" s="1"/>
  <c r="S116" i="1" s="1"/>
  <c r="AB116" i="1"/>
  <c r="AC116" i="1"/>
  <c r="AD116" i="1"/>
  <c r="AE116" i="1"/>
  <c r="AF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AE119" i="1"/>
  <c r="AF119" i="1"/>
  <c r="K120" i="1"/>
  <c r="L120" i="1"/>
  <c r="M120" i="1"/>
  <c r="N120" i="1" s="1"/>
  <c r="T120" i="1"/>
  <c r="V120" i="1"/>
  <c r="X120" i="1"/>
  <c r="Y120" i="1"/>
  <c r="Z120" i="1"/>
  <c r="U120" i="1" s="1"/>
  <c r="S120" i="1" s="1"/>
  <c r="AB120" i="1"/>
  <c r="AC120" i="1"/>
  <c r="AD120" i="1"/>
  <c r="AE120" i="1"/>
  <c r="AF120" i="1"/>
  <c r="K121" i="1"/>
  <c r="L121" i="1"/>
  <c r="M121" i="1"/>
  <c r="N121" i="1" s="1"/>
  <c r="T121" i="1"/>
  <c r="V121" i="1"/>
  <c r="X121" i="1"/>
  <c r="Y121" i="1"/>
  <c r="Z121" i="1"/>
  <c r="AB121" i="1"/>
  <c r="AC121" i="1"/>
  <c r="AD121" i="1"/>
  <c r="AE121" i="1"/>
  <c r="AF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AE122" i="1"/>
  <c r="AF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K124" i="1"/>
  <c r="L124" i="1"/>
  <c r="M124" i="1"/>
  <c r="N124" i="1" s="1"/>
  <c r="T124" i="1"/>
  <c r="V124" i="1"/>
  <c r="X124" i="1"/>
  <c r="Y124" i="1"/>
  <c r="Z124" i="1"/>
  <c r="U124" i="1" s="1"/>
  <c r="S124" i="1" s="1"/>
  <c r="AB124" i="1"/>
  <c r="AC124" i="1"/>
  <c r="AD124" i="1"/>
  <c r="AE124" i="1"/>
  <c r="AF124" i="1"/>
  <c r="K125" i="1"/>
  <c r="L125" i="1"/>
  <c r="M125" i="1"/>
  <c r="N125" i="1" s="1"/>
  <c r="T125" i="1"/>
  <c r="V125" i="1"/>
  <c r="X125" i="1"/>
  <c r="Y125" i="1"/>
  <c r="Z125" i="1"/>
  <c r="AB125" i="1"/>
  <c r="AC125" i="1"/>
  <c r="AD125" i="1"/>
  <c r="AE125" i="1"/>
  <c r="AF125" i="1"/>
  <c r="K126" i="1"/>
  <c r="L126" i="1"/>
  <c r="M126" i="1"/>
  <c r="T126" i="1"/>
  <c r="V126" i="1"/>
  <c r="X126" i="1"/>
  <c r="Y126" i="1"/>
  <c r="Z126" i="1"/>
  <c r="AB126" i="1"/>
  <c r="AC126" i="1"/>
  <c r="AD126" i="1"/>
  <c r="AE126" i="1"/>
  <c r="AF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AE128" i="1"/>
  <c r="AF128" i="1"/>
  <c r="K129" i="1"/>
  <c r="L129" i="1"/>
  <c r="M129" i="1"/>
  <c r="N129" i="1" s="1"/>
  <c r="T129" i="1"/>
  <c r="V129" i="1"/>
  <c r="X129" i="1"/>
  <c r="Y129" i="1"/>
  <c r="U129" i="1" s="1"/>
  <c r="S129" i="1" s="1"/>
  <c r="Z129" i="1"/>
  <c r="AB129" i="1"/>
  <c r="AC129" i="1"/>
  <c r="AD129" i="1"/>
  <c r="AE129" i="1"/>
  <c r="AF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K131" i="1"/>
  <c r="L131" i="1"/>
  <c r="M131" i="1"/>
  <c r="N131" i="1" s="1"/>
  <c r="T131" i="1"/>
  <c r="V131" i="1"/>
  <c r="X131" i="1"/>
  <c r="Y131" i="1"/>
  <c r="U131" i="1" s="1"/>
  <c r="S131" i="1" s="1"/>
  <c r="Z131" i="1"/>
  <c r="AB131" i="1"/>
  <c r="AC131" i="1"/>
  <c r="AD131" i="1"/>
  <c r="AE131" i="1"/>
  <c r="AF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K133" i="1"/>
  <c r="L133" i="1"/>
  <c r="M133" i="1"/>
  <c r="N133" i="1" s="1"/>
  <c r="T133" i="1"/>
  <c r="V133" i="1"/>
  <c r="X133" i="1"/>
  <c r="Y133" i="1"/>
  <c r="Z133" i="1"/>
  <c r="AA133" i="1" s="1"/>
  <c r="W133" i="1" s="1"/>
  <c r="AB133" i="1"/>
  <c r="AC133" i="1"/>
  <c r="AD133" i="1"/>
  <c r="AE133" i="1"/>
  <c r="AF133" i="1"/>
  <c r="K134" i="1"/>
  <c r="L134" i="1"/>
  <c r="M134" i="1"/>
  <c r="N134" i="1" s="1"/>
  <c r="T134" i="1"/>
  <c r="V134" i="1"/>
  <c r="X134" i="1"/>
  <c r="Y134" i="1"/>
  <c r="U134" i="1" s="1"/>
  <c r="S134" i="1" s="1"/>
  <c r="Z134" i="1"/>
  <c r="AB134" i="1"/>
  <c r="AC134" i="1"/>
  <c r="AD134" i="1"/>
  <c r="AE134" i="1"/>
  <c r="AF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AE136" i="1"/>
  <c r="AF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AE137" i="1"/>
  <c r="AF137" i="1"/>
  <c r="K138" i="1"/>
  <c r="L138" i="1"/>
  <c r="M138" i="1"/>
  <c r="N138" i="1" s="1"/>
  <c r="T138" i="1"/>
  <c r="V138" i="1"/>
  <c r="X138" i="1"/>
  <c r="Y138" i="1"/>
  <c r="U138" i="1" s="1"/>
  <c r="S138" i="1" s="1"/>
  <c r="Z138" i="1"/>
  <c r="AB138" i="1"/>
  <c r="AC138" i="1"/>
  <c r="AD138" i="1"/>
  <c r="AE138" i="1"/>
  <c r="AF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K141" i="1"/>
  <c r="L141" i="1"/>
  <c r="M141" i="1"/>
  <c r="N141" i="1" s="1"/>
  <c r="T141" i="1"/>
  <c r="V141" i="1"/>
  <c r="X141" i="1"/>
  <c r="Y141" i="1"/>
  <c r="Z141" i="1"/>
  <c r="AA141" i="1" s="1"/>
  <c r="W141" i="1" s="1"/>
  <c r="AB141" i="1"/>
  <c r="AC141" i="1"/>
  <c r="AD141" i="1"/>
  <c r="AE141" i="1"/>
  <c r="AF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AE142" i="1"/>
  <c r="AF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K144" i="1"/>
  <c r="L144" i="1"/>
  <c r="M144" i="1"/>
  <c r="N144" i="1" s="1"/>
  <c r="T144" i="1"/>
  <c r="V144" i="1"/>
  <c r="X144" i="1"/>
  <c r="Y144" i="1"/>
  <c r="AA144" i="1" s="1"/>
  <c r="W144" i="1" s="1"/>
  <c r="Z144" i="1"/>
  <c r="AB144" i="1"/>
  <c r="AC144" i="1"/>
  <c r="AD144" i="1"/>
  <c r="AE144" i="1"/>
  <c r="AF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AE146" i="1"/>
  <c r="AF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K148" i="1"/>
  <c r="L148" i="1"/>
  <c r="M148" i="1"/>
  <c r="N148" i="1" s="1"/>
  <c r="T148" i="1"/>
  <c r="V148" i="1"/>
  <c r="X148" i="1"/>
  <c r="Y148" i="1"/>
  <c r="AA148" i="1" s="1"/>
  <c r="W148" i="1" s="1"/>
  <c r="Z148" i="1"/>
  <c r="AB148" i="1"/>
  <c r="AC148" i="1"/>
  <c r="AD148" i="1"/>
  <c r="AE148" i="1"/>
  <c r="AF148" i="1"/>
  <c r="K149" i="1"/>
  <c r="L149" i="1"/>
  <c r="M149" i="1"/>
  <c r="N149" i="1" s="1"/>
  <c r="T149" i="1"/>
  <c r="V149" i="1"/>
  <c r="X149" i="1"/>
  <c r="Y149" i="1"/>
  <c r="Z149" i="1"/>
  <c r="AA149" i="1" s="1"/>
  <c r="W149" i="1" s="1"/>
  <c r="AB149" i="1"/>
  <c r="AC149" i="1"/>
  <c r="AD149" i="1"/>
  <c r="AE149" i="1"/>
  <c r="AF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K151" i="1"/>
  <c r="L151" i="1"/>
  <c r="M151" i="1"/>
  <c r="N151" i="1" s="1"/>
  <c r="T151" i="1"/>
  <c r="V151" i="1"/>
  <c r="X151" i="1"/>
  <c r="Y151" i="1"/>
  <c r="U151" i="1" s="1"/>
  <c r="S151" i="1" s="1"/>
  <c r="Z151" i="1"/>
  <c r="AB151" i="1"/>
  <c r="AC151" i="1"/>
  <c r="AD151" i="1"/>
  <c r="AE151" i="1"/>
  <c r="AF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K153" i="1"/>
  <c r="L153" i="1"/>
  <c r="M153" i="1"/>
  <c r="N153" i="1" s="1"/>
  <c r="T153" i="1"/>
  <c r="V153" i="1"/>
  <c r="X153" i="1"/>
  <c r="Y153" i="1"/>
  <c r="Z153" i="1"/>
  <c r="AA153" i="1"/>
  <c r="W153" i="1" s="1"/>
  <c r="AB153" i="1"/>
  <c r="AC153" i="1"/>
  <c r="AD153" i="1"/>
  <c r="AE153" i="1"/>
  <c r="AF153" i="1"/>
  <c r="K154" i="1"/>
  <c r="L154" i="1"/>
  <c r="M154" i="1"/>
  <c r="N154" i="1" s="1"/>
  <c r="T154" i="1"/>
  <c r="V154" i="1"/>
  <c r="X154" i="1"/>
  <c r="Y154" i="1"/>
  <c r="U154" i="1" s="1"/>
  <c r="S154" i="1" s="1"/>
  <c r="Z154" i="1"/>
  <c r="AB154" i="1"/>
  <c r="AC154" i="1"/>
  <c r="AD154" i="1"/>
  <c r="AE154" i="1"/>
  <c r="AF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K156" i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K157" i="1"/>
  <c r="L157" i="1"/>
  <c r="M157" i="1"/>
  <c r="N157" i="1" s="1"/>
  <c r="T157" i="1"/>
  <c r="V157" i="1"/>
  <c r="X157" i="1"/>
  <c r="Y157" i="1"/>
  <c r="Z157" i="1"/>
  <c r="AA157" i="1" s="1"/>
  <c r="W157" i="1" s="1"/>
  <c r="AB157" i="1"/>
  <c r="AC157" i="1"/>
  <c r="AD157" i="1"/>
  <c r="AE157" i="1"/>
  <c r="AF157" i="1"/>
  <c r="U145" i="1" l="1"/>
  <c r="S145" i="1" s="1"/>
  <c r="U141" i="1"/>
  <c r="S141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1" i="1"/>
  <c r="W101" i="1" s="1"/>
  <c r="AA97" i="1"/>
  <c r="W97" i="1" s="1"/>
  <c r="AA93" i="1"/>
  <c r="W93" i="1" s="1"/>
  <c r="AA89" i="1"/>
  <c r="W89" i="1" s="1"/>
  <c r="AA85" i="1"/>
  <c r="W85" i="1" s="1"/>
  <c r="AA79" i="1"/>
  <c r="W79" i="1" s="1"/>
  <c r="U56" i="1"/>
  <c r="S56" i="1" s="1"/>
  <c r="U55" i="1"/>
  <c r="S55" i="1" s="1"/>
  <c r="U48" i="1"/>
  <c r="S48" i="1" s="1"/>
  <c r="U47" i="1"/>
  <c r="S47" i="1" s="1"/>
  <c r="U39" i="1"/>
  <c r="S39" i="1" s="1"/>
  <c r="U31" i="1"/>
  <c r="S31" i="1" s="1"/>
  <c r="U23" i="1"/>
  <c r="S23" i="1" s="1"/>
  <c r="U19" i="1"/>
  <c r="S19" i="1" s="1"/>
  <c r="U49" i="1"/>
  <c r="S49" i="1" s="1"/>
  <c r="U41" i="1"/>
  <c r="S41" i="1" s="1"/>
  <c r="U25" i="1"/>
  <c r="S25" i="1" s="1"/>
  <c r="U33" i="1"/>
  <c r="S33" i="1" s="1"/>
  <c r="U150" i="1"/>
  <c r="S150" i="1" s="1"/>
  <c r="U147" i="1"/>
  <c r="S147" i="1" s="1"/>
  <c r="U135" i="1"/>
  <c r="S135" i="1" s="1"/>
  <c r="AA132" i="1"/>
  <c r="W132" i="1" s="1"/>
  <c r="AA128" i="1"/>
  <c r="W128" i="1" s="1"/>
  <c r="AA123" i="1"/>
  <c r="W123" i="1" s="1"/>
  <c r="AA119" i="1"/>
  <c r="W119" i="1" s="1"/>
  <c r="AA115" i="1"/>
  <c r="W115" i="1" s="1"/>
  <c r="AA111" i="1"/>
  <c r="W111" i="1" s="1"/>
  <c r="AA107" i="1"/>
  <c r="W107" i="1" s="1"/>
  <c r="AA103" i="1"/>
  <c r="W103" i="1" s="1"/>
  <c r="AA99" i="1"/>
  <c r="W99" i="1" s="1"/>
  <c r="AA95" i="1"/>
  <c r="W95" i="1" s="1"/>
  <c r="AA91" i="1"/>
  <c r="W91" i="1" s="1"/>
  <c r="AA87" i="1"/>
  <c r="W87" i="1" s="1"/>
  <c r="AA77" i="1"/>
  <c r="W77" i="1" s="1"/>
  <c r="U75" i="1"/>
  <c r="S75" i="1" s="1"/>
  <c r="U71" i="1"/>
  <c r="S71" i="1" s="1"/>
  <c r="U52" i="1"/>
  <c r="S52" i="1" s="1"/>
  <c r="U51" i="1"/>
  <c r="S51" i="1" s="1"/>
  <c r="AA49" i="1"/>
  <c r="W49" i="1" s="1"/>
  <c r="U44" i="1"/>
  <c r="S44" i="1" s="1"/>
  <c r="U43" i="1"/>
  <c r="S43" i="1" s="1"/>
  <c r="AA41" i="1"/>
  <c r="W41" i="1" s="1"/>
  <c r="U36" i="1"/>
  <c r="S36" i="1" s="1"/>
  <c r="U35" i="1"/>
  <c r="S35" i="1" s="1"/>
  <c r="AA33" i="1"/>
  <c r="W33" i="1" s="1"/>
  <c r="U28" i="1"/>
  <c r="S28" i="1" s="1"/>
  <c r="U27" i="1"/>
  <c r="S27" i="1" s="1"/>
  <c r="AA25" i="1"/>
  <c r="W25" i="1" s="1"/>
  <c r="U22" i="1"/>
  <c r="S22" i="1" s="1"/>
  <c r="U21" i="1"/>
  <c r="S21" i="1" s="1"/>
  <c r="U18" i="1"/>
  <c r="S18" i="1" s="1"/>
  <c r="U17" i="1"/>
  <c r="S17" i="1" s="1"/>
  <c r="AA137" i="1"/>
  <c r="W137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2" i="1"/>
  <c r="S102" i="1" s="1"/>
  <c r="U98" i="1"/>
  <c r="S98" i="1" s="1"/>
  <c r="U94" i="1"/>
  <c r="U90" i="1"/>
  <c r="S90" i="1" s="1"/>
  <c r="U53" i="1"/>
  <c r="S53" i="1" s="1"/>
  <c r="U45" i="1"/>
  <c r="S45" i="1" s="1"/>
  <c r="U37" i="1"/>
  <c r="S37" i="1" s="1"/>
  <c r="U29" i="1"/>
  <c r="S29" i="1" s="1"/>
  <c r="AA16" i="1"/>
  <c r="W16" i="1" s="1"/>
  <c r="U157" i="1"/>
  <c r="S157" i="1" s="1"/>
  <c r="U153" i="1"/>
  <c r="S153" i="1" s="1"/>
  <c r="AA145" i="1"/>
  <c r="W145" i="1" s="1"/>
  <c r="U143" i="1"/>
  <c r="S143" i="1" s="1"/>
  <c r="U137" i="1"/>
  <c r="S137" i="1" s="1"/>
  <c r="AA129" i="1"/>
  <c r="W129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7" i="1"/>
  <c r="S97" i="1" s="1"/>
  <c r="U95" i="1"/>
  <c r="S95" i="1" s="1"/>
  <c r="U93" i="1"/>
  <c r="S93" i="1" s="1"/>
  <c r="U91" i="1"/>
  <c r="S91" i="1" s="1"/>
  <c r="U89" i="1"/>
  <c r="S89" i="1" s="1"/>
  <c r="U87" i="1"/>
  <c r="S87" i="1" s="1"/>
  <c r="AA84" i="1"/>
  <c r="W84" i="1" s="1"/>
  <c r="U79" i="1"/>
  <c r="S79" i="1" s="1"/>
  <c r="AA76" i="1"/>
  <c r="W76" i="1" s="1"/>
  <c r="AA73" i="1"/>
  <c r="W73" i="1" s="1"/>
  <c r="AA70" i="1"/>
  <c r="W70" i="1" s="1"/>
  <c r="U67" i="1"/>
  <c r="S67" i="1" s="1"/>
  <c r="U60" i="1"/>
  <c r="S60" i="1" s="1"/>
  <c r="AA57" i="1"/>
  <c r="W57" i="1" s="1"/>
  <c r="AA22" i="1"/>
  <c r="W22" i="1" s="1"/>
  <c r="AA20" i="1"/>
  <c r="W20" i="1" s="1"/>
  <c r="AA18" i="1"/>
  <c r="W18" i="1" s="1"/>
  <c r="AA156" i="1"/>
  <c r="W156" i="1" s="1"/>
  <c r="U146" i="1"/>
  <c r="S146" i="1" s="1"/>
  <c r="AA140" i="1"/>
  <c r="W140" i="1" s="1"/>
  <c r="U130" i="1"/>
  <c r="S130" i="1" s="1"/>
  <c r="U125" i="1"/>
  <c r="S125" i="1" s="1"/>
  <c r="U121" i="1"/>
  <c r="S121" i="1" s="1"/>
  <c r="U117" i="1"/>
  <c r="S117" i="1" s="1"/>
  <c r="U113" i="1"/>
  <c r="S113" i="1" s="1"/>
  <c r="U109" i="1"/>
  <c r="S109" i="1" s="1"/>
  <c r="U105" i="1"/>
  <c r="S105" i="1" s="1"/>
  <c r="U101" i="1"/>
  <c r="S101" i="1" s="1"/>
  <c r="U155" i="1"/>
  <c r="S155" i="1" s="1"/>
  <c r="AA152" i="1"/>
  <c r="W152" i="1" s="1"/>
  <c r="U149" i="1"/>
  <c r="S149" i="1" s="1"/>
  <c r="U142" i="1"/>
  <c r="S142" i="1" s="1"/>
  <c r="U139" i="1"/>
  <c r="S139" i="1" s="1"/>
  <c r="AA136" i="1"/>
  <c r="W136" i="1" s="1"/>
  <c r="U133" i="1"/>
  <c r="S133" i="1" s="1"/>
  <c r="AA126" i="1"/>
  <c r="W126" i="1" s="1"/>
  <c r="AA124" i="1"/>
  <c r="W124" i="1" s="1"/>
  <c r="AA122" i="1"/>
  <c r="W122" i="1" s="1"/>
  <c r="AA120" i="1"/>
  <c r="W120" i="1" s="1"/>
  <c r="AA118" i="1"/>
  <c r="W118" i="1" s="1"/>
  <c r="AA116" i="1"/>
  <c r="W116" i="1" s="1"/>
  <c r="AA114" i="1"/>
  <c r="W114" i="1" s="1"/>
  <c r="AA112" i="1"/>
  <c r="W112" i="1" s="1"/>
  <c r="AA110" i="1"/>
  <c r="W110" i="1" s="1"/>
  <c r="AA108" i="1"/>
  <c r="W108" i="1" s="1"/>
  <c r="AA106" i="1"/>
  <c r="W106" i="1" s="1"/>
  <c r="AA104" i="1"/>
  <c r="W104" i="1" s="1"/>
  <c r="AA102" i="1"/>
  <c r="W102" i="1" s="1"/>
  <c r="AA100" i="1"/>
  <c r="W100" i="1" s="1"/>
  <c r="AA98" i="1"/>
  <c r="W98" i="1" s="1"/>
  <c r="AA96" i="1"/>
  <c r="W96" i="1" s="1"/>
  <c r="AA94" i="1"/>
  <c r="W94" i="1" s="1"/>
  <c r="AA92" i="1"/>
  <c r="W92" i="1" s="1"/>
  <c r="AA90" i="1"/>
  <c r="W90" i="1" s="1"/>
  <c r="AA88" i="1"/>
  <c r="W88" i="1" s="1"/>
  <c r="AA86" i="1"/>
  <c r="W86" i="1" s="1"/>
  <c r="U81" i="1"/>
  <c r="S81" i="1" s="1"/>
  <c r="AA78" i="1"/>
  <c r="W78" i="1" s="1"/>
  <c r="U72" i="1"/>
  <c r="S72" i="1" s="1"/>
  <c r="AA69" i="1"/>
  <c r="W69" i="1" s="1"/>
  <c r="AA66" i="1"/>
  <c r="W66" i="1" s="1"/>
  <c r="U63" i="1"/>
  <c r="S63" i="1" s="1"/>
  <c r="AA155" i="1"/>
  <c r="W155" i="1" s="1"/>
  <c r="AA147" i="1"/>
  <c r="W147" i="1" s="1"/>
  <c r="AA139" i="1"/>
  <c r="W139" i="1" s="1"/>
  <c r="AA131" i="1"/>
  <c r="W131" i="1" s="1"/>
  <c r="AA151" i="1"/>
  <c r="W151" i="1" s="1"/>
  <c r="AA143" i="1"/>
  <c r="W143" i="1" s="1"/>
  <c r="AA135" i="1"/>
  <c r="W135" i="1" s="1"/>
  <c r="AA127" i="1"/>
  <c r="W127" i="1" s="1"/>
  <c r="U156" i="1"/>
  <c r="S156" i="1" s="1"/>
  <c r="AA154" i="1"/>
  <c r="W154" i="1" s="1"/>
  <c r="U152" i="1"/>
  <c r="S152" i="1" s="1"/>
  <c r="AA150" i="1"/>
  <c r="W150" i="1" s="1"/>
  <c r="U148" i="1"/>
  <c r="S148" i="1" s="1"/>
  <c r="AA146" i="1"/>
  <c r="W146" i="1" s="1"/>
  <c r="U144" i="1"/>
  <c r="S144" i="1" s="1"/>
  <c r="AA142" i="1"/>
  <c r="W142" i="1" s="1"/>
  <c r="U140" i="1"/>
  <c r="S140" i="1" s="1"/>
  <c r="AA138" i="1"/>
  <c r="W138" i="1" s="1"/>
  <c r="U136" i="1"/>
  <c r="S136" i="1" s="1"/>
  <c r="AA134" i="1"/>
  <c r="W134" i="1" s="1"/>
  <c r="U132" i="1"/>
  <c r="S132" i="1" s="1"/>
  <c r="AA130" i="1"/>
  <c r="W130" i="1" s="1"/>
  <c r="U128" i="1"/>
  <c r="S128" i="1" s="1"/>
  <c r="U74" i="1"/>
  <c r="S74" i="1" s="1"/>
  <c r="AA72" i="1"/>
  <c r="W72" i="1" s="1"/>
  <c r="U70" i="1"/>
  <c r="S70" i="1" s="1"/>
  <c r="AA68" i="1"/>
  <c r="W68" i="1" s="1"/>
  <c r="U66" i="1"/>
  <c r="S66" i="1" s="1"/>
  <c r="AA64" i="1"/>
  <c r="W64" i="1" s="1"/>
  <c r="U62" i="1"/>
  <c r="S62" i="1" s="1"/>
  <c r="AA60" i="1"/>
  <c r="W60" i="1" s="1"/>
  <c r="U58" i="1"/>
  <c r="S58" i="1" s="1"/>
  <c r="U84" i="1"/>
  <c r="S84" i="1" s="1"/>
  <c r="U80" i="1"/>
  <c r="S80" i="1" s="1"/>
  <c r="U76" i="1"/>
  <c r="S76" i="1" s="1"/>
  <c r="U69" i="1"/>
  <c r="S69" i="1" s="1"/>
  <c r="U65" i="1"/>
  <c r="S65" i="1" s="1"/>
  <c r="U61" i="1"/>
  <c r="S61" i="1" s="1"/>
  <c r="U57" i="1"/>
  <c r="S57" i="1" s="1"/>
  <c r="U86" i="1"/>
  <c r="S86" i="1" s="1"/>
  <c r="U82" i="1"/>
  <c r="S82" i="1" s="1"/>
  <c r="U78" i="1"/>
  <c r="S78" i="1" s="1"/>
  <c r="U73" i="1"/>
  <c r="S73" i="1" s="1"/>
  <c r="AA15" i="1"/>
  <c r="W15" i="1" s="1"/>
  <c r="R40" i="3"/>
  <c r="R61" i="3"/>
  <c r="R62" i="3"/>
  <c r="R91" i="3"/>
  <c r="R7" i="3"/>
  <c r="R63" i="3"/>
  <c r="R92" i="3"/>
  <c r="R46" i="3"/>
  <c r="R64" i="3"/>
  <c r="R93" i="3"/>
  <c r="R21" i="3"/>
  <c r="R9" i="3"/>
  <c r="R28" i="3"/>
  <c r="R38" i="3"/>
  <c r="R94" i="3"/>
  <c r="R58" i="3"/>
  <c r="R95" i="3"/>
  <c r="R65" i="3"/>
  <c r="R53" i="3"/>
  <c r="R66" i="3"/>
  <c r="R96" i="3"/>
  <c r="R39" i="3"/>
  <c r="R97" i="3"/>
  <c r="R67" i="3"/>
  <c r="R98" i="3"/>
  <c r="R68" i="3"/>
  <c r="R57" i="3"/>
  <c r="R59" i="3"/>
  <c r="R48" i="3"/>
  <c r="R51" i="3"/>
  <c r="R49" i="3"/>
  <c r="R52" i="3"/>
  <c r="R69" i="3"/>
  <c r="R70" i="3"/>
  <c r="R16" i="3"/>
  <c r="R71" i="3"/>
  <c r="R72" i="3"/>
  <c r="R60" i="3"/>
  <c r="R12" i="3"/>
  <c r="R73" i="3"/>
  <c r="R99" i="3"/>
  <c r="R35" i="3"/>
  <c r="R100" i="3"/>
  <c r="R11" i="3"/>
  <c r="R101" i="3"/>
  <c r="R50" i="3"/>
  <c r="R10" i="3"/>
  <c r="R47" i="3"/>
  <c r="R74" i="3"/>
  <c r="R17" i="3"/>
  <c r="R75" i="3"/>
  <c r="R8" i="3"/>
  <c r="R76" i="3"/>
  <c r="R27" i="3"/>
  <c r="R22" i="3"/>
  <c r="R77" i="3"/>
  <c r="R37" i="3"/>
  <c r="R36" i="3"/>
  <c r="R23" i="3"/>
  <c r="R78" i="3"/>
  <c r="R102" i="3"/>
  <c r="R79" i="3"/>
  <c r="AF14" i="1"/>
  <c r="R26" i="3" s="1"/>
  <c r="AF158" i="1"/>
  <c r="R80" i="3" s="1"/>
  <c r="AF159" i="1"/>
  <c r="R81" i="3" s="1"/>
  <c r="AF160" i="1"/>
  <c r="R32" i="3" s="1"/>
  <c r="AF161" i="1"/>
  <c r="AF162" i="1"/>
  <c r="AF163" i="1"/>
  <c r="AF164" i="1"/>
  <c r="AF165" i="1"/>
  <c r="R82" i="3" s="1"/>
  <c r="AF166" i="1"/>
  <c r="AF167" i="1"/>
  <c r="R83" i="3" s="1"/>
  <c r="AF168" i="1"/>
  <c r="R56" i="3" s="1"/>
  <c r="AF169" i="1"/>
  <c r="R41" i="3" s="1"/>
  <c r="AF170" i="1"/>
  <c r="AF171" i="1"/>
  <c r="AF172" i="1"/>
  <c r="AF173" i="1"/>
  <c r="AF174" i="1"/>
  <c r="AF175" i="1"/>
  <c r="AF176" i="1"/>
  <c r="R43" i="3" s="1"/>
  <c r="AF177" i="1"/>
  <c r="R55" i="3" s="1"/>
  <c r="AF178" i="1"/>
  <c r="AF179" i="1"/>
  <c r="AF180" i="1"/>
  <c r="AF181" i="1"/>
  <c r="AF182" i="1"/>
  <c r="AF183" i="1"/>
  <c r="R30" i="3" s="1"/>
  <c r="AF184" i="1"/>
  <c r="R19" i="3" s="1"/>
  <c r="AF185" i="1"/>
  <c r="AF186" i="1"/>
  <c r="AF187" i="1"/>
  <c r="R84" i="3" s="1"/>
  <c r="AF188" i="1"/>
  <c r="AF189" i="1"/>
  <c r="AF190" i="1"/>
  <c r="AF191" i="1"/>
  <c r="AF192" i="1"/>
  <c r="AF193" i="1"/>
  <c r="AF194" i="1"/>
  <c r="AF195" i="1"/>
  <c r="R85" i="3" s="1"/>
  <c r="AF196" i="1"/>
  <c r="R34" i="3" s="1"/>
  <c r="AF197" i="1"/>
  <c r="R86" i="3" s="1"/>
  <c r="AF198" i="1"/>
  <c r="AF199" i="1"/>
  <c r="R88" i="3" s="1"/>
  <c r="AF200" i="1"/>
  <c r="AF201" i="1"/>
  <c r="AF202" i="1"/>
  <c r="AF203" i="1"/>
  <c r="R13" i="3" s="1"/>
  <c r="AF204" i="1"/>
  <c r="AF205" i="1"/>
  <c r="R31" i="3" s="1"/>
  <c r="AF206" i="1"/>
  <c r="R14" i="3" s="1"/>
  <c r="AF207" i="1"/>
  <c r="AF208" i="1"/>
  <c r="AF13" i="1"/>
  <c r="Q40" i="3"/>
  <c r="Q61" i="3"/>
  <c r="Q62" i="3"/>
  <c r="Q91" i="3"/>
  <c r="Q7" i="3"/>
  <c r="Q63" i="3"/>
  <c r="Q92" i="3"/>
  <c r="Q46" i="3"/>
  <c r="Q64" i="3"/>
  <c r="Q93" i="3"/>
  <c r="Q21" i="3"/>
  <c r="Q9" i="3"/>
  <c r="Q28" i="3"/>
  <c r="Q38" i="3"/>
  <c r="Q94" i="3"/>
  <c r="Q58" i="3"/>
  <c r="Q95" i="3"/>
  <c r="Q65" i="3"/>
  <c r="Q53" i="3"/>
  <c r="Q66" i="3"/>
  <c r="Q96" i="3"/>
  <c r="Q39" i="3"/>
  <c r="Q97" i="3"/>
  <c r="Q67" i="3"/>
  <c r="Q98" i="3"/>
  <c r="Q68" i="3"/>
  <c r="Q57" i="3"/>
  <c r="Q59" i="3"/>
  <c r="Q48" i="3"/>
  <c r="Q51" i="3"/>
  <c r="Q49" i="3"/>
  <c r="Q52" i="3"/>
  <c r="Q69" i="3"/>
  <c r="Q70" i="3"/>
  <c r="Q16" i="3"/>
  <c r="Q71" i="3"/>
  <c r="Q72" i="3"/>
  <c r="Q60" i="3"/>
  <c r="Q12" i="3"/>
  <c r="Q73" i="3"/>
  <c r="Q99" i="3"/>
  <c r="Q35" i="3"/>
  <c r="Q100" i="3"/>
  <c r="Q11" i="3"/>
  <c r="Q101" i="3"/>
  <c r="Q50" i="3"/>
  <c r="Q10" i="3"/>
  <c r="Q47" i="3"/>
  <c r="Q74" i="3"/>
  <c r="Q17" i="3"/>
  <c r="Q75" i="3"/>
  <c r="Q8" i="3"/>
  <c r="Q76" i="3"/>
  <c r="Q27" i="3"/>
  <c r="Q22" i="3"/>
  <c r="Q77" i="3"/>
  <c r="Q37" i="3"/>
  <c r="Q36" i="3"/>
  <c r="Q23" i="3"/>
  <c r="Q78" i="3"/>
  <c r="Q102" i="3"/>
  <c r="Q79" i="3"/>
  <c r="P40" i="3"/>
  <c r="P61" i="3"/>
  <c r="P62" i="3"/>
  <c r="P91" i="3"/>
  <c r="P7" i="3"/>
  <c r="P63" i="3"/>
  <c r="P92" i="3"/>
  <c r="P46" i="3"/>
  <c r="P64" i="3"/>
  <c r="P93" i="3"/>
  <c r="P21" i="3"/>
  <c r="P9" i="3"/>
  <c r="P28" i="3"/>
  <c r="P38" i="3"/>
  <c r="P94" i="3"/>
  <c r="P58" i="3"/>
  <c r="P95" i="3"/>
  <c r="P65" i="3"/>
  <c r="P53" i="3"/>
  <c r="P66" i="3"/>
  <c r="P96" i="3"/>
  <c r="P39" i="3"/>
  <c r="P97" i="3"/>
  <c r="P67" i="3"/>
  <c r="P98" i="3"/>
  <c r="P68" i="3"/>
  <c r="P57" i="3"/>
  <c r="P59" i="3"/>
  <c r="P48" i="3"/>
  <c r="P51" i="3"/>
  <c r="P49" i="3"/>
  <c r="P52" i="3"/>
  <c r="P69" i="3"/>
  <c r="P70" i="3"/>
  <c r="P16" i="3"/>
  <c r="P71" i="3"/>
  <c r="P72" i="3"/>
  <c r="P60" i="3"/>
  <c r="P12" i="3"/>
  <c r="P73" i="3"/>
  <c r="P99" i="3"/>
  <c r="P35" i="3"/>
  <c r="P100" i="3"/>
  <c r="P11" i="3"/>
  <c r="P101" i="3"/>
  <c r="P50" i="3"/>
  <c r="P10" i="3"/>
  <c r="P47" i="3"/>
  <c r="P74" i="3"/>
  <c r="P17" i="3"/>
  <c r="P75" i="3"/>
  <c r="P8" i="3"/>
  <c r="P76" i="3"/>
  <c r="P27" i="3"/>
  <c r="P22" i="3"/>
  <c r="P77" i="3"/>
  <c r="P37" i="3"/>
  <c r="P36" i="3"/>
  <c r="P23" i="3"/>
  <c r="P78" i="3"/>
  <c r="P102" i="3"/>
  <c r="P79" i="3"/>
  <c r="AE14" i="1"/>
  <c r="P26" i="3" s="1"/>
  <c r="AE158" i="1"/>
  <c r="P80" i="3" s="1"/>
  <c r="AE159" i="1"/>
  <c r="P81" i="3" s="1"/>
  <c r="AE160" i="1"/>
  <c r="P32" i="3" s="1"/>
  <c r="AE161" i="1"/>
  <c r="AE162" i="1"/>
  <c r="AE163" i="1"/>
  <c r="AE164" i="1"/>
  <c r="AE165" i="1"/>
  <c r="P82" i="3" s="1"/>
  <c r="AE166" i="1"/>
  <c r="AE167" i="1"/>
  <c r="P42" i="3" s="1"/>
  <c r="AE168" i="1"/>
  <c r="P56" i="3" s="1"/>
  <c r="AE169" i="1"/>
  <c r="P41" i="3" s="1"/>
  <c r="AE170" i="1"/>
  <c r="AE171" i="1"/>
  <c r="AE172" i="1"/>
  <c r="AE173" i="1"/>
  <c r="AE174" i="1"/>
  <c r="AE175" i="1"/>
  <c r="AE176" i="1"/>
  <c r="P43" i="3" s="1"/>
  <c r="AE177" i="1"/>
  <c r="P55" i="3" s="1"/>
  <c r="AE178" i="1"/>
  <c r="AE179" i="1"/>
  <c r="AE180" i="1"/>
  <c r="AE181" i="1"/>
  <c r="AE182" i="1"/>
  <c r="AE183" i="1"/>
  <c r="P24" i="3" s="1"/>
  <c r="AE184" i="1"/>
  <c r="P20" i="3" s="1"/>
  <c r="AE185" i="1"/>
  <c r="AE186" i="1"/>
  <c r="AE187" i="1"/>
  <c r="P84" i="3" s="1"/>
  <c r="AE188" i="1"/>
  <c r="AE189" i="1"/>
  <c r="AE190" i="1"/>
  <c r="AE191" i="1"/>
  <c r="AE192" i="1"/>
  <c r="AE193" i="1"/>
  <c r="AE194" i="1"/>
  <c r="AE195" i="1"/>
  <c r="P85" i="3" s="1"/>
  <c r="AE196" i="1"/>
  <c r="P34" i="3" s="1"/>
  <c r="AE197" i="1"/>
  <c r="P86" i="3" s="1"/>
  <c r="AE198" i="1"/>
  <c r="AE199" i="1"/>
  <c r="P87" i="3" s="1"/>
  <c r="AE200" i="1"/>
  <c r="AE201" i="1"/>
  <c r="AE202" i="1"/>
  <c r="AE203" i="1"/>
  <c r="P89" i="3" s="1"/>
  <c r="AE204" i="1"/>
  <c r="AE205" i="1"/>
  <c r="P90" i="3" s="1"/>
  <c r="AE206" i="1"/>
  <c r="P14" i="3" s="1"/>
  <c r="AE207" i="1"/>
  <c r="AE208" i="1"/>
  <c r="AE13" i="1"/>
  <c r="P13" i="3" l="1"/>
  <c r="P29" i="3"/>
  <c r="P33" i="3"/>
  <c r="P45" i="3"/>
  <c r="P31" i="3"/>
  <c r="R89" i="3"/>
  <c r="R87" i="3"/>
  <c r="R20" i="3"/>
  <c r="R24" i="3"/>
  <c r="R42" i="3"/>
  <c r="R90" i="3"/>
  <c r="P18" i="3"/>
  <c r="P19" i="3"/>
  <c r="P54" i="3"/>
  <c r="P44" i="3"/>
  <c r="P25" i="3"/>
  <c r="P83" i="3"/>
  <c r="P15" i="3"/>
  <c r="R29" i="3"/>
  <c r="R33" i="3"/>
  <c r="R45" i="3"/>
  <c r="P88" i="3"/>
  <c r="P30" i="3"/>
  <c r="R18" i="3"/>
  <c r="R54" i="3"/>
  <c r="R44" i="3"/>
  <c r="R25" i="3"/>
  <c r="R15" i="3"/>
  <c r="M19" i="5"/>
  <c r="M18" i="5"/>
  <c r="L98" i="3"/>
  <c r="L68" i="3"/>
  <c r="L57" i="3"/>
  <c r="L59" i="3"/>
  <c r="L48" i="3"/>
  <c r="L54" i="3"/>
  <c r="L51" i="3"/>
  <c r="L49" i="3"/>
  <c r="L55" i="3"/>
  <c r="L52" i="3"/>
  <c r="L69" i="3"/>
  <c r="L70" i="3"/>
  <c r="L16" i="3"/>
  <c r="L71" i="3"/>
  <c r="L72" i="3"/>
  <c r="L60" i="3"/>
  <c r="L12" i="3"/>
  <c r="L73" i="3"/>
  <c r="L99" i="3"/>
  <c r="L24" i="3"/>
  <c r="L30" i="3"/>
  <c r="L35" i="3"/>
  <c r="L33" i="3"/>
  <c r="L20" i="3"/>
  <c r="L100" i="3"/>
  <c r="L19" i="3"/>
  <c r="L11" i="3"/>
  <c r="L101" i="3"/>
  <c r="L84" i="3"/>
  <c r="L50" i="3"/>
  <c r="L10" i="3"/>
  <c r="L47" i="3"/>
  <c r="L74" i="3"/>
  <c r="L17" i="3"/>
  <c r="L75" i="3"/>
  <c r="L8" i="3"/>
  <c r="L76" i="3"/>
  <c r="L27" i="3"/>
  <c r="L29" i="3"/>
  <c r="L22" i="3"/>
  <c r="L85" i="3"/>
  <c r="L34" i="3"/>
  <c r="L77" i="3"/>
  <c r="L86" i="3"/>
  <c r="L37" i="3"/>
  <c r="L18" i="3"/>
  <c r="L36" i="3"/>
  <c r="L87" i="3"/>
  <c r="L88" i="3"/>
  <c r="L23" i="3"/>
  <c r="L13" i="3"/>
  <c r="L89" i="3"/>
  <c r="L78" i="3"/>
  <c r="L102" i="3"/>
  <c r="L79" i="3"/>
  <c r="L44" i="3"/>
  <c r="L45" i="3"/>
  <c r="L67" i="3"/>
  <c r="T40" i="3"/>
  <c r="T26" i="3"/>
  <c r="T15" i="3"/>
  <c r="T31" i="3"/>
  <c r="T90" i="3"/>
  <c r="T61" i="3"/>
  <c r="T80" i="3"/>
  <c r="T62" i="3"/>
  <c r="T81" i="3"/>
  <c r="T91" i="3"/>
  <c r="T32" i="3"/>
  <c r="T7" i="3"/>
  <c r="T63" i="3"/>
  <c r="T92" i="3"/>
  <c r="T82" i="3"/>
  <c r="T46" i="3"/>
  <c r="T42" i="3"/>
  <c r="T64" i="3"/>
  <c r="T83" i="3"/>
  <c r="T56" i="3"/>
  <c r="T93" i="3"/>
  <c r="T41" i="3"/>
  <c r="T25" i="3"/>
  <c r="T14" i="3"/>
  <c r="T21" i="3"/>
  <c r="T9" i="3"/>
  <c r="T28" i="3"/>
  <c r="T38" i="3"/>
  <c r="T94" i="3"/>
  <c r="T58" i="3"/>
  <c r="T95" i="3"/>
  <c r="T65" i="3"/>
  <c r="T53" i="3"/>
  <c r="T66" i="3"/>
  <c r="T96" i="3"/>
  <c r="T39" i="3"/>
  <c r="T97" i="3"/>
  <c r="T43" i="3"/>
  <c r="T98" i="3"/>
  <c r="T68" i="3"/>
  <c r="T57" i="3"/>
  <c r="T59" i="3"/>
  <c r="T48" i="3"/>
  <c r="T54" i="3"/>
  <c r="T51" i="3"/>
  <c r="T49" i="3"/>
  <c r="T55" i="3"/>
  <c r="T52" i="3"/>
  <c r="T69" i="3"/>
  <c r="T70" i="3"/>
  <c r="T16" i="3"/>
  <c r="T71" i="3"/>
  <c r="T72" i="3"/>
  <c r="T60" i="3"/>
  <c r="T12" i="3"/>
  <c r="T73" i="3"/>
  <c r="T99" i="3"/>
  <c r="T24" i="3"/>
  <c r="T30" i="3"/>
  <c r="T35" i="3"/>
  <c r="T33" i="3"/>
  <c r="T20" i="3"/>
  <c r="T100" i="3"/>
  <c r="T19" i="3"/>
  <c r="T11" i="3"/>
  <c r="T101" i="3"/>
  <c r="T84" i="3"/>
  <c r="T50" i="3"/>
  <c r="T10" i="3"/>
  <c r="T47" i="3"/>
  <c r="T74" i="3"/>
  <c r="T17" i="3"/>
  <c r="T75" i="3"/>
  <c r="T8" i="3"/>
  <c r="T76" i="3"/>
  <c r="T27" i="3"/>
  <c r="T29" i="3"/>
  <c r="T22" i="3"/>
  <c r="T85" i="3"/>
  <c r="T34" i="3"/>
  <c r="T77" i="3"/>
  <c r="T86" i="3"/>
  <c r="T37" i="3"/>
  <c r="T18" i="3"/>
  <c r="T36" i="3"/>
  <c r="T87" i="3"/>
  <c r="T88" i="3"/>
  <c r="T23" i="3"/>
  <c r="T13" i="3"/>
  <c r="T89" i="3"/>
  <c r="T78" i="3"/>
  <c r="T102" i="3"/>
  <c r="T79" i="3"/>
  <c r="T44" i="3"/>
  <c r="T45" i="3"/>
  <c r="T67" i="3"/>
  <c r="K192" i="1" l="1"/>
  <c r="L192" i="1"/>
  <c r="M192" i="1"/>
  <c r="V192" i="1"/>
  <c r="AD192" i="1"/>
  <c r="K193" i="1"/>
  <c r="L193" i="1"/>
  <c r="M193" i="1"/>
  <c r="V193" i="1"/>
  <c r="AD193" i="1"/>
  <c r="K194" i="1"/>
  <c r="L194" i="1"/>
  <c r="M194" i="1"/>
  <c r="V194" i="1"/>
  <c r="AD194" i="1"/>
  <c r="K195" i="1"/>
  <c r="L195" i="1"/>
  <c r="M195" i="1"/>
  <c r="V195" i="1"/>
  <c r="AD195" i="1"/>
  <c r="K196" i="1"/>
  <c r="L196" i="1"/>
  <c r="M196" i="1"/>
  <c r="V196" i="1"/>
  <c r="Q34" i="3" s="1"/>
  <c r="AD196" i="1"/>
  <c r="K197" i="1"/>
  <c r="L197" i="1"/>
  <c r="M197" i="1"/>
  <c r="V197" i="1"/>
  <c r="Q86" i="3" s="1"/>
  <c r="AD197" i="1"/>
  <c r="K198" i="1"/>
  <c r="L198" i="1"/>
  <c r="M198" i="1"/>
  <c r="V198" i="1"/>
  <c r="AD198" i="1"/>
  <c r="K199" i="1"/>
  <c r="L199" i="1"/>
  <c r="M199" i="1"/>
  <c r="V199" i="1"/>
  <c r="AD199" i="1"/>
  <c r="K200" i="1"/>
  <c r="L200" i="1"/>
  <c r="M200" i="1"/>
  <c r="V200" i="1"/>
  <c r="AD200" i="1"/>
  <c r="K201" i="1"/>
  <c r="L201" i="1"/>
  <c r="M201" i="1"/>
  <c r="V201" i="1"/>
  <c r="AD201" i="1"/>
  <c r="K202" i="1"/>
  <c r="L202" i="1"/>
  <c r="M202" i="1"/>
  <c r="V202" i="1"/>
  <c r="AD202" i="1"/>
  <c r="K203" i="1"/>
  <c r="L203" i="1"/>
  <c r="M203" i="1"/>
  <c r="V203" i="1"/>
  <c r="AD203" i="1"/>
  <c r="K204" i="1"/>
  <c r="L204" i="1"/>
  <c r="M204" i="1"/>
  <c r="V204" i="1"/>
  <c r="AD204" i="1"/>
  <c r="K205" i="1"/>
  <c r="L205" i="1"/>
  <c r="M205" i="1"/>
  <c r="V205" i="1"/>
  <c r="AD205" i="1"/>
  <c r="K206" i="1"/>
  <c r="L206" i="1"/>
  <c r="M206" i="1"/>
  <c r="V206" i="1"/>
  <c r="Q14" i="3" s="1"/>
  <c r="AD206" i="1"/>
  <c r="K207" i="1"/>
  <c r="L207" i="1"/>
  <c r="M207" i="1"/>
  <c r="V207" i="1"/>
  <c r="AD207" i="1"/>
  <c r="K208" i="1"/>
  <c r="L208" i="1"/>
  <c r="M208" i="1"/>
  <c r="V208" i="1"/>
  <c r="AD208" i="1"/>
  <c r="S70" i="3"/>
  <c r="S73" i="3"/>
  <c r="L81" i="3"/>
  <c r="S81" i="3"/>
  <c r="S85" i="3"/>
  <c r="S34" i="3"/>
  <c r="S99" i="3"/>
  <c r="S16" i="3"/>
  <c r="S79" i="3"/>
  <c r="S24" i="3"/>
  <c r="L31" i="3"/>
  <c r="S31" i="3"/>
  <c r="L83" i="3"/>
  <c r="S83" i="3"/>
  <c r="S33" i="3"/>
  <c r="S71" i="3"/>
  <c r="S72" i="3"/>
  <c r="Q89" i="3" l="1"/>
  <c r="Q13" i="3"/>
  <c r="Q87" i="3"/>
  <c r="Q88" i="3"/>
  <c r="Q18" i="3"/>
  <c r="Q85" i="3"/>
  <c r="Q29" i="3"/>
  <c r="Q90" i="3"/>
  <c r="Q31" i="3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8" i="1"/>
  <c r="Q80" i="3" s="1"/>
  <c r="V159" i="1"/>
  <c r="Q81" i="3" s="1"/>
  <c r="V160" i="1"/>
  <c r="Q32" i="3" s="1"/>
  <c r="V161" i="1"/>
  <c r="V162" i="1"/>
  <c r="L25" i="3"/>
  <c r="L56" i="3"/>
  <c r="L96" i="3"/>
  <c r="L65" i="3"/>
  <c r="L26" i="3"/>
  <c r="L62" i="3"/>
  <c r="L7" i="3"/>
  <c r="L53" i="3"/>
  <c r="L61" i="3"/>
  <c r="L66" i="3"/>
  <c r="L95" i="3"/>
  <c r="L15" i="3"/>
  <c r="L40" i="3"/>
  <c r="L42" i="3"/>
  <c r="L28" i="3"/>
  <c r="L9" i="3"/>
  <c r="L93" i="3"/>
  <c r="L64" i="3"/>
  <c r="L21" i="3"/>
  <c r="L91" i="3"/>
  <c r="L32" i="3"/>
  <c r="L94" i="3"/>
  <c r="L97" i="3"/>
  <c r="L63" i="3"/>
  <c r="L82" i="3"/>
  <c r="L92" i="3"/>
  <c r="L14" i="3"/>
  <c r="L43" i="3"/>
  <c r="L58" i="3"/>
  <c r="L80" i="3"/>
  <c r="L39" i="3"/>
  <c r="L90" i="3"/>
  <c r="L38" i="3"/>
  <c r="L46" i="3"/>
  <c r="L41" i="3"/>
  <c r="S14" i="3" l="1"/>
  <c r="S84" i="3"/>
  <c r="S56" i="3"/>
  <c r="S96" i="3"/>
  <c r="S76" i="3"/>
  <c r="S65" i="3"/>
  <c r="S60" i="3"/>
  <c r="S12" i="3"/>
  <c r="S38" i="3"/>
  <c r="S18" i="3"/>
  <c r="S29" i="3"/>
  <c r="S22" i="3"/>
  <c r="S21" i="3"/>
  <c r="S63" i="3"/>
  <c r="S89" i="3"/>
  <c r="S80" i="3"/>
  <c r="S19" i="3"/>
  <c r="S102" i="3"/>
  <c r="S86" i="3"/>
  <c r="S17" i="3"/>
  <c r="S66" i="3"/>
  <c r="S39" i="3"/>
  <c r="S7" i="3"/>
  <c r="S42" i="3"/>
  <c r="S41" i="3"/>
  <c r="S90" i="3"/>
  <c r="S51" i="3"/>
  <c r="S9" i="3"/>
  <c r="S28" i="3"/>
  <c r="S55" i="3"/>
  <c r="S20" i="3"/>
  <c r="S44" i="3"/>
  <c r="S93" i="3"/>
  <c r="S50" i="3"/>
  <c r="K158" i="1"/>
  <c r="L158" i="1"/>
  <c r="M158" i="1"/>
  <c r="AD158" i="1"/>
  <c r="V163" i="1" l="1"/>
  <c r="V164" i="1"/>
  <c r="V165" i="1"/>
  <c r="Q82" i="3" s="1"/>
  <c r="V166" i="1"/>
  <c r="V167" i="1"/>
  <c r="V168" i="1"/>
  <c r="Q56" i="3" s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Q84" i="3" s="1"/>
  <c r="V188" i="1"/>
  <c r="V189" i="1"/>
  <c r="V190" i="1"/>
  <c r="V191" i="1"/>
  <c r="Q55" i="3" l="1"/>
  <c r="Q54" i="3"/>
  <c r="Q41" i="3"/>
  <c r="Q25" i="3"/>
  <c r="Q20" i="3"/>
  <c r="Q19" i="3"/>
  <c r="Q33" i="3"/>
  <c r="Q43" i="3"/>
  <c r="Q44" i="3"/>
  <c r="Q45" i="3"/>
  <c r="Q24" i="3"/>
  <c r="Q30" i="3"/>
  <c r="Q42" i="3"/>
  <c r="Q83" i="3"/>
  <c r="S57" i="3"/>
  <c r="S59" i="3"/>
  <c r="S68" i="3"/>
  <c r="S77" i="3"/>
  <c r="S88" i="3"/>
  <c r="S10" i="3"/>
  <c r="S64" i="3"/>
  <c r="S97" i="3"/>
  <c r="S47" i="3"/>
  <c r="K159" i="1" l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S67" i="3" l="1"/>
  <c r="S8" i="3"/>
  <c r="S95" i="3"/>
  <c r="S74" i="3"/>
  <c r="S35" i="3"/>
  <c r="S69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92" i="3" l="1"/>
  <c r="S49" i="3"/>
  <c r="S98" i="3"/>
  <c r="S101" i="3"/>
  <c r="S13" i="3"/>
  <c r="S87" i="3"/>
  <c r="S27" i="3"/>
  <c r="S78" i="3"/>
  <c r="S62" i="3"/>
  <c r="S94" i="3"/>
  <c r="S11" i="3"/>
  <c r="S40" i="3"/>
  <c r="S52" i="3"/>
  <c r="S48" i="3"/>
  <c r="S54" i="3"/>
  <c r="S46" i="3"/>
  <c r="S43" i="3"/>
  <c r="S25" i="3"/>
  <c r="S15" i="3"/>
  <c r="S61" i="3"/>
  <c r="S23" i="3"/>
  <c r="S30" i="3"/>
  <c r="S26" i="3"/>
  <c r="S36" i="3"/>
  <c r="S91" i="3"/>
  <c r="S58" i="3"/>
  <c r="S32" i="3"/>
  <c r="S53" i="3"/>
  <c r="S37" i="3"/>
  <c r="S100" i="3"/>
  <c r="S82" i="3"/>
  <c r="S45" i="3"/>
  <c r="S75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Q26" i="3" l="1"/>
  <c r="Q15" i="3"/>
  <c r="U14" i="1"/>
  <c r="S14" i="1" s="1"/>
  <c r="AA14" i="1"/>
  <c r="W14" i="1" s="1"/>
  <c r="L13" i="1"/>
  <c r="M13" i="1"/>
  <c r="N13" i="1" s="1"/>
  <c r="L14" i="1"/>
  <c r="M14" i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<sst xmlns="http://schemas.openxmlformats.org/spreadsheetml/2006/main" count="2561" uniqueCount="741">
  <si>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</si>
  <si>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</si>
  <si>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</si>
  <si>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</si>
  <si>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</si>
  <si>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</si>
  <si>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</si>
  <si>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</si>
  <si>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</si>
  <si>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</si>
  <si>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</si>
  <si>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</si>
  <si>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</si>
  <si>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</si>
  <si>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</si>
  <si>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</si>
  <si>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</si>
  <si>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</si>
  <si>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</si>
  <si>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</si>
  <si>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</si>
  <si>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</si>
  <si>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</si>
  <si>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</si>
  <si>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</si>
  <si>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</si>
  <si>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</si>
  <si>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</si>
  <si>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</si>
  <si>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</si>
  <si>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</si>
  <si>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</si>
  <si>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</si>
  <si>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</si>
  <si>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</si>
  <si>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</si>
  <si>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</si>
  <si>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</si>
  <si>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</si>
  <si>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</si>
  <si>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</si>
  <si>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</si>
  <si>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</si>
  <si>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</si>
  <si>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</si>
  <si>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</si>
  <si>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</si>
  <si>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</si>
  <si>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</si>
  <si>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</si>
  <si>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</si>
  <si>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</si>
  <si>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</si>
  <si>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</si>
  <si>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</si>
  <si>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</si>
  <si>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</si>
  <si>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</si>
  <si>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</si>
  <si>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</si>
  <si>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</si>
  <si>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</si>
  <si>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</si>
  <si>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</si>
  <si>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</si>
  <si>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</si>
  <si>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</si>
  <si>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</si>
  <si>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</si>
  <si>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</si>
  <si>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</si>
  <si>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</si>
  <si>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</si>
  <si>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</si>
  <si>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</si>
  <si>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</si>
  <si>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</si>
  <si>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</si>
  <si>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</si>
  <si>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</si>
  <si>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</si>
  <si>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</si>
  <si>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</si>
  <si>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</si>
  <si>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</si>
  <si>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</si>
  <si>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</si>
  <si>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rtdc.l.rtdc.4042:itc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</si>
  <si>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</si>
  <si>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</si>
  <si>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</si>
  <si>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</si>
  <si>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</si>
  <si>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</si>
  <si>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</si>
  <si>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</si>
  <si>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</si>
  <si>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</si>
  <si>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</si>
  <si>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</si>
  <si>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</si>
  <si>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</si>
  <si>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</si>
  <si>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</si>
  <si>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</si>
  <si>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</si>
  <si>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</si>
  <si>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</si>
  <si>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</si>
  <si>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</si>
  <si>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</si>
  <si>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</si>
  <si>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</si>
  <si>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</si>
  <si>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</si>
  <si>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</si>
  <si>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</si>
  <si>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</si>
  <si>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</si>
  <si>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</si>
  <si>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</si>
  <si>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</si>
  <si>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</si>
  <si>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</si>
  <si>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</si>
  <si>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</si>
  <si>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</si>
  <si>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</si>
  <si>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</si>
  <si>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</si>
  <si>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</si>
  <si>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</si>
  <si>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</si>
  <si>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</si>
  <si>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</si>
  <si>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</si>
  <si>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</si>
  <si>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</si>
  <si>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</si>
  <si>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</si>
  <si>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</si>
  <si>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</si>
  <si>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</si>
  <si>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</si>
  <si>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Wi-MAX outage</t>
  </si>
  <si>
    <t>204:232978</t>
  </si>
  <si>
    <t>YORK</t>
  </si>
  <si>
    <t>STEWART</t>
  </si>
  <si>
    <t>MAYBERRY</t>
  </si>
  <si>
    <t>BEAM</t>
  </si>
  <si>
    <t>BRUDER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</si>
  <si>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</si>
  <si>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</si>
  <si>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</si>
  <si>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</si>
  <si>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</si>
  <si>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</si>
  <si>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</si>
  <si>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</si>
  <si>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rtdc.l.rtdc.4043:itc</t>
  </si>
  <si>
    <t>WEBSTER</t>
  </si>
  <si>
    <t>GRASTON</t>
  </si>
  <si>
    <t>rtdc.l.rtdc.4007:itc</t>
  </si>
  <si>
    <t>STRICKLAND</t>
  </si>
  <si>
    <t>DE LA ROSA</t>
  </si>
  <si>
    <t>rtdc.l.rtdc.4040:itc</t>
  </si>
  <si>
    <t>204:233286</t>
  </si>
  <si>
    <t>204:232973</t>
  </si>
  <si>
    <t>204:232987</t>
  </si>
  <si>
    <t>300:58922</t>
  </si>
  <si>
    <t>204:141</t>
  </si>
  <si>
    <t>Trip Number Sortable</t>
  </si>
  <si>
    <t>204:233302</t>
  </si>
  <si>
    <t>204:449</t>
  </si>
  <si>
    <t>204:161</t>
  </si>
  <si>
    <t>204:435</t>
  </si>
  <si>
    <t>204:233300</t>
  </si>
  <si>
    <t>1826-03</t>
  </si>
  <si>
    <t>1830-03</t>
  </si>
  <si>
    <t>1832-03</t>
  </si>
  <si>
    <t>190-03</t>
  </si>
  <si>
    <t>204:233307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</si>
  <si>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</si>
  <si>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</si>
  <si>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</si>
  <si>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</si>
  <si>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</si>
  <si>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</si>
  <si>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</si>
  <si>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</si>
  <si>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</si>
  <si>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</si>
  <si>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</si>
  <si>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rtdc.l.rtdc.4039:itc</t>
  </si>
  <si>
    <t>NEWELL</t>
  </si>
  <si>
    <t>LOZA</t>
  </si>
  <si>
    <t>COOLAHAN</t>
  </si>
  <si>
    <t>152-04</t>
  </si>
  <si>
    <t>110-04</t>
  </si>
  <si>
    <t>158-04</t>
  </si>
  <si>
    <t>819-04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</si>
  <si>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</si>
  <si>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</si>
  <si>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</si>
  <si>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</si>
  <si>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</si>
  <si>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</si>
  <si>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</si>
  <si>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</si>
  <si>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204:458</t>
  </si>
  <si>
    <t>204:462</t>
  </si>
  <si>
    <t>204:233323</t>
  </si>
  <si>
    <t>204:930</t>
  </si>
  <si>
    <t>204:918</t>
  </si>
  <si>
    <t>300:58924</t>
  </si>
  <si>
    <t>SHOOK</t>
  </si>
  <si>
    <t>STORY</t>
  </si>
  <si>
    <t>KILLION</t>
  </si>
  <si>
    <t>STAMBAUGH</t>
  </si>
  <si>
    <t>rtdc.l.rtdc.4005:itc</t>
  </si>
  <si>
    <t>PTC Test Train</t>
  </si>
  <si>
    <t>Coats</t>
  </si>
  <si>
    <t>STARKS</t>
  </si>
  <si>
    <t>238-05</t>
  </si>
  <si>
    <t>244-05</t>
  </si>
  <si>
    <t>204:440</t>
  </si>
  <si>
    <t>204:232988</t>
  </si>
  <si>
    <t>204:233283</t>
  </si>
  <si>
    <t>204:232989</t>
  </si>
  <si>
    <t>204:139</t>
  </si>
  <si>
    <t>204:233317</t>
  </si>
  <si>
    <t>204:233312</t>
  </si>
  <si>
    <t>204:233315</t>
  </si>
  <si>
    <t>204:232976</t>
  </si>
  <si>
    <t>204:482</t>
  </si>
  <si>
    <t>204:438</t>
  </si>
  <si>
    <t>204:176</t>
  </si>
  <si>
    <t>204:233305</t>
  </si>
  <si>
    <t>204:233272</t>
  </si>
  <si>
    <t>204:232971</t>
  </si>
  <si>
    <t>204:233297</t>
  </si>
  <si>
    <t>204:233280</t>
  </si>
  <si>
    <t>204:200</t>
  </si>
  <si>
    <t>300:58591</t>
  </si>
  <si>
    <t>901-06</t>
  </si>
  <si>
    <t>812-06</t>
  </si>
  <si>
    <t>906-06</t>
  </si>
  <si>
    <t>216-06</t>
  </si>
  <si>
    <t>840-06</t>
  </si>
  <si>
    <t>225-06</t>
  </si>
  <si>
    <t>843-06</t>
  </si>
  <si>
    <t>842-06</t>
  </si>
  <si>
    <t>224-06</t>
  </si>
  <si>
    <t>227-06</t>
  </si>
  <si>
    <t>844-06</t>
  </si>
  <si>
    <t>231-06</t>
  </si>
  <si>
    <t>847-06</t>
  </si>
  <si>
    <t>232-06</t>
  </si>
  <si>
    <t>233-06</t>
  </si>
  <si>
    <t>242-06</t>
  </si>
  <si>
    <t>805-07</t>
  </si>
  <si>
    <t>221-06</t>
  </si>
  <si>
    <t>115-07</t>
  </si>
  <si>
    <t>244-06</t>
  </si>
  <si>
    <t>220-06</t>
  </si>
  <si>
    <t>MOSES</t>
  </si>
  <si>
    <t>112-07</t>
  </si>
  <si>
    <t>223-06</t>
  </si>
  <si>
    <t>226-06</t>
  </si>
  <si>
    <t>243-06</t>
  </si>
  <si>
    <t>108-07</t>
  </si>
  <si>
    <t>MAELZER</t>
  </si>
  <si>
    <t>800-07</t>
  </si>
  <si>
    <t>801-07</t>
  </si>
  <si>
    <t>123-07</t>
  </si>
  <si>
    <t>116-07</t>
  </si>
  <si>
    <t>806-07</t>
  </si>
  <si>
    <t>229-06</t>
  </si>
  <si>
    <t>239-06</t>
  </si>
  <si>
    <t>DAVIS</t>
  </si>
  <si>
    <t>234-06</t>
  </si>
  <si>
    <t>218-06</t>
  </si>
  <si>
    <t>238-06</t>
  </si>
  <si>
    <t>101-07</t>
  </si>
  <si>
    <t>235-06</t>
  </si>
  <si>
    <t>122-07</t>
  </si>
  <si>
    <t>120-07</t>
  </si>
  <si>
    <t>111-07</t>
  </si>
  <si>
    <t>901-07</t>
  </si>
  <si>
    <t>103-07</t>
  </si>
  <si>
    <t>240-06</t>
  </si>
  <si>
    <t>237-06</t>
  </si>
  <si>
    <t>121-07</t>
  </si>
  <si>
    <t>125-07</t>
  </si>
  <si>
    <t>241-06</t>
  </si>
  <si>
    <t>102-07</t>
  </si>
  <si>
    <t>105-07</t>
  </si>
  <si>
    <t>117-07</t>
  </si>
  <si>
    <t>804-07</t>
  </si>
  <si>
    <t>222-06</t>
  </si>
  <si>
    <t>119-07</t>
  </si>
  <si>
    <t>113-07</t>
  </si>
  <si>
    <t>106-07</t>
  </si>
  <si>
    <t>104-07</t>
  </si>
  <si>
    <t>110-07</t>
  </si>
  <si>
    <t>107-07</t>
  </si>
  <si>
    <t>236-06</t>
  </si>
  <si>
    <t>118-07</t>
  </si>
  <si>
    <t>228-06</t>
  </si>
  <si>
    <t>802-07</t>
  </si>
  <si>
    <t>109-07</t>
  </si>
  <si>
    <t>803-07</t>
  </si>
  <si>
    <t>908-06</t>
  </si>
  <si>
    <t>127-07</t>
  </si>
  <si>
    <t>841-06</t>
  </si>
  <si>
    <t>114-07</t>
  </si>
  <si>
    <t>845-06</t>
  </si>
  <si>
    <t>230-06</t>
  </si>
  <si>
    <t>215-06</t>
  </si>
  <si>
    <t>204:232641</t>
  </si>
  <si>
    <t>204:232981</t>
  </si>
  <si>
    <t>204:232991</t>
  </si>
  <si>
    <t>204:232979</t>
  </si>
  <si>
    <t>204:232953</t>
  </si>
  <si>
    <t>204:232960</t>
  </si>
  <si>
    <t>204:233304</t>
  </si>
  <si>
    <t>204:233310</t>
  </si>
  <si>
    <t>204:232996</t>
  </si>
  <si>
    <t>204:232986</t>
  </si>
  <si>
    <t>204:163</t>
  </si>
  <si>
    <t>204:504</t>
  </si>
  <si>
    <t>204:467</t>
  </si>
  <si>
    <t>204:480</t>
  </si>
  <si>
    <t>204:471</t>
  </si>
  <si>
    <t>204:134</t>
  </si>
  <si>
    <t>204:233361</t>
  </si>
  <si>
    <t>204:478</t>
  </si>
  <si>
    <t>204:233320</t>
  </si>
  <si>
    <t>204:233298</t>
  </si>
  <si>
    <t>204:442</t>
  </si>
  <si>
    <t>204:160</t>
  </si>
  <si>
    <t>204:232975</t>
  </si>
  <si>
    <t>204:170</t>
  </si>
  <si>
    <t>204:232907</t>
  </si>
  <si>
    <t>204:232961</t>
  </si>
  <si>
    <t>204:233263</t>
  </si>
  <si>
    <t>300:58928</t>
  </si>
  <si>
    <t>300:58604</t>
  </si>
  <si>
    <t>204:923</t>
  </si>
  <si>
    <t>204:1221</t>
  </si>
  <si>
    <t>300:58628</t>
  </si>
  <si>
    <t>300:58662</t>
  </si>
  <si>
    <t>204:927</t>
  </si>
  <si>
    <t>204:1230</t>
  </si>
  <si>
    <t>300:58958</t>
  </si>
  <si>
    <t>204:1237</t>
  </si>
  <si>
    <t>300:58929</t>
  </si>
  <si>
    <t>204:1175</t>
  </si>
  <si>
    <t>300:58608</t>
  </si>
  <si>
    <t>204:911</t>
  </si>
  <si>
    <t>300:58617</t>
  </si>
  <si>
    <t>300:58926</t>
  </si>
  <si>
    <t>Onboard in-route failure</t>
  </si>
  <si>
    <t>LocoID</t>
  </si>
  <si>
    <t>UTC Time</t>
  </si>
  <si>
    <t>Overspeed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</si>
  <si>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</si>
  <si>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</si>
  <si>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</si>
  <si>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</si>
  <si>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</si>
  <si>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</si>
  <si>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</si>
  <si>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</si>
  <si>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</si>
  <si>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</si>
  <si>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</si>
  <si>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</si>
  <si>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204:801</t>
  </si>
  <si>
    <t>204:233278</t>
  </si>
  <si>
    <t>204:153923</t>
  </si>
  <si>
    <t>204:739</t>
  </si>
  <si>
    <t>204:158660</t>
  </si>
  <si>
    <t>204:19189</t>
  </si>
  <si>
    <t>204:126350</t>
  </si>
  <si>
    <t>204:704</t>
  </si>
  <si>
    <t>204:1391</t>
  </si>
  <si>
    <t>204:232642</t>
  </si>
  <si>
    <t>204:662</t>
  </si>
  <si>
    <t>204:154506</t>
  </si>
  <si>
    <t>204:232714</t>
  </si>
  <si>
    <t>204:125</t>
  </si>
  <si>
    <t>204:233002</t>
  </si>
  <si>
    <t>204:686</t>
  </si>
  <si>
    <t>204:233303</t>
  </si>
  <si>
    <t>204:364</t>
  </si>
  <si>
    <t>204:766</t>
  </si>
  <si>
    <t>204:233291</t>
  </si>
  <si>
    <t>204:167</t>
  </si>
  <si>
    <t>204:413</t>
  </si>
  <si>
    <t>204:754</t>
  </si>
  <si>
    <t>204:232966</t>
  </si>
  <si>
    <t>204:132</t>
  </si>
  <si>
    <t>204:495</t>
  </si>
  <si>
    <t>204:232957</t>
  </si>
  <si>
    <t>124-07</t>
  </si>
  <si>
    <t>204:233266</t>
  </si>
  <si>
    <t>126-07</t>
  </si>
  <si>
    <t>204:232934</t>
  </si>
  <si>
    <t>204:537</t>
  </si>
  <si>
    <t>128-07</t>
  </si>
  <si>
    <t>129-07</t>
  </si>
  <si>
    <t>130-07</t>
  </si>
  <si>
    <t>131-07</t>
  </si>
  <si>
    <t>204:447</t>
  </si>
  <si>
    <t>132-07</t>
  </si>
  <si>
    <t>133-07</t>
  </si>
  <si>
    <t>134-07</t>
  </si>
  <si>
    <t>135-07</t>
  </si>
  <si>
    <t>204:233308</t>
  </si>
  <si>
    <t>136-07</t>
  </si>
  <si>
    <t>137-07</t>
  </si>
  <si>
    <t>204:426</t>
  </si>
  <si>
    <t>138-07</t>
  </si>
  <si>
    <t>204:138</t>
  </si>
  <si>
    <t>139-07</t>
  </si>
  <si>
    <t>140-07</t>
  </si>
  <si>
    <t>141-07</t>
  </si>
  <si>
    <t>142-07</t>
  </si>
  <si>
    <t>204:232998</t>
  </si>
  <si>
    <t>204:362</t>
  </si>
  <si>
    <t>143-07</t>
  </si>
  <si>
    <t>204:233287</t>
  </si>
  <si>
    <t>144-07</t>
  </si>
  <si>
    <t>204:232972</t>
  </si>
  <si>
    <t>145-07</t>
  </si>
  <si>
    <t>147-07</t>
  </si>
  <si>
    <t>148-07</t>
  </si>
  <si>
    <t>149-07</t>
  </si>
  <si>
    <t>150-07</t>
  </si>
  <si>
    <t>151-07</t>
  </si>
  <si>
    <t>204:429</t>
  </si>
  <si>
    <t>152-07</t>
  </si>
  <si>
    <t>153-07</t>
  </si>
  <si>
    <t>154-07</t>
  </si>
  <si>
    <t>155-07</t>
  </si>
  <si>
    <t>156-07</t>
  </si>
  <si>
    <t>204:391</t>
  </si>
  <si>
    <t>157-07</t>
  </si>
  <si>
    <t>204:477</t>
  </si>
  <si>
    <t>158-07</t>
  </si>
  <si>
    <t>204:153996</t>
  </si>
  <si>
    <t>159-07</t>
  </si>
  <si>
    <t>160-07</t>
  </si>
  <si>
    <t>204:6171</t>
  </si>
  <si>
    <t>161-07</t>
  </si>
  <si>
    <t>162-07</t>
  </si>
  <si>
    <t>204:153988</t>
  </si>
  <si>
    <t>204:126453</t>
  </si>
  <si>
    <t>163-07</t>
  </si>
  <si>
    <t>164-07</t>
  </si>
  <si>
    <t>165-07</t>
  </si>
  <si>
    <t>166-07</t>
  </si>
  <si>
    <t>204:232946</t>
  </si>
  <si>
    <t>204:225</t>
  </si>
  <si>
    <t>167-07</t>
  </si>
  <si>
    <t>204:189440</t>
  </si>
  <si>
    <t>168-07</t>
  </si>
  <si>
    <t>204:232970</t>
  </si>
  <si>
    <t>169-07</t>
  </si>
  <si>
    <t>204:551</t>
  </si>
  <si>
    <t>204:74740</t>
  </si>
  <si>
    <t>170-07</t>
  </si>
  <si>
    <t>171-07</t>
  </si>
  <si>
    <t>204:515</t>
  </si>
  <si>
    <t>172-07</t>
  </si>
  <si>
    <t>173-07</t>
  </si>
  <si>
    <t>174-07</t>
  </si>
  <si>
    <t>175-07</t>
  </si>
  <si>
    <t>204:233321</t>
  </si>
  <si>
    <t>176-07</t>
  </si>
  <si>
    <t>204:233008</t>
  </si>
  <si>
    <t>177-07</t>
  </si>
  <si>
    <t>178-07</t>
  </si>
  <si>
    <t>179-07</t>
  </si>
  <si>
    <t>204:529</t>
  </si>
  <si>
    <t>180-07</t>
  </si>
  <si>
    <t>204:153953</t>
  </si>
  <si>
    <t>204:191532</t>
  </si>
  <si>
    <t>181-07</t>
  </si>
  <si>
    <t>182-07</t>
  </si>
  <si>
    <t>183-07</t>
  </si>
  <si>
    <t>204:573</t>
  </si>
  <si>
    <t>184-07</t>
  </si>
  <si>
    <t>204:400</t>
  </si>
  <si>
    <t>185-07</t>
  </si>
  <si>
    <t>204:488</t>
  </si>
  <si>
    <t>204:233311</t>
  </si>
  <si>
    <t>186-07</t>
  </si>
  <si>
    <t>204:233001</t>
  </si>
  <si>
    <t>187-07</t>
  </si>
  <si>
    <t>204:453</t>
  </si>
  <si>
    <t>188-07</t>
  </si>
  <si>
    <t>204:232985</t>
  </si>
  <si>
    <t>189-07</t>
  </si>
  <si>
    <t>190-07</t>
  </si>
  <si>
    <t>204:232980</t>
  </si>
  <si>
    <t>191-07</t>
  </si>
  <si>
    <t>192-07</t>
  </si>
  <si>
    <t>193-07</t>
  </si>
  <si>
    <t>204:233264</t>
  </si>
  <si>
    <t>194-07</t>
  </si>
  <si>
    <t>204:232938</t>
  </si>
  <si>
    <t>195-07</t>
  </si>
  <si>
    <t>196-07</t>
  </si>
  <si>
    <t>204:154016</t>
  </si>
  <si>
    <t>197-07</t>
  </si>
  <si>
    <t>204:531</t>
  </si>
  <si>
    <t>204:233328</t>
  </si>
  <si>
    <t>198-07</t>
  </si>
  <si>
    <t>204:233044</t>
  </si>
  <si>
    <t>199-07</t>
  </si>
  <si>
    <t>204:233346</t>
  </si>
  <si>
    <t>200-07</t>
  </si>
  <si>
    <t>204:233036</t>
  </si>
  <si>
    <t>201-07</t>
  </si>
  <si>
    <t>203-07</t>
  </si>
  <si>
    <t>204-07</t>
  </si>
  <si>
    <t>204:233010</t>
  </si>
  <si>
    <t>205-07</t>
  </si>
  <si>
    <t>206-07</t>
  </si>
  <si>
    <t>207-07</t>
  </si>
  <si>
    <t>208-07</t>
  </si>
  <si>
    <t>204:232962</t>
  </si>
  <si>
    <t>204:203</t>
  </si>
  <si>
    <t>209-07</t>
  </si>
  <si>
    <t>204:233253</t>
  </si>
  <si>
    <t>210-07</t>
  </si>
  <si>
    <t>204:232944</t>
  </si>
  <si>
    <t>204:220</t>
  </si>
  <si>
    <t>211-07</t>
  </si>
  <si>
    <t>204:611</t>
  </si>
  <si>
    <t>212-07</t>
  </si>
  <si>
    <t>204:233060</t>
  </si>
  <si>
    <t>213-07</t>
  </si>
  <si>
    <t>204:491</t>
  </si>
  <si>
    <t>204:43998</t>
  </si>
  <si>
    <t>214-07</t>
  </si>
  <si>
    <t>215-07</t>
  </si>
  <si>
    <t>204:473</t>
  </si>
  <si>
    <t>216-07</t>
  </si>
  <si>
    <t>217-07</t>
  </si>
  <si>
    <t>218-07</t>
  </si>
  <si>
    <t>219-07</t>
  </si>
  <si>
    <t>220-07</t>
  </si>
  <si>
    <t>221-07</t>
  </si>
  <si>
    <t>222-07</t>
  </si>
  <si>
    <t>204:232942</t>
  </si>
  <si>
    <t>204:232</t>
  </si>
  <si>
    <t>223-07</t>
  </si>
  <si>
    <t>204:233234</t>
  </si>
  <si>
    <t>224-07</t>
  </si>
  <si>
    <t>204:232921</t>
  </si>
  <si>
    <t>225-07</t>
  </si>
  <si>
    <t>204:431</t>
  </si>
  <si>
    <t>226-07</t>
  </si>
  <si>
    <t>227-07</t>
  </si>
  <si>
    <t>228-07</t>
  </si>
  <si>
    <t>229-07</t>
  </si>
  <si>
    <t>204:233261</t>
  </si>
  <si>
    <t>230-07</t>
  </si>
  <si>
    <t>204:232929</t>
  </si>
  <si>
    <t>204:218</t>
  </si>
  <si>
    <t>231-07</t>
  </si>
  <si>
    <t>204:233207</t>
  </si>
  <si>
    <t>232-07</t>
  </si>
  <si>
    <t>204:232890</t>
  </si>
  <si>
    <t>204:280</t>
  </si>
  <si>
    <t>233-07</t>
  </si>
  <si>
    <t>234-07</t>
  </si>
  <si>
    <t>204:232992</t>
  </si>
  <si>
    <t>235-07</t>
  </si>
  <si>
    <t>236-07</t>
  </si>
  <si>
    <t>237-07</t>
  </si>
  <si>
    <t>204:522</t>
  </si>
  <si>
    <t>204:233259</t>
  </si>
  <si>
    <t>238-07</t>
  </si>
  <si>
    <t>239-07</t>
  </si>
  <si>
    <t>240-07</t>
  </si>
  <si>
    <t>204:232940</t>
  </si>
  <si>
    <t>241-07</t>
  </si>
  <si>
    <t>242-07</t>
  </si>
  <si>
    <t>243-07</t>
  </si>
  <si>
    <t>244-07</t>
  </si>
  <si>
    <t>204:747</t>
  </si>
  <si>
    <t>204:1041</t>
  </si>
  <si>
    <t>300:58939</t>
  </si>
  <si>
    <t>300:58626</t>
  </si>
  <si>
    <t>204:759</t>
  </si>
  <si>
    <t>204:365</t>
  </si>
  <si>
    <t>204:1046</t>
  </si>
  <si>
    <t>300:58931</t>
  </si>
  <si>
    <t>204:822</t>
  </si>
  <si>
    <t>807-07</t>
  </si>
  <si>
    <t>204:1200</t>
  </si>
  <si>
    <t>808-07</t>
  </si>
  <si>
    <t>300:58602</t>
  </si>
  <si>
    <t>809-07</t>
  </si>
  <si>
    <t>204:1107</t>
  </si>
  <si>
    <t>810-07</t>
  </si>
  <si>
    <t>300:58606</t>
  </si>
  <si>
    <t>300:23951</t>
  </si>
  <si>
    <t>811-07</t>
  </si>
  <si>
    <t>812-07</t>
  </si>
  <si>
    <t>300:58609</t>
  </si>
  <si>
    <t>204:902</t>
  </si>
  <si>
    <t>813-07</t>
  </si>
  <si>
    <t>204:1209</t>
  </si>
  <si>
    <t>814-07</t>
  </si>
  <si>
    <t>204:906</t>
  </si>
  <si>
    <t>815-07</t>
  </si>
  <si>
    <t>204:1203</t>
  </si>
  <si>
    <t>816-07</t>
  </si>
  <si>
    <t>204:920</t>
  </si>
  <si>
    <t>817-07</t>
  </si>
  <si>
    <t>204:1214</t>
  </si>
  <si>
    <t>818-07</t>
  </si>
  <si>
    <t>819-07</t>
  </si>
  <si>
    <t>300:22162</t>
  </si>
  <si>
    <t>820-07</t>
  </si>
  <si>
    <t>300:58624</t>
  </si>
  <si>
    <t>204:909</t>
  </si>
  <si>
    <t>821-07</t>
  </si>
  <si>
    <t>204:1212</t>
  </si>
  <si>
    <t>300:58907</t>
  </si>
  <si>
    <t>822-07</t>
  </si>
  <si>
    <t>300:58583</t>
  </si>
  <si>
    <t>823-07</t>
  </si>
  <si>
    <t>300:58918</t>
  </si>
  <si>
    <t>824-07</t>
  </si>
  <si>
    <t>204:934</t>
  </si>
  <si>
    <t>825-07</t>
  </si>
  <si>
    <t>204:1240</t>
  </si>
  <si>
    <t>300:58960</t>
  </si>
  <si>
    <t>826-07</t>
  </si>
  <si>
    <t>300:58647</t>
  </si>
  <si>
    <t>827-07</t>
  </si>
  <si>
    <t>828-07</t>
  </si>
  <si>
    <t>204:829</t>
  </si>
  <si>
    <t>829-07</t>
  </si>
  <si>
    <t>300:58982</t>
  </si>
  <si>
    <t>830-07</t>
  </si>
  <si>
    <t>831-07</t>
  </si>
  <si>
    <t>204:1121</t>
  </si>
  <si>
    <t>300:58933</t>
  </si>
  <si>
    <t>832-07</t>
  </si>
  <si>
    <t>300:58619</t>
  </si>
  <si>
    <t>204:820</t>
  </si>
  <si>
    <t>833-07</t>
  </si>
  <si>
    <t>204:1224</t>
  </si>
  <si>
    <t>300:58992</t>
  </si>
  <si>
    <t>834-07</t>
  </si>
  <si>
    <t>300:58670</t>
  </si>
  <si>
    <t>835-07</t>
  </si>
  <si>
    <t>204:1123</t>
  </si>
  <si>
    <t>836-07</t>
  </si>
  <si>
    <t>204:761</t>
  </si>
  <si>
    <t>837-07</t>
  </si>
  <si>
    <t>204:1223</t>
  </si>
  <si>
    <t>300:58760</t>
  </si>
  <si>
    <t>838-07</t>
  </si>
  <si>
    <t>300:58675</t>
  </si>
  <si>
    <t>204:929</t>
  </si>
  <si>
    <t>839-07</t>
  </si>
  <si>
    <t>204:1056</t>
  </si>
  <si>
    <t>840-07</t>
  </si>
  <si>
    <t>300:58634</t>
  </si>
  <si>
    <t>204:944</t>
  </si>
  <si>
    <t>841-07</t>
  </si>
  <si>
    <t>300:58950</t>
  </si>
  <si>
    <t>842-07</t>
  </si>
  <si>
    <t>300:58656</t>
  </si>
  <si>
    <t>843-07</t>
  </si>
  <si>
    <t>300:58971</t>
  </si>
  <si>
    <t>844-07</t>
  </si>
  <si>
    <t>204:943</t>
  </si>
  <si>
    <t>845-07</t>
  </si>
  <si>
    <t>847-07</t>
  </si>
  <si>
    <t>204:1226</t>
  </si>
  <si>
    <t>300:34157</t>
  </si>
  <si>
    <t>903-07</t>
  </si>
  <si>
    <t>204:1193</t>
  </si>
  <si>
    <t>300:24284</t>
  </si>
  <si>
    <t>906-07</t>
  </si>
  <si>
    <t>300:29007</t>
  </si>
  <si>
    <t>908-07</t>
  </si>
  <si>
    <t>300:28791</t>
  </si>
  <si>
    <t>GRADE CROSSING</t>
  </si>
  <si>
    <t>Bulletin (2)</t>
  </si>
  <si>
    <t>EQUIPMENT RESTRICTION</t>
  </si>
  <si>
    <t>904-07</t>
  </si>
  <si>
    <t>109-08</t>
  </si>
  <si>
    <t>802-08</t>
  </si>
  <si>
    <t>101-08</t>
  </si>
  <si>
    <t>112-08</t>
  </si>
  <si>
    <t>105-08</t>
  </si>
  <si>
    <t>901-08</t>
  </si>
  <si>
    <t>107-08</t>
  </si>
  <si>
    <t>800-08</t>
  </si>
  <si>
    <t>801-08</t>
  </si>
  <si>
    <t>125-08</t>
  </si>
  <si>
    <t>111-08</t>
  </si>
  <si>
    <t>146-07</t>
  </si>
  <si>
    <t>104-08</t>
  </si>
  <si>
    <t>110-08</t>
  </si>
  <si>
    <t>117-08</t>
  </si>
  <si>
    <t>rtdc.l.rtdc.4015:itc</t>
  </si>
  <si>
    <t>116-08</t>
  </si>
  <si>
    <t>106-08</t>
  </si>
  <si>
    <t>103-08</t>
  </si>
  <si>
    <t>113-08</t>
  </si>
  <si>
    <t>803-08</t>
  </si>
  <si>
    <t>108-08</t>
  </si>
  <si>
    <t>102-08</t>
  </si>
  <si>
    <t>119-08</t>
  </si>
  <si>
    <t>804-08</t>
  </si>
  <si>
    <t>118-08</t>
  </si>
  <si>
    <t>rtdc.l.rtdc.4016:itc</t>
  </si>
  <si>
    <t>115-08</t>
  </si>
  <si>
    <t>114-08</t>
  </si>
  <si>
    <t>123-08</t>
  </si>
  <si>
    <t>805-08</t>
  </si>
  <si>
    <t>121-08</t>
  </si>
  <si>
    <t>120-08</t>
  </si>
  <si>
    <t>Inefficient dispatching @ DUS and 40th</t>
  </si>
  <si>
    <t>Wi-MAX outage @ DIA prevented init</t>
  </si>
  <si>
    <t>Early Arrival</t>
  </si>
  <si>
    <t>Form C</t>
  </si>
  <si>
    <t>NWGL</t>
  </si>
  <si>
    <t>Premature downgrade at EC0365RH 27-1T 1N</t>
  </si>
  <si>
    <t>202-07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</si>
</sst>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0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 applyBorder="1"/>
    <xf numFmtId="0" fontId="0" fillId="0" borderId="0" xfId="0" applyBorder="1"/>
    <xf numFmtId="0" fontId="6" fillId="0" borderId="0" xfId="0" applyFont="1" applyAlignment="1">
      <alignment horizontal="center" vertical="center"/>
    </xf>
    <xf numFmtId="0" fontId="6" fillId="0" borderId="0" xfId="0" applyFont="1" applyFill="1" applyAlignment="1"/>
    <xf numFmtId="0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8" fillId="4" borderId="10" xfId="1" applyFont="1" applyFill="1" applyBorder="1" applyAlignment="1">
      <alignment horizontal="center"/>
    </xf>
    <xf numFmtId="0" fontId="8" fillId="0" borderId="11" xfId="1" applyFont="1" applyFill="1" applyBorder="1" applyAlignment="1">
      <alignment wrapText="1"/>
    </xf>
    <xf numFmtId="0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18" xfId="0" applyFill="1" applyBorder="1" applyAlignment="1">
      <alignment vertical="center"/>
    </xf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 wrapText="1"/>
    </xf>
    <xf numFmtId="0" fontId="0" fillId="0" borderId="5" xfId="0" applyFill="1" applyBorder="1"/>
    <xf numFmtId="0" fontId="9" fillId="0" borderId="5" xfId="0" applyFont="1" applyFill="1" applyBorder="1" applyAlignment="1">
      <alignment horizontal="center" vertical="center" wrapText="1"/>
    </xf>
    <xf numFmtId="0" fontId="9" fillId="0" borderId="5" xfId="0" applyFont="1" applyFill="1" applyBorder="1"/>
    <xf numFmtId="0" fontId="10" fillId="0" borderId="5" xfId="0" applyFont="1" applyFill="1" applyBorder="1" applyAlignment="1"/>
    <xf numFmtId="0" fontId="10" fillId="0" borderId="5" xfId="0" applyFont="1" applyFill="1" applyBorder="1"/>
    <xf numFmtId="0" fontId="10" fillId="0" borderId="5" xfId="0" applyFont="1" applyBorder="1"/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10" fillId="0" borderId="0" xfId="0" applyFont="1" applyFill="1"/>
    <xf numFmtId="0" fontId="0" fillId="0" borderId="5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8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8"/>
  <sheetViews>
    <sheetView tabSelected="1" zoomScale="85" zoomScaleNormal="85" workbookViewId="0"/>
  </sheetViews>
  <sheetFormatPr defaultRowHeight="15" x14ac:dyDescent="0.25"/>
  <cols>
    <col min="1" max="1" width="10.5703125" style="72" customWidth="1"/>
    <col min="2" max="2" width="10.7109375" style="46" customWidth="1"/>
    <col min="3" max="3" width="13.5703125" style="46" hidden="1" customWidth="1"/>
    <col min="4" max="4" width="16.140625" style="46" hidden="1" customWidth="1"/>
    <col min="5" max="5" width="19.5703125" style="65" hidden="1" customWidth="1"/>
    <col min="6" max="6" width="20.140625" style="65" customWidth="1"/>
    <col min="7" max="7" width="18.42578125" style="66" hidden="1" customWidth="1"/>
    <col min="8" max="8" width="22.140625" style="65" hidden="1" customWidth="1"/>
    <col min="9" max="9" width="19.7109375" style="65" customWidth="1"/>
    <col min="10" max="10" width="7.7109375" style="46" bestFit="1" customWidth="1"/>
    <col min="11" max="12" width="13.28515625" style="46" customWidth="1"/>
    <col min="13" max="13" width="9.5703125" style="73" customWidth="1"/>
    <col min="14" max="14" width="8.85546875" style="74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3.85546875" style="31" customWidth="1"/>
    <col min="24" max="24" width="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2"/>
      <c r="B1" s="46"/>
      <c r="C1" s="46"/>
      <c r="D1" s="46"/>
      <c r="E1" s="65"/>
      <c r="F1" s="65"/>
      <c r="G1" s="66"/>
      <c r="H1" s="65"/>
      <c r="I1" s="65"/>
      <c r="J1" s="46"/>
      <c r="K1" s="46"/>
      <c r="L1" s="46"/>
      <c r="M1" s="73"/>
      <c r="N1" s="74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2"/>
      <c r="B2" s="46"/>
      <c r="C2" s="46"/>
      <c r="D2" s="46"/>
      <c r="E2" s="65"/>
      <c r="F2" s="65"/>
      <c r="G2" s="66"/>
      <c r="H2" s="65"/>
      <c r="I2" s="111">
        <f>Variables!A2</f>
        <v>42558</v>
      </c>
      <c r="J2" s="112"/>
      <c r="K2" s="75"/>
      <c r="L2" s="75"/>
      <c r="M2" s="113" t="s">
        <v>8</v>
      </c>
      <c r="N2" s="114"/>
      <c r="O2" s="115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2"/>
      <c r="B3" s="46"/>
      <c r="C3" s="46"/>
      <c r="D3" s="46"/>
      <c r="E3" s="65"/>
      <c r="F3" s="65"/>
      <c r="G3" s="66"/>
      <c r="H3" s="65"/>
      <c r="I3" s="116" t="s">
        <v>10</v>
      </c>
      <c r="J3" s="117"/>
      <c r="K3" s="76"/>
      <c r="L3" s="76"/>
      <c r="M3" s="77" t="s">
        <v>11</v>
      </c>
      <c r="N3" s="78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2"/>
      <c r="B4" s="46"/>
      <c r="C4" s="46"/>
      <c r="D4" s="46"/>
      <c r="E4" s="65"/>
      <c r="F4" s="65"/>
      <c r="G4" s="66"/>
      <c r="H4" s="65"/>
      <c r="I4" s="67" t="s">
        <v>14</v>
      </c>
      <c r="J4" s="79">
        <f>COUNT($N$13:$P$1812)</f>
        <v>142</v>
      </c>
      <c r="K4" s="79"/>
      <c r="L4" s="79"/>
      <c r="M4" s="80" t="s">
        <v>15</v>
      </c>
      <c r="N4" s="78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2"/>
      <c r="B5" s="46"/>
      <c r="C5" s="46"/>
      <c r="D5" s="46"/>
      <c r="E5" s="65"/>
      <c r="F5" s="65"/>
      <c r="G5" s="66"/>
      <c r="H5" s="65"/>
      <c r="I5" s="67" t="s">
        <v>17</v>
      </c>
      <c r="J5" s="79">
        <f>COUNT($N$13:$N$1812)</f>
        <v>131</v>
      </c>
      <c r="K5" s="79"/>
      <c r="L5" s="79"/>
      <c r="M5" s="80">
        <f>AVERAGE($N$13:$N$812)</f>
        <v>41.953053434996136</v>
      </c>
      <c r="N5" s="78">
        <f>MIN($N$13:$N$812)</f>
        <v>33.850000002421439</v>
      </c>
      <c r="O5" s="3">
        <f>MAX($N$13:$N$812)</f>
        <v>55.249999996740371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2"/>
      <c r="B6" s="46"/>
      <c r="C6" s="46"/>
      <c r="D6" s="46"/>
      <c r="E6" s="65"/>
      <c r="F6" s="65"/>
      <c r="G6" s="66"/>
      <c r="H6" s="65"/>
      <c r="I6" s="68" t="s">
        <v>43</v>
      </c>
      <c r="J6" s="79">
        <f>COUNT($O$13:$O$812)</f>
        <v>0</v>
      </c>
      <c r="K6" s="79"/>
      <c r="L6" s="79"/>
      <c r="M6" s="80">
        <f>IFERROR(AVERAGE($O$13:$O$812),0)</f>
        <v>0</v>
      </c>
      <c r="N6" s="78">
        <f>MIN($O$13:$O$812)</f>
        <v>0</v>
      </c>
      <c r="O6" s="3">
        <f>MAX($O$13:$O$812)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2"/>
      <c r="B7" s="46"/>
      <c r="C7" s="46"/>
      <c r="D7" s="46"/>
      <c r="E7" s="65"/>
      <c r="F7" s="65"/>
      <c r="G7" s="66"/>
      <c r="H7" s="65"/>
      <c r="I7" s="69" t="s">
        <v>9</v>
      </c>
      <c r="J7" s="79">
        <f>COUNT($P$13:$P$812)</f>
        <v>11</v>
      </c>
      <c r="K7" s="79"/>
      <c r="L7" s="79"/>
      <c r="M7" s="80" t="s">
        <v>15</v>
      </c>
      <c r="N7" s="78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2"/>
      <c r="B8" s="46"/>
      <c r="C8" s="46"/>
      <c r="D8" s="46"/>
      <c r="E8" s="65"/>
      <c r="F8" s="65"/>
      <c r="G8" s="66"/>
      <c r="H8" s="65"/>
      <c r="I8" s="67" t="s">
        <v>16</v>
      </c>
      <c r="J8" s="79">
        <f>COUNT($N$13:$O$812)</f>
        <v>131</v>
      </c>
      <c r="K8" s="79"/>
      <c r="L8" s="79"/>
      <c r="M8" s="80">
        <f>AVERAGE($N$13:$P$812)</f>
        <v>40.956807511548746</v>
      </c>
      <c r="N8" s="78">
        <f>MIN($N$13:$O$812)</f>
        <v>33.850000002421439</v>
      </c>
      <c r="O8" s="3">
        <f>MAX($N$13:$O$812)</f>
        <v>55.249999996740371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2"/>
      <c r="B9" s="46"/>
      <c r="C9" s="46"/>
      <c r="D9" s="46"/>
      <c r="E9" s="65"/>
      <c r="F9" s="65"/>
      <c r="G9" s="66"/>
      <c r="H9" s="65"/>
      <c r="I9" s="67" t="s">
        <v>19</v>
      </c>
      <c r="J9" s="81">
        <f>J8/J4</f>
        <v>0.92253521126760563</v>
      </c>
      <c r="K9" s="81"/>
      <c r="L9" s="81"/>
      <c r="M9" s="73"/>
      <c r="N9" s="74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2"/>
      <c r="B10" s="46"/>
      <c r="C10" s="46"/>
      <c r="D10" s="46"/>
      <c r="E10" s="65"/>
      <c r="F10" s="65"/>
      <c r="G10" s="66"/>
      <c r="H10" s="65"/>
      <c r="I10" s="65"/>
      <c r="J10" s="46"/>
      <c r="K10" s="46"/>
      <c r="L10" s="46"/>
      <c r="M10" s="73"/>
      <c r="N10" s="74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10" t="str">
        <f>"Eagle P3 System Performance - "&amp;TEXT(Variables!A2,"yyyy-mm-dd")</f>
        <v>Eagle P3 System Performance - 2016-07-07</v>
      </c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91</v>
      </c>
      <c r="T12" s="109" t="s">
        <v>92</v>
      </c>
      <c r="U12" s="109" t="s">
        <v>93</v>
      </c>
      <c r="V12" s="104" t="s">
        <v>45</v>
      </c>
      <c r="W12" s="104" t="s">
        <v>23</v>
      </c>
      <c r="X12" s="104" t="s">
        <v>49</v>
      </c>
      <c r="Y12" s="104" t="s">
        <v>20</v>
      </c>
      <c r="Z12" s="104" t="s">
        <v>21</v>
      </c>
      <c r="AA12" s="104" t="s">
        <v>22</v>
      </c>
      <c r="AB12" s="105" t="s">
        <v>39</v>
      </c>
      <c r="AC12" s="105" t="s">
        <v>40</v>
      </c>
      <c r="AD12" s="104" t="s">
        <v>171</v>
      </c>
      <c r="AE12" s="104" t="s">
        <v>371</v>
      </c>
      <c r="AF12" s="104" t="s">
        <v>376</v>
      </c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2" t="s">
        <v>283</v>
      </c>
      <c r="B13" s="34">
        <v>4007</v>
      </c>
      <c r="C13" s="34" t="s">
        <v>60</v>
      </c>
      <c r="D13" s="34" t="s">
        <v>378</v>
      </c>
      <c r="E13" s="20">
        <v>42558.129942129628</v>
      </c>
      <c r="F13" s="20">
        <v>42558.131562499999</v>
      </c>
      <c r="G13" s="23">
        <v>2</v>
      </c>
      <c r="H13" s="20" t="s">
        <v>379</v>
      </c>
      <c r="I13" s="20">
        <v>42558.161064814813</v>
      </c>
      <c r="J13" s="34">
        <v>0</v>
      </c>
      <c r="K13" s="34" t="str">
        <f>IF(ISEVEN(B13),(B13-1)&amp;"/"&amp;B13,B13&amp;"/"&amp;(B13+1))</f>
        <v>4007/4008</v>
      </c>
      <c r="L13" s="34" t="str">
        <f>VLOOKUP(A13,'Trips&amp;Operators'!$C$1:$E$10000,3,FALSE)</f>
        <v>CANFIELD</v>
      </c>
      <c r="M13" s="6">
        <f>I13-F13</f>
        <v>2.9502314813726116E-2</v>
      </c>
      <c r="N13" s="7">
        <f>24*60*SUM($M13:$M13)</f>
        <v>42.483333331765607</v>
      </c>
      <c r="O13" s="7"/>
      <c r="P13" s="7"/>
      <c r="Q13" s="35"/>
      <c r="R13" s="35"/>
      <c r="S13" s="54">
        <f>SUM(U13:U13)/12</f>
        <v>1</v>
      </c>
      <c r="T13" s="98" t="str">
        <f>IF(ISEVEN(LEFT(A13,3)),"Southbound","NorthBound")</f>
        <v>NorthBound</v>
      </c>
      <c r="U13" s="98">
        <f>COUNTIFS(Variables!$M$2:$M$19,IF(T13="NorthBound","&gt;=","&lt;=")&amp;Y13,Variables!$M$2:$M$19,IF(T13="NorthBound","&lt;=","&gt;=")&amp;Z13)</f>
        <v>12</v>
      </c>
      <c r="V13" s="106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https://search-rtdc-monitor-bjffxe2xuh6vdkpspy63sjmuny.us-east-1.es.amazonaws.com/_plugin/kibana/#/discover/Steve-Slow-Train-Analysis-(2080s-and-2083s)?_g=(refreshInterval:(display:Off,section:0,value:0),time:(from:'2016-07-07 03:06:07-0600',mode:absolute,to:'2016-07-07 03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3" s="106" t="str">
        <f>IF(AA13&lt;23,"Y","N")</f>
        <v>N</v>
      </c>
      <c r="X13" s="106" t="e">
        <f>VALUE(LEFT(A13,3))-VALUE(LEFT(A12,3))</f>
        <v>#VALUE!</v>
      </c>
      <c r="Y13" s="106">
        <f>RIGHT(D13,LEN(D13)-4)/10000</f>
        <v>8.0100000000000005E-2</v>
      </c>
      <c r="Z13" s="106">
        <f>RIGHT(H13,LEN(H13)-4)/10000</f>
        <v>23.3278</v>
      </c>
      <c r="AA13" s="106">
        <f>ABS(Z13-Y13)</f>
        <v>23.247699999999998</v>
      </c>
      <c r="AB13" s="107" t="e">
        <f>VLOOKUP(A13,Enforcements!$C$7:$J$27,8,0)</f>
        <v>#N/A</v>
      </c>
      <c r="AC13" s="107" t="e">
        <f>VLOOKUP(A13,Enforcements!$C$7:$E$27,3,0)</f>
        <v>#N/A</v>
      </c>
      <c r="AD13" s="108" t="str">
        <f>IF(LEN(A13)=6,"0"&amp;A13,A13)</f>
        <v>0101-07</v>
      </c>
      <c r="AE13" s="108" t="str">
        <f t="shared" ref="AE13:AE44" si="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13" s="108" t="str">
        <f t="shared" ref="AF13:AF44" si="1">astrogrep_path&amp;" /spath="&amp;search_path&amp;" /stypes=""*"&amp;B13&amp;"*"&amp;TEXT(F13-utc_offset/24,"YYYYMMDD")&amp;"*"" /stext="" "&amp;TEXT(F13-utc_offset/24,"HH")&amp;search_regexp&amp;""" /e /r /s"</f>
        <v>"C:\Program Files (x86)\AstroGrep\AstroGrep.exe" /spath="C:\Users\stu\Documents\Analysis\2016-02-23 RTDC Observations" /stypes="*4007*20160707*" /stext=" 09:.+((prompt.+disp)|(slice.+state.+chan)|(ment ac)|(system.+state.+chan)|(\|lc)|(penalty)|(\[timeout))" /e /r /s</v>
      </c>
    </row>
    <row r="14" spans="1:91" s="1" customFormat="1" x14ac:dyDescent="0.25">
      <c r="A14" s="62" t="s">
        <v>295</v>
      </c>
      <c r="B14" s="34">
        <v>4043</v>
      </c>
      <c r="C14" s="34" t="s">
        <v>60</v>
      </c>
      <c r="D14" s="34" t="s">
        <v>380</v>
      </c>
      <c r="E14" s="20">
        <v>42558.183136574073</v>
      </c>
      <c r="F14" s="20">
        <v>42558.184027777781</v>
      </c>
      <c r="G14" s="23">
        <v>1</v>
      </c>
      <c r="H14" s="20" t="s">
        <v>381</v>
      </c>
      <c r="I14" s="20">
        <v>42558.204305555555</v>
      </c>
      <c r="J14" s="34">
        <v>2</v>
      </c>
      <c r="K14" s="34" t="str">
        <f>IF(ISEVEN(B14),(B14-1)&amp;"/"&amp;B14,B14&amp;"/"&amp;(B14+1))</f>
        <v>4043/4044</v>
      </c>
      <c r="L14" s="34" t="str">
        <f>VLOOKUP(A14,'Trips&amp;Operators'!$C$1:$E$10000,3,FALSE)</f>
        <v>CANFIELD</v>
      </c>
      <c r="M14" s="6">
        <f>I14-F14</f>
        <v>2.0277777774026617E-2</v>
      </c>
      <c r="N14" s="7"/>
      <c r="O14" s="7"/>
      <c r="P14" s="7">
        <f>24*60*SUM($M14:$M15)</f>
        <v>43.066666665254161</v>
      </c>
      <c r="Q14" s="35"/>
      <c r="R14" s="35" t="s">
        <v>144</v>
      </c>
      <c r="S14" s="54">
        <f>SUM(U14:U14)/12</f>
        <v>1</v>
      </c>
      <c r="T14" s="98" t="str">
        <f>IF(ISEVEN(LEFT(A14,3)),"Southbound","NorthBound")</f>
        <v>Southbound</v>
      </c>
      <c r="U14" s="98">
        <f>COUNTIFS(Variables!$M$2:$M$19,IF(T14="NorthBound","&gt;=","&lt;=")&amp;Y14,Variables!$M$2:$M$19,IF(T14="NorthBound","&lt;=","&gt;=")&amp;Z14)</f>
        <v>12</v>
      </c>
      <c r="V14" s="106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https://search-rtdc-monitor-bjffxe2xuh6vdkpspy63sjmuny.us-east-1.es.amazonaws.com/_plugin/kibana/#/discover/Steve-Slow-Train-Analysis-(2080s-and-2083s)?_g=(refreshInterval:(display:Off,section:0,value:0),time:(from:'2016-07-07 04:22:43-0600',mode:absolute,to:'2016-07-07 04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" s="106" t="str">
        <f>IF(AA14&lt;23,"Y","N")</f>
        <v>Y</v>
      </c>
      <c r="X14" s="106">
        <f>VALUE(LEFT(A14,3))-VALUE(LEFT(A13,3))</f>
        <v>1</v>
      </c>
      <c r="Y14" s="106">
        <f>RIGHT(D14,LEN(D14)-4)/10000</f>
        <v>15.392300000000001</v>
      </c>
      <c r="Z14" s="106">
        <f>RIGHT(H14,LEN(H14)-4)/10000</f>
        <v>7.3899999999999993E-2</v>
      </c>
      <c r="AA14" s="106">
        <f>ABS(Z14-Y14)</f>
        <v>15.3184</v>
      </c>
      <c r="AB14" s="107">
        <f>VLOOKUP(A14,Enforcements!$C$7:$J$27,8,0)</f>
        <v>4677</v>
      </c>
      <c r="AC14" s="107" t="str">
        <f>VLOOKUP(A14,Enforcements!$C$7:$E$27,3,0)</f>
        <v>PERMANENT SPEED RESTRICTION</v>
      </c>
      <c r="AD14" s="108" t="str">
        <f>IF(LEN(A14)=6,"0"&amp;A14,A14)</f>
        <v>0102-07</v>
      </c>
      <c r="AE14" s="108" t="str">
        <f t="shared" si="0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4" s="108" t="str">
        <f t="shared" si="1"/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</row>
    <row r="15" spans="1:91" s="1" customFormat="1" x14ac:dyDescent="0.25">
      <c r="A15" s="62" t="s">
        <v>295</v>
      </c>
      <c r="B15" s="34">
        <v>4043</v>
      </c>
      <c r="C15" s="34" t="s">
        <v>60</v>
      </c>
      <c r="D15" s="34" t="s">
        <v>319</v>
      </c>
      <c r="E15" s="20">
        <v>42558.170486111114</v>
      </c>
      <c r="F15" s="20">
        <v>42558.172233796293</v>
      </c>
      <c r="G15" s="23">
        <v>2</v>
      </c>
      <c r="H15" s="20" t="s">
        <v>382</v>
      </c>
      <c r="I15" s="20">
        <v>42558.181863425925</v>
      </c>
      <c r="J15" s="34">
        <v>0</v>
      </c>
      <c r="K15" s="34" t="str">
        <f t="shared" ref="K15:K78" si="2">IF(ISEVEN(B15),(B15-1)&amp;"/"&amp;B15,B15&amp;"/"&amp;(B15+1))</f>
        <v>4043/4044</v>
      </c>
      <c r="L15" s="34" t="str">
        <f>VLOOKUP(A15,'Trips&amp;Operators'!$C$1:$E$10000,3,FALSE)</f>
        <v>CANFIELD</v>
      </c>
      <c r="M15" s="6">
        <f t="shared" ref="M15:M78" si="3">I15-F15</f>
        <v>9.6296296323998831E-3</v>
      </c>
      <c r="N15" s="7"/>
      <c r="O15" s="7"/>
      <c r="P15" s="7"/>
      <c r="Q15" s="35"/>
      <c r="R15" s="35"/>
      <c r="S15" s="54"/>
      <c r="T15" s="98" t="str">
        <f t="shared" ref="T15:T78" si="4">IF(ISEVEN(LEFT(A15,3)),"Southbound","NorthBound")</f>
        <v>Southbound</v>
      </c>
      <c r="U15" s="98">
        <f>COUNTIFS(Variables!$M$2:$M$19,IF(T15="NorthBound","&gt;=","&lt;=")&amp;Y15,Variables!$M$2:$M$19,IF(T15="NorthBound","&lt;=","&gt;=")&amp;Z15)</f>
        <v>0</v>
      </c>
      <c r="V15" s="106" t="str">
        <f t="shared" ref="V15:V78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https://search-rtdc-monitor-bjffxe2xuh6vdkpspy63sjmuny.us-east-1.es.amazonaws.com/_plugin/kibana/#/discover/Steve-Slow-Train-Analysis-(2080s-and-2083s)?_g=(refreshInterval:(display:Off,section:0,value:0),time:(from:'2016-07-07 04:04:30-0600',mode:absolute,to:'2016-07-07 04:22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" s="106" t="str">
        <f t="shared" ref="W15:W78" si="6">IF(AA15&lt;23,"Y","N")</f>
        <v>Y</v>
      </c>
      <c r="X15" s="106">
        <f t="shared" ref="X15:X78" si="7">VALUE(LEFT(A15,3))-VALUE(LEFT(A14,3))</f>
        <v>0</v>
      </c>
      <c r="Y15" s="106">
        <f t="shared" ref="Y15:Y78" si="8">RIGHT(D15,LEN(D15)-4)/10000</f>
        <v>23.264099999999999</v>
      </c>
      <c r="Z15" s="106">
        <f t="shared" ref="Z15:Z78" si="9">RIGHT(H15,LEN(H15)-4)/10000</f>
        <v>15.866</v>
      </c>
      <c r="AA15" s="106">
        <f t="shared" ref="AA15:AA78" si="10">ABS(Z15-Y15)</f>
        <v>7.3980999999999995</v>
      </c>
      <c r="AB15" s="107">
        <f>VLOOKUP(A15,Enforcements!$C$7:$J$27,8,0)</f>
        <v>4677</v>
      </c>
      <c r="AC15" s="107" t="str">
        <f>VLOOKUP(A15,Enforcements!$C$7:$E$27,3,0)</f>
        <v>PERMANENT SPEED RESTRICTION</v>
      </c>
      <c r="AD15" s="108" t="str">
        <f t="shared" ref="AD15:AD78" si="11">IF(LEN(A15)=6,"0"&amp;A15,A15)</f>
        <v>0102-07</v>
      </c>
      <c r="AE15" s="108" t="str">
        <f t="shared" ref="AE15:AE78" si="12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5" s="108" t="str">
        <f t="shared" ref="AF15:AF78" si="13">astrogrep_path&amp;" /spath="&amp;search_path&amp;" /stypes=""*"&amp;B15&amp;"*"&amp;TEXT(F15-utc_offset/24,"YYYYMMDD")&amp;"*"" /stext="" "&amp;TEXT(F15-utc_offset/24,"HH")&amp;search_regexp&amp;""" /e /r /s"</f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</row>
    <row r="16" spans="1:91" s="1" customFormat="1" x14ac:dyDescent="0.25">
      <c r="A16" s="62" t="s">
        <v>289</v>
      </c>
      <c r="B16" s="34">
        <v>4031</v>
      </c>
      <c r="C16" s="34" t="s">
        <v>60</v>
      </c>
      <c r="D16" s="34" t="s">
        <v>383</v>
      </c>
      <c r="E16" s="20">
        <v>42558.160266203704</v>
      </c>
      <c r="F16" s="20">
        <v>42558.160925925928</v>
      </c>
      <c r="G16" s="23">
        <v>0</v>
      </c>
      <c r="H16" s="20" t="s">
        <v>384</v>
      </c>
      <c r="I16" s="20">
        <v>42558.175891203704</v>
      </c>
      <c r="J16" s="34">
        <v>1</v>
      </c>
      <c r="K16" s="34" t="str">
        <f t="shared" si="2"/>
        <v>4031/4032</v>
      </c>
      <c r="L16" s="34" t="str">
        <f>VLOOKUP(A16,'Trips&amp;Operators'!$C$1:$E$10000,3,FALSE)</f>
        <v>STARKS</v>
      </c>
      <c r="M16" s="6">
        <f t="shared" si="3"/>
        <v>1.4965277776354924E-2</v>
      </c>
      <c r="N16" s="7"/>
      <c r="O16" s="7"/>
      <c r="P16" s="7">
        <f>24*60*SUM($M16:$M17)</f>
        <v>25.516666669864208</v>
      </c>
      <c r="Q16" s="35"/>
      <c r="R16" s="35" t="s">
        <v>734</v>
      </c>
      <c r="S16" s="54">
        <f t="shared" ref="S15:S78" si="14">SUM(U16:U16)/12</f>
        <v>1</v>
      </c>
      <c r="T16" s="98" t="str">
        <f t="shared" si="4"/>
        <v>NorthBound</v>
      </c>
      <c r="U16" s="98">
        <f>COUNTIFS(Variables!$M$2:$M$19,IF(T16="NorthBound","&gt;=","&lt;=")&amp;Y16,Variables!$M$2:$M$19,IF(T16="NorthBound","&lt;=","&gt;=")&amp;Z16)</f>
        <v>12</v>
      </c>
      <c r="V1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03:49:47-0600',mode:absolute,to:'2016-07-07 04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6" s="106" t="str">
        <f t="shared" si="6"/>
        <v>Y</v>
      </c>
      <c r="X16" s="106">
        <f t="shared" si="7"/>
        <v>1</v>
      </c>
      <c r="Y16" s="106">
        <f t="shared" si="8"/>
        <v>1.9189000000000001</v>
      </c>
      <c r="Z16" s="106">
        <f t="shared" si="9"/>
        <v>12.635</v>
      </c>
      <c r="AA16" s="106">
        <f t="shared" si="10"/>
        <v>10.716099999999999</v>
      </c>
      <c r="AB16" s="107" t="e">
        <f>VLOOKUP(A16,Enforcements!$C$7:$J$27,8,0)</f>
        <v>#N/A</v>
      </c>
      <c r="AC16" s="107" t="e">
        <f>VLOOKUP(A16,Enforcements!$C$7:$E$27,3,0)</f>
        <v>#N/A</v>
      </c>
      <c r="AD16" s="108" t="str">
        <f t="shared" si="11"/>
        <v>0103-07</v>
      </c>
      <c r="AE16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6" s="108" t="str">
        <f t="shared" si="13"/>
        <v>"C:\Program Files (x86)\AstroGrep\AstroGrep.exe" /spath="C:\Users\stu\Documents\Analysis\2016-02-23 RTDC Observations" /stypes="*4031*20160707*" /stext=" 09:.+((prompt.+disp)|(slice.+state.+chan)|(ment ac)|(system.+state.+chan)|(\|lc)|(penalty)|(\[timeout))" /e /r /s</v>
      </c>
    </row>
    <row r="17" spans="1:32" s="1" customFormat="1" x14ac:dyDescent="0.25">
      <c r="A17" s="62" t="s">
        <v>289</v>
      </c>
      <c r="B17" s="34">
        <v>4031</v>
      </c>
      <c r="C17" s="34" t="s">
        <v>60</v>
      </c>
      <c r="D17" s="34" t="s">
        <v>385</v>
      </c>
      <c r="E17" s="20">
        <v>42558.153460648151</v>
      </c>
      <c r="F17" s="20">
        <v>42558.15452546296</v>
      </c>
      <c r="G17" s="23">
        <v>1</v>
      </c>
      <c r="H17" s="20" t="s">
        <v>386</v>
      </c>
      <c r="I17" s="20">
        <v>42558.157280092593</v>
      </c>
      <c r="J17" s="34">
        <v>0</v>
      </c>
      <c r="K17" s="34" t="str">
        <f t="shared" si="2"/>
        <v>4031/4032</v>
      </c>
      <c r="L17" s="34" t="str">
        <f>VLOOKUP(A17,'Trips&amp;Operators'!$C$1:$E$10000,3,FALSE)</f>
        <v>STARKS</v>
      </c>
      <c r="M17" s="6">
        <f t="shared" si="3"/>
        <v>2.754629633272998E-3</v>
      </c>
      <c r="N17" s="7"/>
      <c r="O17" s="7"/>
      <c r="P17" s="7"/>
      <c r="Q17" s="35"/>
      <c r="R17" s="35"/>
      <c r="S17" s="54">
        <f t="shared" si="14"/>
        <v>0</v>
      </c>
      <c r="T17" s="98" t="str">
        <f t="shared" si="4"/>
        <v>NorthBound</v>
      </c>
      <c r="U17" s="98">
        <f>COUNTIFS(Variables!$M$2:$M$19,IF(T17="NorthBound","&gt;=","&lt;=")&amp;Y17,Variables!$M$2:$M$19,IF(T17="NorthBound","&lt;=","&gt;=")&amp;Z17)</f>
        <v>0</v>
      </c>
      <c r="V1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03:39:59-0600',mode:absolute,to:'2016-07-07 03:47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7" s="106" t="str">
        <f t="shared" si="6"/>
        <v>Y</v>
      </c>
      <c r="X17" s="106">
        <f t="shared" si="7"/>
        <v>0</v>
      </c>
      <c r="Y17" s="106">
        <f t="shared" si="8"/>
        <v>7.0400000000000004E-2</v>
      </c>
      <c r="Z17" s="106">
        <f t="shared" si="9"/>
        <v>0.1391</v>
      </c>
      <c r="AA17" s="106">
        <f t="shared" si="10"/>
        <v>6.8699999999999997E-2</v>
      </c>
      <c r="AB17" s="107" t="e">
        <f>VLOOKUP(A17,Enforcements!$C$7:$J$27,8,0)</f>
        <v>#N/A</v>
      </c>
      <c r="AC17" s="107" t="e">
        <f>VLOOKUP(A17,Enforcements!$C$7:$E$27,3,0)</f>
        <v>#N/A</v>
      </c>
      <c r="AD17" s="108" t="str">
        <f t="shared" si="11"/>
        <v>0103-07</v>
      </c>
      <c r="AE17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7" s="108" t="str">
        <f t="shared" si="13"/>
        <v>"C:\Program Files (x86)\AstroGrep\AstroGrep.exe" /spath="C:\Users\stu\Documents\Analysis\2016-02-23 RTDC Observations" /stypes="*4031*20160707*" /stext=" 09:.+((prompt.+disp)|(slice.+state.+chan)|(ment ac)|(system.+state.+chan)|(\|lc)|(penalty)|(\[timeout))" /e /r /s</v>
      </c>
    </row>
    <row r="18" spans="1:32" s="1" customFormat="1" x14ac:dyDescent="0.25">
      <c r="A18" s="62" t="s">
        <v>303</v>
      </c>
      <c r="B18" s="34">
        <v>4028</v>
      </c>
      <c r="C18" s="34" t="s">
        <v>60</v>
      </c>
      <c r="D18" s="34" t="s">
        <v>387</v>
      </c>
      <c r="E18" s="20">
        <v>42558.194351851853</v>
      </c>
      <c r="F18" s="20">
        <v>42558.195219907408</v>
      </c>
      <c r="G18" s="23">
        <v>1</v>
      </c>
      <c r="H18" s="20" t="s">
        <v>61</v>
      </c>
      <c r="I18" s="20">
        <v>42558.222361111111</v>
      </c>
      <c r="J18" s="34">
        <v>1</v>
      </c>
      <c r="K18" s="34" t="str">
        <f t="shared" si="2"/>
        <v>4027/4028</v>
      </c>
      <c r="L18" s="34" t="str">
        <f>VLOOKUP(A18,'Trips&amp;Operators'!$C$1:$E$10000,3,FALSE)</f>
        <v>STARKS</v>
      </c>
      <c r="M18" s="6">
        <f t="shared" si="3"/>
        <v>2.7141203703649808E-2</v>
      </c>
      <c r="N18" s="7">
        <f t="shared" ref="N15:P78" si="15">24*60*SUM($M18:$M18)</f>
        <v>39.083333333255723</v>
      </c>
      <c r="O18" s="7"/>
      <c r="P18" s="7"/>
      <c r="Q18" s="35"/>
      <c r="R18" s="35"/>
      <c r="S18" s="54">
        <f t="shared" si="14"/>
        <v>1</v>
      </c>
      <c r="T18" s="98" t="str">
        <f t="shared" si="4"/>
        <v>Southbound</v>
      </c>
      <c r="U18" s="98">
        <f>COUNTIFS(Variables!$M$2:$M$19,IF(T18="NorthBound","&gt;=","&lt;=")&amp;Y18,Variables!$M$2:$M$19,IF(T18="NorthBound","&lt;=","&gt;=")&amp;Z18)</f>
        <v>12</v>
      </c>
      <c r="V1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04:38:52-0600',mode:absolute,to:'2016-07-07 05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8" s="106" t="str">
        <f t="shared" si="6"/>
        <v>N</v>
      </c>
      <c r="X18" s="106">
        <f t="shared" si="7"/>
        <v>1</v>
      </c>
      <c r="Y18" s="106">
        <f t="shared" si="8"/>
        <v>23.264199999999999</v>
      </c>
      <c r="Z18" s="106">
        <f t="shared" si="9"/>
        <v>1.4500000000000001E-2</v>
      </c>
      <c r="AA18" s="106">
        <f t="shared" si="10"/>
        <v>23.249699999999997</v>
      </c>
      <c r="AB18" s="107" t="e">
        <f>VLOOKUP(A18,Enforcements!$C$7:$J$27,8,0)</f>
        <v>#N/A</v>
      </c>
      <c r="AC18" s="107" t="e">
        <f>VLOOKUP(A18,Enforcements!$C$7:$E$27,3,0)</f>
        <v>#N/A</v>
      </c>
      <c r="AD18" s="108" t="str">
        <f t="shared" si="11"/>
        <v>0104-07</v>
      </c>
      <c r="AE18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18" s="108" t="str">
        <f t="shared" si="13"/>
        <v>"C:\Program Files (x86)\AstroGrep\AstroGrep.exe" /spath="C:\Users\stu\Documents\Analysis\2016-02-23 RTDC Observations" /stypes="*4028*20160707*" /stext=" 10:.+((prompt.+disp)|(slice.+state.+chan)|(ment ac)|(system.+state.+chan)|(\|lc)|(penalty)|(\[timeout))" /e /r /s</v>
      </c>
    </row>
    <row r="19" spans="1:32" s="1" customFormat="1" x14ac:dyDescent="0.25">
      <c r="A19" s="62" t="s">
        <v>296</v>
      </c>
      <c r="B19" s="34">
        <v>4038</v>
      </c>
      <c r="C19" s="34" t="s">
        <v>60</v>
      </c>
      <c r="D19" s="34" t="s">
        <v>388</v>
      </c>
      <c r="E19" s="20">
        <v>42558.170659722222</v>
      </c>
      <c r="F19" s="20">
        <v>42558.171967592592</v>
      </c>
      <c r="G19" s="23">
        <v>1</v>
      </c>
      <c r="H19" s="20" t="s">
        <v>389</v>
      </c>
      <c r="I19" s="20">
        <v>42558.195613425924</v>
      </c>
      <c r="J19" s="34">
        <v>0</v>
      </c>
      <c r="K19" s="34" t="str">
        <f t="shared" si="2"/>
        <v>4037/4038</v>
      </c>
      <c r="L19" s="34" t="str">
        <f>VLOOKUP(A19,'Trips&amp;Operators'!$C$1:$E$10000,3,FALSE)</f>
        <v>YORK</v>
      </c>
      <c r="M19" s="6">
        <f t="shared" si="3"/>
        <v>2.364583333110204E-2</v>
      </c>
      <c r="N19" s="7"/>
      <c r="O19" s="7"/>
      <c r="P19" s="7">
        <f t="shared" si="15"/>
        <v>34.049999996786937</v>
      </c>
      <c r="Q19" s="35"/>
      <c r="R19" s="35" t="s">
        <v>144</v>
      </c>
      <c r="S19" s="54">
        <f t="shared" si="14"/>
        <v>1</v>
      </c>
      <c r="T19" s="98" t="str">
        <f t="shared" si="4"/>
        <v>NorthBound</v>
      </c>
      <c r="U19" s="98">
        <f>COUNTIFS(Variables!$M$2:$M$19,IF(T19="NorthBound","&gt;=","&lt;=")&amp;Y19,Variables!$M$2:$M$19,IF(T19="NorthBound","&lt;=","&gt;=")&amp;Z19)</f>
        <v>12</v>
      </c>
      <c r="V1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04:04:45-0600',mode:absolute,to:'2016-07-07 04:42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106" t="str">
        <f t="shared" si="6"/>
        <v>Y</v>
      </c>
      <c r="X19" s="106">
        <f t="shared" si="7"/>
        <v>1</v>
      </c>
      <c r="Y19" s="106">
        <f t="shared" si="8"/>
        <v>6.6199999999999995E-2</v>
      </c>
      <c r="Z19" s="106">
        <f t="shared" si="9"/>
        <v>15.4506</v>
      </c>
      <c r="AA19" s="106">
        <f t="shared" si="10"/>
        <v>15.384399999999999</v>
      </c>
      <c r="AB19" s="107" t="e">
        <f>VLOOKUP(A19,Enforcements!$C$7:$J$27,8,0)</f>
        <v>#N/A</v>
      </c>
      <c r="AC19" s="107" t="e">
        <f>VLOOKUP(A19,Enforcements!$C$7:$E$27,3,0)</f>
        <v>#N/A</v>
      </c>
      <c r="AD19" s="108" t="str">
        <f t="shared" si="11"/>
        <v>0105-07</v>
      </c>
      <c r="AE19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9" s="108" t="str">
        <f t="shared" si="13"/>
        <v>"C:\Program Files (x86)\AstroGrep\AstroGrep.exe" /spath="C:\Users\stu\Documents\Analysis\2016-02-23 RTDC Observations" /stypes="*4038*20160707*" /stext=" 10:.+((prompt.+disp)|(slice.+state.+chan)|(ment ac)|(system.+state.+chan)|(\|lc)|(penalty)|(\[timeout))" /e /r /s</v>
      </c>
    </row>
    <row r="20" spans="1:32" s="1" customFormat="1" x14ac:dyDescent="0.25">
      <c r="A20" s="62" t="s">
        <v>302</v>
      </c>
      <c r="B20" s="34">
        <v>4013</v>
      </c>
      <c r="C20" s="34" t="s">
        <v>60</v>
      </c>
      <c r="D20" s="34" t="s">
        <v>390</v>
      </c>
      <c r="E20" s="20">
        <v>42558.205613425926</v>
      </c>
      <c r="F20" s="20">
        <v>42558.206377314818</v>
      </c>
      <c r="G20" s="23">
        <v>1</v>
      </c>
      <c r="H20" s="20" t="s">
        <v>391</v>
      </c>
      <c r="I20" s="20">
        <v>42558.241689814815</v>
      </c>
      <c r="J20" s="34">
        <v>0</v>
      </c>
      <c r="K20" s="34" t="str">
        <f t="shared" si="2"/>
        <v>4013/4014</v>
      </c>
      <c r="L20" s="34" t="str">
        <f>VLOOKUP(A20,'Trips&amp;Operators'!$C$1:$E$10000,3,FALSE)</f>
        <v>YORK</v>
      </c>
      <c r="M20" s="6">
        <f t="shared" si="3"/>
        <v>3.531249999650754E-2</v>
      </c>
      <c r="N20" s="7">
        <f t="shared" si="15"/>
        <v>50.849999994970858</v>
      </c>
      <c r="O20" s="7"/>
      <c r="P20" s="7"/>
      <c r="Q20" s="35"/>
      <c r="R20" s="35"/>
      <c r="S20" s="54">
        <f t="shared" si="14"/>
        <v>1</v>
      </c>
      <c r="T20" s="98" t="str">
        <f t="shared" si="4"/>
        <v>Southbound</v>
      </c>
      <c r="U20" s="98">
        <f>COUNTIFS(Variables!$M$2:$M$19,IF(T20="NorthBound","&gt;=","&lt;=")&amp;Y20,Variables!$M$2:$M$19,IF(T20="NorthBound","&lt;=","&gt;=")&amp;Z20)</f>
        <v>12</v>
      </c>
      <c r="V2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04:55:05-0600',mode:absolute,to:'2016-07-07 05:49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0" s="106" t="str">
        <f t="shared" si="6"/>
        <v>N</v>
      </c>
      <c r="X20" s="106">
        <f t="shared" si="7"/>
        <v>1</v>
      </c>
      <c r="Y20" s="106">
        <f t="shared" si="8"/>
        <v>23.2714</v>
      </c>
      <c r="Z20" s="106">
        <f t="shared" si="9"/>
        <v>1.2500000000000001E-2</v>
      </c>
      <c r="AA20" s="106">
        <f t="shared" si="10"/>
        <v>23.258900000000001</v>
      </c>
      <c r="AB20" s="107" t="e">
        <f>VLOOKUP(A20,Enforcements!$C$7:$J$27,8,0)</f>
        <v>#N/A</v>
      </c>
      <c r="AC20" s="107" t="e">
        <f>VLOOKUP(A20,Enforcements!$C$7:$E$27,3,0)</f>
        <v>#N/A</v>
      </c>
      <c r="AD20" s="108" t="str">
        <f t="shared" si="11"/>
        <v>0106-07</v>
      </c>
      <c r="AE20" s="108" t="str">
        <f t="shared" si="12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20" s="108" t="str">
        <f t="shared" si="13"/>
        <v>"C:\Program Files (x86)\AstroGrep\AstroGrep.exe" /spath="C:\Users\stu\Documents\Analysis\2016-02-23 RTDC Observations" /stypes="*4013*20160707*" /stext=" 10:.+((prompt.+disp)|(slice.+state.+chan)|(ment ac)|(system.+state.+chan)|(\|lc)|(penalty)|(\[timeout))" /e /r /s</v>
      </c>
    </row>
    <row r="21" spans="1:32" s="1" customFormat="1" x14ac:dyDescent="0.25">
      <c r="A21" s="62" t="s">
        <v>305</v>
      </c>
      <c r="B21" s="34">
        <v>4018</v>
      </c>
      <c r="C21" s="34" t="s">
        <v>60</v>
      </c>
      <c r="D21" s="34" t="s">
        <v>209</v>
      </c>
      <c r="E21" s="20">
        <v>42558.189004629632</v>
      </c>
      <c r="F21" s="20">
        <v>42558.189780092594</v>
      </c>
      <c r="G21" s="23">
        <v>1</v>
      </c>
      <c r="H21" s="20" t="s">
        <v>231</v>
      </c>
      <c r="I21" s="20">
        <v>42558.214074074072</v>
      </c>
      <c r="J21" s="34">
        <v>0</v>
      </c>
      <c r="K21" s="34" t="str">
        <f t="shared" si="2"/>
        <v>4017/4018</v>
      </c>
      <c r="L21" s="34" t="str">
        <f>VLOOKUP(A21,'Trips&amp;Operators'!$C$1:$E$10000,3,FALSE)</f>
        <v>KILLION</v>
      </c>
      <c r="M21" s="6">
        <f t="shared" si="3"/>
        <v>2.4293981477967463E-2</v>
      </c>
      <c r="N21" s="7">
        <f t="shared" si="15"/>
        <v>34.983333328273147</v>
      </c>
      <c r="O21" s="7"/>
      <c r="P21" s="7"/>
      <c r="Q21" s="35"/>
      <c r="R21" s="35"/>
      <c r="S21" s="54">
        <f t="shared" si="14"/>
        <v>1</v>
      </c>
      <c r="T21" s="98" t="str">
        <f t="shared" si="4"/>
        <v>NorthBound</v>
      </c>
      <c r="U21" s="98">
        <f>COUNTIFS(Variables!$M$2:$M$19,IF(T21="NorthBound","&gt;=","&lt;=")&amp;Y21,Variables!$M$2:$M$19,IF(T21="NorthBound","&lt;=","&gt;=")&amp;Z21)</f>
        <v>12</v>
      </c>
      <c r="V2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04:31:10-0600',mode:absolute,to:'2016-07-07 05:09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1" s="106" t="str">
        <f t="shared" si="6"/>
        <v>N</v>
      </c>
      <c r="X21" s="106">
        <f t="shared" si="7"/>
        <v>1</v>
      </c>
      <c r="Y21" s="106">
        <f t="shared" si="8"/>
        <v>4.58E-2</v>
      </c>
      <c r="Z21" s="106">
        <f t="shared" si="9"/>
        <v>23.331199999999999</v>
      </c>
      <c r="AA21" s="106">
        <f t="shared" si="10"/>
        <v>23.285399999999999</v>
      </c>
      <c r="AB21" s="107" t="e">
        <f>VLOOKUP(A21,Enforcements!$C$7:$J$27,8,0)</f>
        <v>#N/A</v>
      </c>
      <c r="AC21" s="107" t="e">
        <f>VLOOKUP(A21,Enforcements!$C$7:$E$27,3,0)</f>
        <v>#N/A</v>
      </c>
      <c r="AD21" s="108" t="str">
        <f t="shared" si="11"/>
        <v>0107-07</v>
      </c>
      <c r="AE21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21" s="108" t="str">
        <f t="shared" si="13"/>
        <v>"C:\Program Files (x86)\AstroGrep\AstroGrep.exe" /spath="C:\Users\stu\Documents\Analysis\2016-02-23 RTDC Observations" /stypes="*4018*20160707*" /stext=" 10:.+((prompt.+disp)|(slice.+state.+chan)|(ment ac)|(system.+state.+chan)|(\|lc)|(penalty)|(\[timeout))" /e /r /s</v>
      </c>
    </row>
    <row r="22" spans="1:32" s="1" customFormat="1" x14ac:dyDescent="0.25">
      <c r="A22" s="62" t="s">
        <v>270</v>
      </c>
      <c r="B22" s="34">
        <v>4017</v>
      </c>
      <c r="C22" s="34" t="s">
        <v>60</v>
      </c>
      <c r="D22" s="34" t="s">
        <v>392</v>
      </c>
      <c r="E22" s="20">
        <v>42558.21539351852</v>
      </c>
      <c r="F22" s="20">
        <v>42558.216423611113</v>
      </c>
      <c r="G22" s="23">
        <v>1</v>
      </c>
      <c r="H22" s="20" t="s">
        <v>242</v>
      </c>
      <c r="I22" s="20">
        <v>42558.25199074074</v>
      </c>
      <c r="J22" s="34">
        <v>0</v>
      </c>
      <c r="K22" s="34" t="str">
        <f t="shared" si="2"/>
        <v>4017/4018</v>
      </c>
      <c r="L22" s="34" t="str">
        <f>VLOOKUP(A22,'Trips&amp;Operators'!$C$1:$E$10000,3,FALSE)</f>
        <v>KILLION</v>
      </c>
      <c r="M22" s="6">
        <f t="shared" si="3"/>
        <v>3.5567129627452232E-2</v>
      </c>
      <c r="N22" s="7">
        <f t="shared" si="15"/>
        <v>51.216666663531214</v>
      </c>
      <c r="O22" s="7"/>
      <c r="P22" s="7"/>
      <c r="Q22" s="35"/>
      <c r="R22" s="35"/>
      <c r="S22" s="54">
        <f t="shared" si="14"/>
        <v>1</v>
      </c>
      <c r="T22" s="98" t="str">
        <f t="shared" si="4"/>
        <v>Southbound</v>
      </c>
      <c r="U22" s="98">
        <f>COUNTIFS(Variables!$M$2:$M$19,IF(T22="NorthBound","&gt;=","&lt;=")&amp;Y22,Variables!$M$2:$M$19,IF(T22="NorthBound","&lt;=","&gt;=")&amp;Z22)</f>
        <v>12</v>
      </c>
      <c r="V2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05:09:10-0600',mode:absolute,to:'2016-07-07 06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2" s="106" t="str">
        <f t="shared" si="6"/>
        <v>N</v>
      </c>
      <c r="X22" s="106">
        <f t="shared" si="7"/>
        <v>1</v>
      </c>
      <c r="Y22" s="106">
        <f t="shared" si="8"/>
        <v>23.3002</v>
      </c>
      <c r="Z22" s="106">
        <f t="shared" si="9"/>
        <v>0.02</v>
      </c>
      <c r="AA22" s="106">
        <f t="shared" si="10"/>
        <v>23.280200000000001</v>
      </c>
      <c r="AB22" s="107" t="e">
        <f>VLOOKUP(A22,Enforcements!$C$7:$J$27,8,0)</f>
        <v>#N/A</v>
      </c>
      <c r="AC22" s="107" t="e">
        <f>VLOOKUP(A22,Enforcements!$C$7:$E$27,3,0)</f>
        <v>#N/A</v>
      </c>
      <c r="AD22" s="108" t="str">
        <f t="shared" si="11"/>
        <v>0108-07</v>
      </c>
      <c r="AE22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22" s="108" t="str">
        <f t="shared" si="13"/>
        <v>"C:\Program Files (x86)\AstroGrep\AstroGrep.exe" /spath="C:\Users\stu\Documents\Analysis\2016-02-23 RTDC Observations" /stypes="*4017*20160707*" /stext=" 11:.+((prompt.+disp)|(slice.+state.+chan)|(ment ac)|(system.+state.+chan)|(\|lc)|(penalty)|(\[timeout))" /e /r /s</v>
      </c>
    </row>
    <row r="23" spans="1:32" s="1" customFormat="1" x14ac:dyDescent="0.25">
      <c r="A23" s="62" t="s">
        <v>310</v>
      </c>
      <c r="B23" s="34">
        <v>4011</v>
      </c>
      <c r="C23" s="34" t="s">
        <v>60</v>
      </c>
      <c r="D23" s="34" t="s">
        <v>139</v>
      </c>
      <c r="E23" s="20">
        <v>42558.195740740739</v>
      </c>
      <c r="F23" s="20">
        <v>42558.196898148148</v>
      </c>
      <c r="G23" s="23">
        <v>1</v>
      </c>
      <c r="H23" s="20" t="s">
        <v>237</v>
      </c>
      <c r="I23" s="20">
        <v>42558.222604166665</v>
      </c>
      <c r="J23" s="34">
        <v>0</v>
      </c>
      <c r="K23" s="34" t="str">
        <f t="shared" si="2"/>
        <v>4011/4012</v>
      </c>
      <c r="L23" s="34" t="str">
        <f>VLOOKUP(A23,'Trips&amp;Operators'!$C$1:$E$10000,3,FALSE)</f>
        <v>MAELZER</v>
      </c>
      <c r="M23" s="6">
        <f t="shared" si="3"/>
        <v>2.5706018517666962E-2</v>
      </c>
      <c r="N23" s="7">
        <f t="shared" si="15"/>
        <v>37.016666665440425</v>
      </c>
      <c r="O23" s="7"/>
      <c r="P23" s="7"/>
      <c r="Q23" s="35"/>
      <c r="R23" s="35"/>
      <c r="S23" s="54">
        <f t="shared" si="14"/>
        <v>1</v>
      </c>
      <c r="T23" s="98" t="str">
        <f t="shared" si="4"/>
        <v>NorthBound</v>
      </c>
      <c r="U23" s="98">
        <f>COUNTIFS(Variables!$M$2:$M$19,IF(T23="NorthBound","&gt;=","&lt;=")&amp;Y23,Variables!$M$2:$M$19,IF(T23="NorthBound","&lt;=","&gt;=")&amp;Z23)</f>
        <v>12</v>
      </c>
      <c r="V2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04:40:52-0600',mode:absolute,to:'2016-07-07 05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3" s="106" t="str">
        <f t="shared" si="6"/>
        <v>N</v>
      </c>
      <c r="X23" s="106">
        <f t="shared" si="7"/>
        <v>1</v>
      </c>
      <c r="Y23" s="106">
        <f t="shared" si="8"/>
        <v>4.4600000000000001E-2</v>
      </c>
      <c r="Z23" s="106">
        <f t="shared" si="9"/>
        <v>23.330500000000001</v>
      </c>
      <c r="AA23" s="106">
        <f t="shared" si="10"/>
        <v>23.285900000000002</v>
      </c>
      <c r="AB23" s="107" t="e">
        <f>VLOOKUP(A23,Enforcements!$C$7:$J$27,8,0)</f>
        <v>#N/A</v>
      </c>
      <c r="AC23" s="107" t="e">
        <f>VLOOKUP(A23,Enforcements!$C$7:$E$27,3,0)</f>
        <v>#N/A</v>
      </c>
      <c r="AD23" s="108" t="str">
        <f t="shared" si="11"/>
        <v>0109-07</v>
      </c>
      <c r="AE23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23" s="108" t="str">
        <f t="shared" si="13"/>
        <v>"C:\Program Files (x86)\AstroGrep\AstroGrep.exe" /spath="C:\Users\stu\Documents\Analysis\2016-02-23 RTDC Observations" /stypes="*4011*20160707*" /stext=" 10:.+((prompt.+disp)|(slice.+state.+chan)|(ment ac)|(system.+state.+chan)|(\|lc)|(penalty)|(\[timeout))" /e /r /s</v>
      </c>
    </row>
    <row r="24" spans="1:32" s="1" customFormat="1" x14ac:dyDescent="0.25">
      <c r="A24" s="62" t="s">
        <v>304</v>
      </c>
      <c r="B24" s="34">
        <v>4012</v>
      </c>
      <c r="C24" s="34" t="s">
        <v>60</v>
      </c>
      <c r="D24" s="34" t="s">
        <v>226</v>
      </c>
      <c r="E24" s="20">
        <v>42558.234155092592</v>
      </c>
      <c r="F24" s="20">
        <v>42558.235347222224</v>
      </c>
      <c r="G24" s="23">
        <v>1</v>
      </c>
      <c r="H24" s="20" t="s">
        <v>229</v>
      </c>
      <c r="I24" s="20">
        <v>42558.262280092589</v>
      </c>
      <c r="J24" s="34">
        <v>0</v>
      </c>
      <c r="K24" s="34" t="str">
        <f t="shared" si="2"/>
        <v>4011/4012</v>
      </c>
      <c r="L24" s="34" t="str">
        <f>VLOOKUP(A24,'Trips&amp;Operators'!$C$1:$E$10000,3,FALSE)</f>
        <v>MAELZER</v>
      </c>
      <c r="M24" s="6">
        <f t="shared" si="3"/>
        <v>2.693287036527181E-2</v>
      </c>
      <c r="N24" s="7">
        <f t="shared" si="15"/>
        <v>38.783333325991407</v>
      </c>
      <c r="O24" s="7"/>
      <c r="P24" s="7"/>
      <c r="Q24" s="35"/>
      <c r="R24" s="35"/>
      <c r="S24" s="54">
        <f t="shared" si="14"/>
        <v>1</v>
      </c>
      <c r="T24" s="98" t="str">
        <f t="shared" si="4"/>
        <v>Southbound</v>
      </c>
      <c r="U24" s="98">
        <f>COUNTIFS(Variables!$M$2:$M$19,IF(T24="NorthBound","&gt;=","&lt;=")&amp;Y24,Variables!$M$2:$M$19,IF(T24="NorthBound","&lt;=","&gt;=")&amp;Z24)</f>
        <v>12</v>
      </c>
      <c r="V2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05:36:11-0600',mode:absolute,to:'2016-07-07 06:18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4" s="106" t="str">
        <f t="shared" si="6"/>
        <v>N</v>
      </c>
      <c r="X24" s="106">
        <f t="shared" si="7"/>
        <v>1</v>
      </c>
      <c r="Y24" s="106">
        <f t="shared" si="8"/>
        <v>23.2988</v>
      </c>
      <c r="Z24" s="106">
        <f t="shared" si="9"/>
        <v>1.3899999999999999E-2</v>
      </c>
      <c r="AA24" s="106">
        <f t="shared" si="10"/>
        <v>23.2849</v>
      </c>
      <c r="AB24" s="107" t="e">
        <f>VLOOKUP(A24,Enforcements!$C$7:$J$27,8,0)</f>
        <v>#N/A</v>
      </c>
      <c r="AC24" s="107" t="e">
        <f>VLOOKUP(A24,Enforcements!$C$7:$E$27,3,0)</f>
        <v>#N/A</v>
      </c>
      <c r="AD24" s="108" t="str">
        <f t="shared" si="11"/>
        <v>0110-07</v>
      </c>
      <c r="AE24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24" s="108" t="str">
        <f t="shared" si="13"/>
        <v>"C:\Program Files (x86)\AstroGrep\AstroGrep.exe" /spath="C:\Users\stu\Documents\Analysis\2016-02-23 RTDC Observations" /stypes="*4012*20160707*" /stext=" 11:.+((prompt.+disp)|(slice.+state.+chan)|(ment ac)|(system.+state.+chan)|(\|lc)|(penalty)|(\[timeout))" /e /r /s</v>
      </c>
    </row>
    <row r="25" spans="1:32" s="1" customFormat="1" x14ac:dyDescent="0.25">
      <c r="A25" s="62" t="s">
        <v>287</v>
      </c>
      <c r="B25" s="34">
        <v>4007</v>
      </c>
      <c r="C25" s="34" t="s">
        <v>60</v>
      </c>
      <c r="D25" s="34" t="s">
        <v>393</v>
      </c>
      <c r="E25" s="20">
        <v>42558.208969907406</v>
      </c>
      <c r="F25" s="20">
        <v>42558.210196759261</v>
      </c>
      <c r="G25" s="23">
        <v>1</v>
      </c>
      <c r="H25" s="20" t="s">
        <v>326</v>
      </c>
      <c r="I25" s="20">
        <v>42558.234918981485</v>
      </c>
      <c r="J25" s="34">
        <v>0</v>
      </c>
      <c r="K25" s="34" t="str">
        <f t="shared" si="2"/>
        <v>4007/4008</v>
      </c>
      <c r="L25" s="34" t="str">
        <f>VLOOKUP(A25,'Trips&amp;Operators'!$C$1:$E$10000,3,FALSE)</f>
        <v>MOSES</v>
      </c>
      <c r="M25" s="6">
        <f t="shared" si="3"/>
        <v>2.4722222224227153E-2</v>
      </c>
      <c r="N25" s="7">
        <f t="shared" si="15"/>
        <v>35.6000000028871</v>
      </c>
      <c r="O25" s="7"/>
      <c r="P25" s="7"/>
      <c r="Q25" s="35"/>
      <c r="R25" s="35"/>
      <c r="S25" s="54">
        <f t="shared" si="14"/>
        <v>1</v>
      </c>
      <c r="T25" s="98" t="str">
        <f t="shared" si="4"/>
        <v>NorthBound</v>
      </c>
      <c r="U25" s="98">
        <f>COUNTIFS(Variables!$M$2:$M$19,IF(T25="NorthBound","&gt;=","&lt;=")&amp;Y25,Variables!$M$2:$M$19,IF(T25="NorthBound","&lt;=","&gt;=")&amp;Z25)</f>
        <v>12</v>
      </c>
      <c r="V2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04:59:55-0600',mode:absolute,to:'2016-07-07 05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5" s="106" t="str">
        <f t="shared" si="6"/>
        <v>N</v>
      </c>
      <c r="X25" s="106">
        <f t="shared" si="7"/>
        <v>1</v>
      </c>
      <c r="Y25" s="106">
        <f t="shared" si="8"/>
        <v>6.8599999999999994E-2</v>
      </c>
      <c r="Z25" s="106">
        <f t="shared" si="9"/>
        <v>23.331</v>
      </c>
      <c r="AA25" s="106">
        <f t="shared" si="10"/>
        <v>23.2624</v>
      </c>
      <c r="AB25" s="107" t="e">
        <f>VLOOKUP(A25,Enforcements!$C$7:$J$27,8,0)</f>
        <v>#N/A</v>
      </c>
      <c r="AC25" s="107" t="e">
        <f>VLOOKUP(A25,Enforcements!$C$7:$E$27,3,0)</f>
        <v>#N/A</v>
      </c>
      <c r="AD25" s="108" t="str">
        <f t="shared" si="11"/>
        <v>0111-07</v>
      </c>
      <c r="AE25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25" s="108" t="str">
        <f t="shared" si="13"/>
        <v>"C:\Program Files (x86)\AstroGrep\AstroGrep.exe" /spath="C:\Users\stu\Documents\Analysis\2016-02-23 RTDC Observations" /stypes="*4007*20160707*" /stext=" 11:.+((prompt.+disp)|(slice.+state.+chan)|(ment ac)|(system.+state.+chan)|(\|lc)|(penalty)|(\[timeout))" /e /r /s</v>
      </c>
    </row>
    <row r="26" spans="1:32" s="1" customFormat="1" x14ac:dyDescent="0.25">
      <c r="A26" s="62" t="s">
        <v>266</v>
      </c>
      <c r="B26" s="34">
        <v>4008</v>
      </c>
      <c r="C26" s="34" t="s">
        <v>60</v>
      </c>
      <c r="D26" s="34" t="s">
        <v>321</v>
      </c>
      <c r="E26" s="20">
        <v>42558.245787037034</v>
      </c>
      <c r="F26" s="20">
        <v>42558.247141203705</v>
      </c>
      <c r="G26" s="23">
        <v>1</v>
      </c>
      <c r="H26" s="20" t="s">
        <v>174</v>
      </c>
      <c r="I26" s="20">
        <v>42558.272951388892</v>
      </c>
      <c r="J26" s="34">
        <v>0</v>
      </c>
      <c r="K26" s="34" t="str">
        <f t="shared" si="2"/>
        <v>4007/4008</v>
      </c>
      <c r="L26" s="34" t="str">
        <f>VLOOKUP(A26,'Trips&amp;Operators'!$C$1:$E$10000,3,FALSE)</f>
        <v>MOSES</v>
      </c>
      <c r="M26" s="6">
        <f t="shared" si="3"/>
        <v>2.5810185186855961E-2</v>
      </c>
      <c r="N26" s="7">
        <f t="shared" si="15"/>
        <v>37.166666669072583</v>
      </c>
      <c r="O26" s="7"/>
      <c r="P26" s="7"/>
      <c r="Q26" s="35"/>
      <c r="R26" s="35"/>
      <c r="S26" s="54">
        <f t="shared" si="14"/>
        <v>1</v>
      </c>
      <c r="T26" s="98" t="str">
        <f t="shared" si="4"/>
        <v>Southbound</v>
      </c>
      <c r="U26" s="98">
        <f>COUNTIFS(Variables!$M$2:$M$19,IF(T26="NorthBound","&gt;=","&lt;=")&amp;Y26,Variables!$M$2:$M$19,IF(T26="NorthBound","&lt;=","&gt;=")&amp;Z26)</f>
        <v>12</v>
      </c>
      <c r="V2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05:52:56-0600',mode:absolute,to:'2016-07-07 06:34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6" s="106" t="str">
        <f t="shared" si="6"/>
        <v>N</v>
      </c>
      <c r="X26" s="106">
        <f t="shared" si="7"/>
        <v>1</v>
      </c>
      <c r="Y26" s="106">
        <f t="shared" si="8"/>
        <v>23.299099999999999</v>
      </c>
      <c r="Z26" s="106">
        <f t="shared" si="9"/>
        <v>1.61E-2</v>
      </c>
      <c r="AA26" s="106">
        <f t="shared" si="10"/>
        <v>23.282999999999998</v>
      </c>
      <c r="AB26" s="107" t="e">
        <f>VLOOKUP(A26,Enforcements!$C$7:$J$27,8,0)</f>
        <v>#N/A</v>
      </c>
      <c r="AC26" s="107" t="e">
        <f>VLOOKUP(A26,Enforcements!$C$7:$E$27,3,0)</f>
        <v>#N/A</v>
      </c>
      <c r="AD26" s="108" t="str">
        <f t="shared" si="11"/>
        <v>0112-07</v>
      </c>
      <c r="AE26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26" s="108" t="str">
        <f t="shared" si="13"/>
        <v>"C:\Program Files (x86)\AstroGrep\AstroGrep.exe" /spath="C:\Users\stu\Documents\Analysis\2016-02-23 RTDC Observations" /stypes="*4008*20160707*" /stext=" 11:.+((prompt.+disp)|(slice.+state.+chan)|(ment ac)|(system.+state.+chan)|(\|lc)|(penalty)|(\[timeout))" /e /r /s</v>
      </c>
    </row>
    <row r="27" spans="1:32" s="1" customFormat="1" x14ac:dyDescent="0.25">
      <c r="A27" s="62" t="s">
        <v>301</v>
      </c>
      <c r="B27" s="34">
        <v>4044</v>
      </c>
      <c r="C27" s="34" t="s">
        <v>60</v>
      </c>
      <c r="D27" s="34" t="s">
        <v>209</v>
      </c>
      <c r="E27" s="20">
        <v>42558.212893518517</v>
      </c>
      <c r="F27" s="20">
        <v>42558.214155092595</v>
      </c>
      <c r="G27" s="23">
        <v>1</v>
      </c>
      <c r="H27" s="20" t="s">
        <v>394</v>
      </c>
      <c r="I27" s="20">
        <v>42558.244317129633</v>
      </c>
      <c r="J27" s="34">
        <v>0</v>
      </c>
      <c r="K27" s="34" t="str">
        <f t="shared" si="2"/>
        <v>4043/4044</v>
      </c>
      <c r="L27" s="34" t="str">
        <f>VLOOKUP(A27,'Trips&amp;Operators'!$C$1:$E$10000,3,FALSE)</f>
        <v>CANFIELD</v>
      </c>
      <c r="M27" s="6">
        <f t="shared" si="3"/>
        <v>3.0162037037371192E-2</v>
      </c>
      <c r="N27" s="7">
        <f t="shared" si="15"/>
        <v>43.433333333814517</v>
      </c>
      <c r="O27" s="7"/>
      <c r="P27" s="7"/>
      <c r="Q27" s="35"/>
      <c r="R27" s="35"/>
      <c r="S27" s="54">
        <f t="shared" si="14"/>
        <v>1</v>
      </c>
      <c r="T27" s="98" t="str">
        <f t="shared" si="4"/>
        <v>NorthBound</v>
      </c>
      <c r="U27" s="98">
        <f>COUNTIFS(Variables!$M$2:$M$19,IF(T27="NorthBound","&gt;=","&lt;=")&amp;Y27,Variables!$M$2:$M$19,IF(T27="NorthBound","&lt;=","&gt;=")&amp;Z27)</f>
        <v>12</v>
      </c>
      <c r="V2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05:05:34-0600',mode:absolute,to:'2016-07-07 05:52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7" s="106" t="str">
        <f t="shared" si="6"/>
        <v>N</v>
      </c>
      <c r="X27" s="106">
        <f t="shared" si="7"/>
        <v>1</v>
      </c>
      <c r="Y27" s="106">
        <f t="shared" si="8"/>
        <v>4.58E-2</v>
      </c>
      <c r="Z27" s="106">
        <f t="shared" si="9"/>
        <v>23.330300000000001</v>
      </c>
      <c r="AA27" s="106">
        <f t="shared" si="10"/>
        <v>23.284500000000001</v>
      </c>
      <c r="AB27" s="107" t="e">
        <f>VLOOKUP(A27,Enforcements!$C$7:$J$27,8,0)</f>
        <v>#N/A</v>
      </c>
      <c r="AC27" s="107" t="e">
        <f>VLOOKUP(A27,Enforcements!$C$7:$E$27,3,0)</f>
        <v>#N/A</v>
      </c>
      <c r="AD27" s="108" t="str">
        <f t="shared" si="11"/>
        <v>0113-07</v>
      </c>
      <c r="AE27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27" s="108" t="str">
        <f t="shared" si="13"/>
        <v>"C:\Program Files (x86)\AstroGrep\AstroGrep.exe" /spath="C:\Users\stu\Documents\Analysis\2016-02-23 RTDC Observations" /stypes="*4044*20160707*" /stext=" 11:.+((prompt.+disp)|(slice.+state.+chan)|(ment ac)|(system.+state.+chan)|(\|lc)|(penalty)|(\[timeout))" /e /r /s</v>
      </c>
    </row>
    <row r="28" spans="1:32" s="1" customFormat="1" x14ac:dyDescent="0.25">
      <c r="A28" s="62" t="s">
        <v>315</v>
      </c>
      <c r="B28" s="34">
        <v>4043</v>
      </c>
      <c r="C28" s="34" t="s">
        <v>60</v>
      </c>
      <c r="D28" s="34" t="s">
        <v>145</v>
      </c>
      <c r="E28" s="20">
        <v>42558.254560185182</v>
      </c>
      <c r="F28" s="20">
        <v>42558.256030092591</v>
      </c>
      <c r="G28" s="23">
        <v>2</v>
      </c>
      <c r="H28" s="20" t="s">
        <v>395</v>
      </c>
      <c r="I28" s="20">
        <v>42558.284050925926</v>
      </c>
      <c r="J28" s="34">
        <v>0</v>
      </c>
      <c r="K28" s="34" t="str">
        <f t="shared" si="2"/>
        <v>4043/4044</v>
      </c>
      <c r="L28" s="34" t="str">
        <f>VLOOKUP(A28,'Trips&amp;Operators'!$C$1:$E$10000,3,FALSE)</f>
        <v>CANFIELD</v>
      </c>
      <c r="M28" s="6">
        <f t="shared" si="3"/>
        <v>2.8020833335176576E-2</v>
      </c>
      <c r="N28" s="7">
        <f t="shared" si="15"/>
        <v>40.350000002654269</v>
      </c>
      <c r="O28" s="7"/>
      <c r="P28" s="7"/>
      <c r="Q28" s="35"/>
      <c r="R28" s="35"/>
      <c r="S28" s="54">
        <f t="shared" si="14"/>
        <v>1</v>
      </c>
      <c r="T28" s="98" t="str">
        <f t="shared" si="4"/>
        <v>Southbound</v>
      </c>
      <c r="U28" s="98">
        <f>COUNTIFS(Variables!$M$2:$M$19,IF(T28="NorthBound","&gt;=","&lt;=")&amp;Y28,Variables!$M$2:$M$19,IF(T28="NorthBound","&lt;=","&gt;=")&amp;Z28)</f>
        <v>12</v>
      </c>
      <c r="V2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06:05:34-0600',mode:absolute,to:'2016-07-07 06:50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8" s="106" t="str">
        <f t="shared" si="6"/>
        <v>N</v>
      </c>
      <c r="X28" s="106">
        <f t="shared" si="7"/>
        <v>1</v>
      </c>
      <c r="Y28" s="106">
        <f t="shared" si="8"/>
        <v>23.297799999999999</v>
      </c>
      <c r="Z28" s="106">
        <f t="shared" si="9"/>
        <v>3.6400000000000002E-2</v>
      </c>
      <c r="AA28" s="106">
        <f t="shared" si="10"/>
        <v>23.261399999999998</v>
      </c>
      <c r="AB28" s="107" t="e">
        <f>VLOOKUP(A28,Enforcements!$C$7:$J$27,8,0)</f>
        <v>#N/A</v>
      </c>
      <c r="AC28" s="107" t="e">
        <f>VLOOKUP(A28,Enforcements!$C$7:$E$27,3,0)</f>
        <v>#N/A</v>
      </c>
      <c r="AD28" s="108" t="str">
        <f t="shared" si="11"/>
        <v>0114-07</v>
      </c>
      <c r="AE28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28" s="108" t="str">
        <f t="shared" si="13"/>
        <v>"C:\Program Files (x86)\AstroGrep\AstroGrep.exe" /spath="C:\Users\stu\Documents\Analysis\2016-02-23 RTDC Observations" /stypes="*4043*20160707*" /stext=" 12:.+((prompt.+disp)|(slice.+state.+chan)|(ment ac)|(system.+state.+chan)|(\|lc)|(penalty)|(\[timeout))" /e /r /s</v>
      </c>
    </row>
    <row r="29" spans="1:32" s="1" customFormat="1" x14ac:dyDescent="0.25">
      <c r="A29" s="62" t="s">
        <v>262</v>
      </c>
      <c r="B29" s="34">
        <v>4031</v>
      </c>
      <c r="C29" s="34" t="s">
        <v>60</v>
      </c>
      <c r="D29" s="34" t="s">
        <v>396</v>
      </c>
      <c r="E29" s="20">
        <v>42558.226597222223</v>
      </c>
      <c r="F29" s="20">
        <v>42558.227789351855</v>
      </c>
      <c r="G29" s="23">
        <v>1</v>
      </c>
      <c r="H29" s="20" t="s">
        <v>397</v>
      </c>
      <c r="I29" s="20">
        <v>42558.253877314812</v>
      </c>
      <c r="J29" s="34">
        <v>0</v>
      </c>
      <c r="K29" s="34" t="str">
        <f t="shared" si="2"/>
        <v>4031/4032</v>
      </c>
      <c r="L29" s="34" t="str">
        <f>VLOOKUP(A29,'Trips&amp;Operators'!$C$1:$E$10000,3,FALSE)</f>
        <v>MALAVE</v>
      </c>
      <c r="M29" s="6">
        <f t="shared" si="3"/>
        <v>2.6087962956808042E-2</v>
      </c>
      <c r="N29" s="7">
        <f t="shared" si="15"/>
        <v>37.56666665780358</v>
      </c>
      <c r="O29" s="7"/>
      <c r="P29" s="7"/>
      <c r="Q29" s="35"/>
      <c r="R29" s="35"/>
      <c r="S29" s="54">
        <f t="shared" si="14"/>
        <v>1</v>
      </c>
      <c r="T29" s="98" t="str">
        <f t="shared" si="4"/>
        <v>NorthBound</v>
      </c>
      <c r="U29" s="98">
        <f>COUNTIFS(Variables!$M$2:$M$19,IF(T29="NorthBound","&gt;=","&lt;=")&amp;Y29,Variables!$M$2:$M$19,IF(T29="NorthBound","&lt;=","&gt;=")&amp;Z29)</f>
        <v>12</v>
      </c>
      <c r="V2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05:25:18-0600',mode:absolute,to:'2016-07-07 06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29" s="106" t="str">
        <f t="shared" si="6"/>
        <v>N</v>
      </c>
      <c r="X29" s="106">
        <f t="shared" si="7"/>
        <v>1</v>
      </c>
      <c r="Y29" s="106">
        <f t="shared" si="8"/>
        <v>7.6600000000000001E-2</v>
      </c>
      <c r="Z29" s="106">
        <f t="shared" si="9"/>
        <v>23.3291</v>
      </c>
      <c r="AA29" s="106">
        <f t="shared" si="10"/>
        <v>23.252500000000001</v>
      </c>
      <c r="AB29" s="107" t="e">
        <f>VLOOKUP(A29,Enforcements!$C$7:$J$27,8,0)</f>
        <v>#N/A</v>
      </c>
      <c r="AC29" s="107" t="e">
        <f>VLOOKUP(A29,Enforcements!$C$7:$E$27,3,0)</f>
        <v>#N/A</v>
      </c>
      <c r="AD29" s="108" t="str">
        <f t="shared" si="11"/>
        <v>0115-07</v>
      </c>
      <c r="AE29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29" s="108" t="str">
        <f t="shared" si="13"/>
        <v>"C:\Program Files (x86)\AstroGrep\AstroGrep.exe" /spath="C:\Users\stu\Documents\Analysis\2016-02-23 RTDC Observations" /stypes="*4031*20160707*" /stext=" 11:.+((prompt.+disp)|(slice.+state.+chan)|(ment ac)|(system.+state.+chan)|(\|lc)|(penalty)|(\[timeout))" /e /r /s</v>
      </c>
    </row>
    <row r="30" spans="1:32" s="1" customFormat="1" x14ac:dyDescent="0.25">
      <c r="A30" s="62" t="s">
        <v>275</v>
      </c>
      <c r="B30" s="34">
        <v>4032</v>
      </c>
      <c r="C30" s="34" t="s">
        <v>60</v>
      </c>
      <c r="D30" s="34" t="s">
        <v>322</v>
      </c>
      <c r="E30" s="20">
        <v>42558.266643518517</v>
      </c>
      <c r="F30" s="20">
        <v>42558.267743055556</v>
      </c>
      <c r="G30" s="23">
        <v>1</v>
      </c>
      <c r="H30" s="20" t="s">
        <v>398</v>
      </c>
      <c r="I30" s="20">
        <v>42558.293668981481</v>
      </c>
      <c r="J30" s="34">
        <v>0</v>
      </c>
      <c r="K30" s="34" t="str">
        <f t="shared" si="2"/>
        <v>4031/4032</v>
      </c>
      <c r="L30" s="34" t="str">
        <f>VLOOKUP(A30,'Trips&amp;Operators'!$C$1:$E$10000,3,FALSE)</f>
        <v>MALAVE</v>
      </c>
      <c r="M30" s="6">
        <f t="shared" si="3"/>
        <v>2.5925925925548654E-2</v>
      </c>
      <c r="N30" s="7">
        <f t="shared" si="15"/>
        <v>37.333333332790062</v>
      </c>
      <c r="O30" s="7"/>
      <c r="P30" s="7"/>
      <c r="Q30" s="35"/>
      <c r="R30" s="35"/>
      <c r="S30" s="54">
        <f t="shared" si="14"/>
        <v>1</v>
      </c>
      <c r="T30" s="98" t="str">
        <f t="shared" si="4"/>
        <v>Southbound</v>
      </c>
      <c r="U30" s="98">
        <f>COUNTIFS(Variables!$M$2:$M$19,IF(T30="NorthBound","&gt;=","&lt;=")&amp;Y30,Variables!$M$2:$M$19,IF(T30="NorthBound","&lt;=","&gt;=")&amp;Z30)</f>
        <v>12</v>
      </c>
      <c r="V3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0" s="106" t="str">
        <f t="shared" si="6"/>
        <v>N</v>
      </c>
      <c r="X30" s="106">
        <f t="shared" si="7"/>
        <v>1</v>
      </c>
      <c r="Y30" s="106">
        <f t="shared" si="8"/>
        <v>23.297899999999998</v>
      </c>
      <c r="Z30" s="106">
        <f t="shared" si="9"/>
        <v>1.67E-2</v>
      </c>
      <c r="AA30" s="106">
        <f t="shared" si="10"/>
        <v>23.281199999999998</v>
      </c>
      <c r="AB30" s="107" t="e">
        <f>VLOOKUP(A30,Enforcements!$C$7:$J$27,8,0)</f>
        <v>#N/A</v>
      </c>
      <c r="AC30" s="107" t="e">
        <f>VLOOKUP(A30,Enforcements!$C$7:$E$27,3,0)</f>
        <v>#N/A</v>
      </c>
      <c r="AD30" s="108" t="str">
        <f t="shared" si="11"/>
        <v>0116-07</v>
      </c>
      <c r="AE30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30" s="108" t="str">
        <f t="shared" si="13"/>
        <v>"C:\Program Files (x86)\AstroGrep\AstroGrep.exe" /spath="C:\Users\stu\Documents\Analysis\2016-02-23 RTDC Observations" /stypes="*4032*20160707*" /stext=" 12:.+((prompt.+disp)|(slice.+state.+chan)|(ment ac)|(system.+state.+chan)|(\|lc)|(penalty)|(\[timeout))" /e /r /s</v>
      </c>
    </row>
    <row r="31" spans="1:32" s="1" customFormat="1" x14ac:dyDescent="0.25">
      <c r="A31" s="62" t="s">
        <v>297</v>
      </c>
      <c r="B31" s="34">
        <v>4027</v>
      </c>
      <c r="C31" s="34" t="s">
        <v>60</v>
      </c>
      <c r="D31" s="34" t="s">
        <v>399</v>
      </c>
      <c r="E31" s="20">
        <v>42558.227326388886</v>
      </c>
      <c r="F31" s="20">
        <v>42558.228356481479</v>
      </c>
      <c r="G31" s="23">
        <v>1</v>
      </c>
      <c r="H31" s="20" t="s">
        <v>240</v>
      </c>
      <c r="I31" s="20">
        <v>42558.264270833337</v>
      </c>
      <c r="J31" s="34">
        <v>0</v>
      </c>
      <c r="K31" s="34" t="str">
        <f t="shared" si="2"/>
        <v>4027/4028</v>
      </c>
      <c r="L31" s="34" t="str">
        <f>VLOOKUP(A31,'Trips&amp;Operators'!$C$1:$E$10000,3,FALSE)</f>
        <v>STARKS</v>
      </c>
      <c r="M31" s="6">
        <f t="shared" si="3"/>
        <v>3.5914351858082227E-2</v>
      </c>
      <c r="N31" s="7">
        <f t="shared" si="15"/>
        <v>51.716666675638407</v>
      </c>
      <c r="O31" s="7"/>
      <c r="P31" s="7"/>
      <c r="Q31" s="35"/>
      <c r="R31" s="35"/>
      <c r="S31" s="54">
        <f t="shared" si="14"/>
        <v>1</v>
      </c>
      <c r="T31" s="98" t="str">
        <f t="shared" si="4"/>
        <v>NorthBound</v>
      </c>
      <c r="U31" s="98">
        <f>COUNTIFS(Variables!$M$2:$M$19,IF(T31="NorthBound","&gt;=","&lt;=")&amp;Y31,Variables!$M$2:$M$19,IF(T31="NorthBound","&lt;=","&gt;=")&amp;Z31)</f>
        <v>12</v>
      </c>
      <c r="V3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05:26:21-0600',mode:absolute,to:'2016-07-07 06:21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1" s="106" t="str">
        <f t="shared" si="6"/>
        <v>N</v>
      </c>
      <c r="X31" s="106">
        <f t="shared" si="7"/>
        <v>1</v>
      </c>
      <c r="Y31" s="106">
        <f t="shared" si="8"/>
        <v>4.1300000000000003E-2</v>
      </c>
      <c r="Z31" s="106">
        <f t="shared" si="9"/>
        <v>23.329699999999999</v>
      </c>
      <c r="AA31" s="106">
        <f t="shared" si="10"/>
        <v>23.288399999999999</v>
      </c>
      <c r="AB31" s="107" t="e">
        <f>VLOOKUP(A31,Enforcements!$C$7:$J$27,8,0)</f>
        <v>#N/A</v>
      </c>
      <c r="AC31" s="107" t="e">
        <f>VLOOKUP(A31,Enforcements!$C$7:$E$27,3,0)</f>
        <v>#N/A</v>
      </c>
      <c r="AD31" s="108" t="str">
        <f t="shared" si="11"/>
        <v>0117-07</v>
      </c>
      <c r="AE31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31" s="108" t="str">
        <f t="shared" si="13"/>
        <v>"C:\Program Files (x86)\AstroGrep\AstroGrep.exe" /spath="C:\Users\stu\Documents\Analysis\2016-02-23 RTDC Observations" /stypes="*4027*20160707*" /stext=" 11:.+((prompt.+disp)|(slice.+state.+chan)|(ment ac)|(system.+state.+chan)|(\|lc)|(penalty)|(\[timeout))" /e /r /s</v>
      </c>
    </row>
    <row r="32" spans="1:32" s="1" customFormat="1" x14ac:dyDescent="0.25">
      <c r="A32" s="62" t="s">
        <v>307</v>
      </c>
      <c r="B32" s="34">
        <v>4028</v>
      </c>
      <c r="C32" s="34" t="s">
        <v>60</v>
      </c>
      <c r="D32" s="34" t="s">
        <v>341</v>
      </c>
      <c r="E32" s="20">
        <v>42558.277291666665</v>
      </c>
      <c r="F32" s="20">
        <v>42558.278900462959</v>
      </c>
      <c r="G32" s="23">
        <v>2</v>
      </c>
      <c r="H32" s="20" t="s">
        <v>170</v>
      </c>
      <c r="I32" s="20">
        <v>42558.304120370369</v>
      </c>
      <c r="J32" s="34">
        <v>0</v>
      </c>
      <c r="K32" s="34" t="str">
        <f t="shared" si="2"/>
        <v>4027/4028</v>
      </c>
      <c r="L32" s="34" t="str">
        <f>VLOOKUP(A32,'Trips&amp;Operators'!$C$1:$E$10000,3,FALSE)</f>
        <v>STARKS</v>
      </c>
      <c r="M32" s="6">
        <f t="shared" si="3"/>
        <v>2.5219907409336884E-2</v>
      </c>
      <c r="N32" s="7">
        <f t="shared" si="15"/>
        <v>36.316666669445112</v>
      </c>
      <c r="O32" s="7"/>
      <c r="P32" s="7"/>
      <c r="Q32" s="35"/>
      <c r="R32" s="35"/>
      <c r="S32" s="54">
        <f t="shared" si="14"/>
        <v>1</v>
      </c>
      <c r="T32" s="98" t="str">
        <f t="shared" si="4"/>
        <v>Southbound</v>
      </c>
      <c r="U32" s="98">
        <f>COUNTIFS(Variables!$M$2:$M$19,IF(T32="NorthBound","&gt;=","&lt;=")&amp;Y32,Variables!$M$2:$M$19,IF(T32="NorthBound","&lt;=","&gt;=")&amp;Z32)</f>
        <v>12</v>
      </c>
      <c r="V3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06:38:18-0600',mode:absolute,to:'2016-07-07 07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2" s="106" t="str">
        <f t="shared" si="6"/>
        <v>N</v>
      </c>
      <c r="X32" s="106">
        <f t="shared" si="7"/>
        <v>1</v>
      </c>
      <c r="Y32" s="106">
        <f t="shared" si="8"/>
        <v>23.297499999999999</v>
      </c>
      <c r="Z32" s="106">
        <f t="shared" si="9"/>
        <v>1.41E-2</v>
      </c>
      <c r="AA32" s="106">
        <f t="shared" si="10"/>
        <v>23.2834</v>
      </c>
      <c r="AB32" s="107" t="e">
        <f>VLOOKUP(A32,Enforcements!$C$7:$J$27,8,0)</f>
        <v>#N/A</v>
      </c>
      <c r="AC32" s="107" t="e">
        <f>VLOOKUP(A32,Enforcements!$C$7:$E$27,3,0)</f>
        <v>#N/A</v>
      </c>
      <c r="AD32" s="108" t="str">
        <f t="shared" si="11"/>
        <v>0118-07</v>
      </c>
      <c r="AE32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32" s="108" t="str">
        <f t="shared" si="13"/>
        <v>"C:\Program Files (x86)\AstroGrep\AstroGrep.exe" /spath="C:\Users\stu\Documents\Analysis\2016-02-23 RTDC Observations" /stypes="*4028*20160707*" /stext=" 12:.+((prompt.+disp)|(slice.+state.+chan)|(ment ac)|(system.+state.+chan)|(\|lc)|(penalty)|(\[timeout))" /e /r /s</v>
      </c>
    </row>
    <row r="33" spans="1:32" s="1" customFormat="1" x14ac:dyDescent="0.25">
      <c r="A33" s="62" t="s">
        <v>300</v>
      </c>
      <c r="B33" s="34">
        <v>4038</v>
      </c>
      <c r="C33" s="34" t="s">
        <v>60</v>
      </c>
      <c r="D33" s="34" t="s">
        <v>400</v>
      </c>
      <c r="E33" s="20">
        <v>42558.247361111113</v>
      </c>
      <c r="F33" s="20">
        <v>42558.248472222222</v>
      </c>
      <c r="G33" s="23">
        <v>1</v>
      </c>
      <c r="H33" s="20" t="s">
        <v>241</v>
      </c>
      <c r="I33" s="20">
        <v>42558.274513888886</v>
      </c>
      <c r="J33" s="34">
        <v>0</v>
      </c>
      <c r="K33" s="34" t="str">
        <f t="shared" si="2"/>
        <v>4037/4038</v>
      </c>
      <c r="L33" s="34" t="str">
        <f>VLOOKUP(A33,'Trips&amp;Operators'!$C$1:$E$10000,3,FALSE)</f>
        <v>YORK</v>
      </c>
      <c r="M33" s="6">
        <f t="shared" si="3"/>
        <v>2.6041666664241347E-2</v>
      </c>
      <c r="N33" s="7">
        <f t="shared" si="15"/>
        <v>37.49999999650754</v>
      </c>
      <c r="O33" s="7"/>
      <c r="P33" s="7"/>
      <c r="Q33" s="35"/>
      <c r="R33" s="35"/>
      <c r="S33" s="54">
        <f t="shared" si="14"/>
        <v>1</v>
      </c>
      <c r="T33" s="98" t="str">
        <f t="shared" si="4"/>
        <v>NorthBound</v>
      </c>
      <c r="U33" s="98">
        <f>COUNTIFS(Variables!$M$2:$M$19,IF(T33="NorthBound","&gt;=","&lt;=")&amp;Y33,Variables!$M$2:$M$19,IF(T33="NorthBound","&lt;=","&gt;=")&amp;Z33)</f>
        <v>12</v>
      </c>
      <c r="V3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05:55:12-0600',mode:absolute,to:'2016-07-07 06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3" s="106" t="str">
        <f t="shared" si="6"/>
        <v>N</v>
      </c>
      <c r="X33" s="106">
        <f t="shared" si="7"/>
        <v>1</v>
      </c>
      <c r="Y33" s="106">
        <f t="shared" si="8"/>
        <v>7.5399999999999995E-2</v>
      </c>
      <c r="Z33" s="106">
        <f t="shared" si="9"/>
        <v>23.327999999999999</v>
      </c>
      <c r="AA33" s="106">
        <f t="shared" si="10"/>
        <v>23.252600000000001</v>
      </c>
      <c r="AB33" s="107" t="e">
        <f>VLOOKUP(A33,Enforcements!$C$7:$J$27,8,0)</f>
        <v>#N/A</v>
      </c>
      <c r="AC33" s="107" t="e">
        <f>VLOOKUP(A33,Enforcements!$C$7:$E$27,3,0)</f>
        <v>#N/A</v>
      </c>
      <c r="AD33" s="108" t="str">
        <f t="shared" si="11"/>
        <v>0119-07</v>
      </c>
      <c r="AE33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33" s="108" t="str">
        <f t="shared" si="13"/>
        <v>"C:\Program Files (x86)\AstroGrep\AstroGrep.exe" /spath="C:\Users\stu\Documents\Analysis\2016-02-23 RTDC Observations" /stypes="*4038*20160707*" /stext=" 11:.+((prompt.+disp)|(slice.+state.+chan)|(ment ac)|(system.+state.+chan)|(\|lc)|(penalty)|(\[timeout))" /e /r /s</v>
      </c>
    </row>
    <row r="34" spans="1:32" s="1" customFormat="1" x14ac:dyDescent="0.25">
      <c r="A34" s="62" t="s">
        <v>286</v>
      </c>
      <c r="B34" s="34">
        <v>4037</v>
      </c>
      <c r="C34" s="34" t="s">
        <v>60</v>
      </c>
      <c r="D34" s="34" t="s">
        <v>401</v>
      </c>
      <c r="E34" s="20">
        <v>42558.277002314811</v>
      </c>
      <c r="F34" s="20">
        <v>42558.2815625</v>
      </c>
      <c r="G34" s="23">
        <v>6</v>
      </c>
      <c r="H34" s="20" t="s">
        <v>402</v>
      </c>
      <c r="I34" s="20">
        <v>42558.314421296294</v>
      </c>
      <c r="J34" s="34">
        <v>0</v>
      </c>
      <c r="K34" s="34" t="str">
        <f t="shared" si="2"/>
        <v>4037/4038</v>
      </c>
      <c r="L34" s="34" t="str">
        <f>VLOOKUP(A34,'Trips&amp;Operators'!$C$1:$E$10000,3,FALSE)</f>
        <v>YORK</v>
      </c>
      <c r="M34" s="6">
        <f t="shared" si="3"/>
        <v>3.2858796294021886E-2</v>
      </c>
      <c r="N34" s="7">
        <f t="shared" si="15"/>
        <v>47.316666663391516</v>
      </c>
      <c r="O34" s="7"/>
      <c r="P34" s="7"/>
      <c r="Q34" s="35"/>
      <c r="R34" s="35"/>
      <c r="S34" s="54">
        <f t="shared" si="14"/>
        <v>1</v>
      </c>
      <c r="T34" s="98" t="str">
        <f t="shared" si="4"/>
        <v>Southbound</v>
      </c>
      <c r="U34" s="98">
        <f>COUNTIFS(Variables!$M$2:$M$19,IF(T34="NorthBound","&gt;=","&lt;=")&amp;Y34,Variables!$M$2:$M$19,IF(T34="NorthBound","&lt;=","&gt;=")&amp;Z34)</f>
        <v>12</v>
      </c>
      <c r="V3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06:37:53-0600',mode:absolute,to:'2016-07-07 07:33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4" s="106" t="str">
        <f t="shared" si="6"/>
        <v>N</v>
      </c>
      <c r="X34" s="106">
        <f t="shared" si="7"/>
        <v>1</v>
      </c>
      <c r="Y34" s="106">
        <f t="shared" si="8"/>
        <v>23.296600000000002</v>
      </c>
      <c r="Z34" s="106">
        <f t="shared" si="9"/>
        <v>1.32E-2</v>
      </c>
      <c r="AA34" s="106">
        <f t="shared" si="10"/>
        <v>23.2834</v>
      </c>
      <c r="AB34" s="107" t="e">
        <f>VLOOKUP(A34,Enforcements!$C$7:$J$27,8,0)</f>
        <v>#N/A</v>
      </c>
      <c r="AC34" s="107" t="e">
        <f>VLOOKUP(A34,Enforcements!$C$7:$E$27,3,0)</f>
        <v>#N/A</v>
      </c>
      <c r="AD34" s="108" t="str">
        <f t="shared" si="11"/>
        <v>0120-07</v>
      </c>
      <c r="AE34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34" s="108" t="str">
        <f t="shared" si="13"/>
        <v>"C:\Program Files (x86)\AstroGrep\AstroGrep.exe" /spath="C:\Users\stu\Documents\Analysis\2016-02-23 RTDC Observations" /stypes="*4037*20160707*" /stext=" 12:.+((prompt.+disp)|(slice.+state.+chan)|(ment ac)|(system.+state.+chan)|(\|lc)|(penalty)|(\[timeout))" /e /r /s</v>
      </c>
    </row>
    <row r="35" spans="1:32" s="1" customFormat="1" x14ac:dyDescent="0.25">
      <c r="A35" s="62" t="s">
        <v>292</v>
      </c>
      <c r="B35" s="34">
        <v>4018</v>
      </c>
      <c r="C35" s="34" t="s">
        <v>60</v>
      </c>
      <c r="D35" s="34" t="s">
        <v>403</v>
      </c>
      <c r="E35" s="20">
        <v>42558.257534722223</v>
      </c>
      <c r="F35" s="20">
        <v>42558.25849537037</v>
      </c>
      <c r="G35" s="23">
        <v>1</v>
      </c>
      <c r="H35" s="20" t="s">
        <v>192</v>
      </c>
      <c r="I35" s="20">
        <v>42558.28496527778</v>
      </c>
      <c r="J35" s="34">
        <v>0</v>
      </c>
      <c r="K35" s="34" t="str">
        <f t="shared" si="2"/>
        <v>4017/4018</v>
      </c>
      <c r="L35" s="34" t="str">
        <f>VLOOKUP(A35,'Trips&amp;Operators'!$C$1:$E$10000,3,FALSE)</f>
        <v>KILLION</v>
      </c>
      <c r="M35" s="6">
        <f t="shared" si="3"/>
        <v>2.6469907410501037E-2</v>
      </c>
      <c r="N35" s="7">
        <f t="shared" si="15"/>
        <v>38.116666671121493</v>
      </c>
      <c r="O35" s="7"/>
      <c r="P35" s="7"/>
      <c r="Q35" s="35"/>
      <c r="R35" s="35"/>
      <c r="S35" s="54">
        <f t="shared" si="14"/>
        <v>1</v>
      </c>
      <c r="T35" s="98" t="str">
        <f t="shared" si="4"/>
        <v>NorthBound</v>
      </c>
      <c r="U35" s="98">
        <f>COUNTIFS(Variables!$M$2:$M$19,IF(T35="NorthBound","&gt;=","&lt;=")&amp;Y35,Variables!$M$2:$M$19,IF(T35="NorthBound","&lt;=","&gt;=")&amp;Z35)</f>
        <v>12</v>
      </c>
      <c r="V3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06:09:51-0600',mode:absolute,to:'2016-07-07 06:51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5" s="106" t="str">
        <f t="shared" si="6"/>
        <v>N</v>
      </c>
      <c r="X35" s="106">
        <f t="shared" si="7"/>
        <v>1</v>
      </c>
      <c r="Y35" s="106">
        <f t="shared" si="8"/>
        <v>4.9500000000000002E-2</v>
      </c>
      <c r="Z35" s="106">
        <f t="shared" si="9"/>
        <v>23.328900000000001</v>
      </c>
      <c r="AA35" s="106">
        <f t="shared" si="10"/>
        <v>23.279400000000003</v>
      </c>
      <c r="AB35" s="107" t="e">
        <f>VLOOKUP(A35,Enforcements!$C$7:$J$27,8,0)</f>
        <v>#N/A</v>
      </c>
      <c r="AC35" s="107" t="e">
        <f>VLOOKUP(A35,Enforcements!$C$7:$E$27,3,0)</f>
        <v>#N/A</v>
      </c>
      <c r="AD35" s="108" t="str">
        <f t="shared" si="11"/>
        <v>0121-07</v>
      </c>
      <c r="AE35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35" s="108" t="str">
        <f t="shared" si="13"/>
        <v>"C:\Program Files (x86)\AstroGrep\AstroGrep.exe" /spath="C:\Users\stu\Documents\Analysis\2016-02-23 RTDC Observations" /stypes="*4018*20160707*" /stext=" 12:.+((prompt.+disp)|(slice.+state.+chan)|(ment ac)|(system.+state.+chan)|(\|lc)|(penalty)|(\[timeout))" /e /r /s</v>
      </c>
    </row>
    <row r="36" spans="1:32" s="1" customFormat="1" x14ac:dyDescent="0.25">
      <c r="A36" s="62" t="s">
        <v>285</v>
      </c>
      <c r="B36" s="34">
        <v>4017</v>
      </c>
      <c r="C36" s="34" t="s">
        <v>60</v>
      </c>
      <c r="D36" s="34" t="s">
        <v>404</v>
      </c>
      <c r="E36" s="20">
        <v>42558.286481481482</v>
      </c>
      <c r="F36" s="20">
        <v>42558.287326388891</v>
      </c>
      <c r="G36" s="23">
        <v>1</v>
      </c>
      <c r="H36" s="20" t="s">
        <v>90</v>
      </c>
      <c r="I36" s="20">
        <v>42558.325150462966</v>
      </c>
      <c r="J36" s="34">
        <v>0</v>
      </c>
      <c r="K36" s="34" t="str">
        <f t="shared" si="2"/>
        <v>4017/4018</v>
      </c>
      <c r="L36" s="34" t="str">
        <f>VLOOKUP(A36,'Trips&amp;Operators'!$C$1:$E$10000,3,FALSE)</f>
        <v>KILLION</v>
      </c>
      <c r="M36" s="6">
        <f t="shared" si="3"/>
        <v>3.7824074075615499E-2</v>
      </c>
      <c r="N36" s="7">
        <f t="shared" si="15"/>
        <v>54.466666668886319</v>
      </c>
      <c r="O36" s="7"/>
      <c r="P36" s="7"/>
      <c r="Q36" s="35"/>
      <c r="R36" s="35"/>
      <c r="S36" s="54">
        <f t="shared" si="14"/>
        <v>1</v>
      </c>
      <c r="T36" s="98" t="str">
        <f t="shared" si="4"/>
        <v>Southbound</v>
      </c>
      <c r="U36" s="98">
        <f>COUNTIFS(Variables!$M$2:$M$19,IF(T36="NorthBound","&gt;=","&lt;=")&amp;Y36,Variables!$M$2:$M$19,IF(T36="NorthBound","&lt;=","&gt;=")&amp;Z36)</f>
        <v>12</v>
      </c>
      <c r="V3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06:51:32-0600',mode:absolute,to:'2016-07-07 07:49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6" s="106" t="str">
        <f t="shared" si="6"/>
        <v>N</v>
      </c>
      <c r="X36" s="106">
        <f t="shared" si="7"/>
        <v>1</v>
      </c>
      <c r="Y36" s="106">
        <f t="shared" si="8"/>
        <v>23.2957</v>
      </c>
      <c r="Z36" s="106">
        <f t="shared" si="9"/>
        <v>1.4999999999999999E-2</v>
      </c>
      <c r="AA36" s="106">
        <f t="shared" si="10"/>
        <v>23.2807</v>
      </c>
      <c r="AB36" s="107" t="e">
        <f>VLOOKUP(A36,Enforcements!$C$7:$J$27,8,0)</f>
        <v>#N/A</v>
      </c>
      <c r="AC36" s="107" t="e">
        <f>VLOOKUP(A36,Enforcements!$C$7:$E$27,3,0)</f>
        <v>#N/A</v>
      </c>
      <c r="AD36" s="108" t="str">
        <f t="shared" si="11"/>
        <v>0122-07</v>
      </c>
      <c r="AE36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36" s="108" t="str">
        <f t="shared" si="13"/>
        <v>"C:\Program Files (x86)\AstroGrep\AstroGrep.exe" /spath="C:\Users\stu\Documents\Analysis\2016-02-23 RTDC Observations" /stypes="*4017*20160707*" /stext=" 12:.+((prompt.+disp)|(slice.+state.+chan)|(ment ac)|(system.+state.+chan)|(\|lc)|(penalty)|(\[timeout))" /e /r /s</v>
      </c>
    </row>
    <row r="37" spans="1:32" s="1" customFormat="1" x14ac:dyDescent="0.25">
      <c r="A37" s="62" t="s">
        <v>274</v>
      </c>
      <c r="B37" s="34">
        <v>4011</v>
      </c>
      <c r="C37" s="34" t="s">
        <v>60</v>
      </c>
      <c r="D37" s="34" t="s">
        <v>175</v>
      </c>
      <c r="E37" s="20">
        <v>42558.266643518517</v>
      </c>
      <c r="F37" s="20">
        <v>42558.267511574071</v>
      </c>
      <c r="G37" s="23">
        <v>1</v>
      </c>
      <c r="H37" s="20" t="s">
        <v>126</v>
      </c>
      <c r="I37" s="20">
        <v>42558.296493055554</v>
      </c>
      <c r="J37" s="34">
        <v>1</v>
      </c>
      <c r="K37" s="34" t="str">
        <f t="shared" si="2"/>
        <v>4011/4012</v>
      </c>
      <c r="L37" s="34" t="str">
        <f>VLOOKUP(A37,'Trips&amp;Operators'!$C$1:$E$10000,3,FALSE)</f>
        <v>MAELZER</v>
      </c>
      <c r="M37" s="6">
        <f t="shared" si="3"/>
        <v>2.8981481482333038E-2</v>
      </c>
      <c r="N37" s="7">
        <f t="shared" si="15"/>
        <v>41.733333334559575</v>
      </c>
      <c r="O37" s="7"/>
      <c r="P37" s="7"/>
      <c r="Q37" s="35"/>
      <c r="R37" s="35"/>
      <c r="S37" s="54">
        <f t="shared" si="14"/>
        <v>1</v>
      </c>
      <c r="T37" s="98" t="str">
        <f t="shared" si="4"/>
        <v>NorthBound</v>
      </c>
      <c r="U37" s="98">
        <f>COUNTIFS(Variables!$M$2:$M$19,IF(T37="NorthBound","&gt;=","&lt;=")&amp;Y37,Variables!$M$2:$M$19,IF(T37="NorthBound","&lt;=","&gt;=")&amp;Z37)</f>
        <v>12</v>
      </c>
      <c r="V3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7" s="106" t="str">
        <f t="shared" si="6"/>
        <v>N</v>
      </c>
      <c r="X37" s="106">
        <f t="shared" si="7"/>
        <v>1</v>
      </c>
      <c r="Y37" s="106">
        <f t="shared" si="8"/>
        <v>4.3499999999999997E-2</v>
      </c>
      <c r="Z37" s="106">
        <f t="shared" si="9"/>
        <v>23.331399999999999</v>
      </c>
      <c r="AA37" s="106">
        <f t="shared" si="10"/>
        <v>23.287899999999997</v>
      </c>
      <c r="AB37" s="107">
        <f>VLOOKUP(A37,Enforcements!$C$7:$J$27,8,0)</f>
        <v>110617</v>
      </c>
      <c r="AC37" s="107" t="str">
        <f>VLOOKUP(A37,Enforcements!$C$7:$E$27,3,0)</f>
        <v>EQUIPMENT RESTRICTION</v>
      </c>
      <c r="AD37" s="108" t="str">
        <f t="shared" si="11"/>
        <v>0123-07</v>
      </c>
      <c r="AE37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37" s="108" t="str">
        <f t="shared" si="13"/>
        <v>"C:\Program Files (x86)\AstroGrep\AstroGrep.exe" /spath="C:\Users\stu\Documents\Analysis\2016-02-23 RTDC Observations" /stypes="*4011*20160707*" /stext=" 12:.+((prompt.+disp)|(slice.+state.+chan)|(ment ac)|(system.+state.+chan)|(\|lc)|(penalty)|(\[timeout))" /e /r /s</v>
      </c>
    </row>
    <row r="38" spans="1:32" s="1" customFormat="1" x14ac:dyDescent="0.25">
      <c r="A38" s="82" t="s">
        <v>405</v>
      </c>
      <c r="B38" s="34">
        <v>4012</v>
      </c>
      <c r="C38" s="34" t="s">
        <v>60</v>
      </c>
      <c r="D38" s="34" t="s">
        <v>168</v>
      </c>
      <c r="E38" s="20">
        <v>42558.306284722225</v>
      </c>
      <c r="F38" s="20">
        <v>42558.307199074072</v>
      </c>
      <c r="G38" s="23">
        <v>1</v>
      </c>
      <c r="H38" s="20" t="s">
        <v>334</v>
      </c>
      <c r="I38" s="20">
        <v>42558.335509259261</v>
      </c>
      <c r="J38" s="34">
        <v>1</v>
      </c>
      <c r="K38" s="34" t="str">
        <f t="shared" si="2"/>
        <v>4011/4012</v>
      </c>
      <c r="L38" s="34" t="str">
        <f>VLOOKUP(A38,'Trips&amp;Operators'!$C$1:$E$10000,3,FALSE)</f>
        <v>MAELZER</v>
      </c>
      <c r="M38" s="6">
        <f t="shared" si="3"/>
        <v>2.8310185189184267E-2</v>
      </c>
      <c r="N38" s="7">
        <f t="shared" si="15"/>
        <v>40.766666672425345</v>
      </c>
      <c r="O38" s="7"/>
      <c r="P38" s="7"/>
      <c r="Q38" s="35"/>
      <c r="R38" s="35"/>
      <c r="S38" s="54">
        <f t="shared" si="14"/>
        <v>1</v>
      </c>
      <c r="T38" s="98" t="str">
        <f t="shared" si="4"/>
        <v>Southbound</v>
      </c>
      <c r="U38" s="98">
        <f>COUNTIFS(Variables!$M$2:$M$19,IF(T38="NorthBound","&gt;=","&lt;=")&amp;Y38,Variables!$M$2:$M$19,IF(T38="NorthBound","&lt;=","&gt;=")&amp;Z38)</f>
        <v>12</v>
      </c>
      <c r="V3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07:20:03-0600',mode:absolute,to:'2016-07-07 08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8" s="106" t="str">
        <f t="shared" si="6"/>
        <v>N</v>
      </c>
      <c r="X38" s="106">
        <f t="shared" si="7"/>
        <v>1</v>
      </c>
      <c r="Y38" s="106">
        <f t="shared" si="8"/>
        <v>23.2987</v>
      </c>
      <c r="Z38" s="106">
        <f t="shared" si="9"/>
        <v>1.34E-2</v>
      </c>
      <c r="AA38" s="106">
        <f t="shared" si="10"/>
        <v>23.285299999999999</v>
      </c>
      <c r="AB38" s="107" t="e">
        <f>VLOOKUP(A38,Enforcements!$C$7:$J$27,8,0)</f>
        <v>#N/A</v>
      </c>
      <c r="AC38" s="107" t="e">
        <f>VLOOKUP(A38,Enforcements!$C$7:$E$27,3,0)</f>
        <v>#N/A</v>
      </c>
      <c r="AD38" s="108" t="str">
        <f t="shared" si="11"/>
        <v>0124-07</v>
      </c>
      <c r="AE38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38" s="108" t="str">
        <f t="shared" si="13"/>
        <v>"C:\Program Files (x86)\AstroGrep\AstroGrep.exe" /spath="C:\Users\stu\Documents\Analysis\2016-02-23 RTDC Observations" /stypes="*4012*20160707*" /stext=" 13:.+((prompt.+disp)|(slice.+state.+chan)|(ment ac)|(system.+state.+chan)|(\|lc)|(penalty)|(\[timeout))" /e /r /s</v>
      </c>
    </row>
    <row r="39" spans="1:32" s="1" customFormat="1" x14ac:dyDescent="0.25">
      <c r="A39" s="62" t="s">
        <v>293</v>
      </c>
      <c r="B39" s="34">
        <v>4007</v>
      </c>
      <c r="C39" s="34" t="s">
        <v>60</v>
      </c>
      <c r="D39" s="34" t="s">
        <v>78</v>
      </c>
      <c r="E39" s="20">
        <v>42558.275358796294</v>
      </c>
      <c r="F39" s="20">
        <v>42558.276689814818</v>
      </c>
      <c r="G39" s="23">
        <v>1</v>
      </c>
      <c r="H39" s="20" t="s">
        <v>406</v>
      </c>
      <c r="I39" s="20">
        <v>42558.306041666663</v>
      </c>
      <c r="J39" s="34">
        <v>1</v>
      </c>
      <c r="K39" s="34" t="str">
        <f t="shared" si="2"/>
        <v>4007/4008</v>
      </c>
      <c r="L39" s="34" t="str">
        <f>VLOOKUP(A39,'Trips&amp;Operators'!$C$1:$E$10000,3,FALSE)</f>
        <v>MOSES</v>
      </c>
      <c r="M39" s="6">
        <f t="shared" si="3"/>
        <v>2.9351851844694465E-2</v>
      </c>
      <c r="N39" s="7">
        <f t="shared" si="15"/>
        <v>42.26666665636003</v>
      </c>
      <c r="O39" s="7"/>
      <c r="P39" s="7"/>
      <c r="Q39" s="35"/>
      <c r="R39" s="35"/>
      <c r="S39" s="54">
        <f t="shared" si="14"/>
        <v>1</v>
      </c>
      <c r="T39" s="98" t="str">
        <f t="shared" si="4"/>
        <v>NorthBound</v>
      </c>
      <c r="U39" s="98">
        <f>COUNTIFS(Variables!$M$2:$M$19,IF(T39="NorthBound","&gt;=","&lt;=")&amp;Y39,Variables!$M$2:$M$19,IF(T39="NorthBound","&lt;=","&gt;=")&amp;Z39)</f>
        <v>12</v>
      </c>
      <c r="V3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06:35:31-0600',mode:absolute,to:'2016-07-07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39" s="106" t="str">
        <f t="shared" si="6"/>
        <v>N</v>
      </c>
      <c r="X39" s="106">
        <f t="shared" si="7"/>
        <v>1</v>
      </c>
      <c r="Y39" s="106">
        <f t="shared" si="8"/>
        <v>4.6399999999999997E-2</v>
      </c>
      <c r="Z39" s="106">
        <f t="shared" si="9"/>
        <v>23.326599999999999</v>
      </c>
      <c r="AA39" s="106">
        <f t="shared" si="10"/>
        <v>23.280200000000001</v>
      </c>
      <c r="AB39" s="107" t="e">
        <f>VLOOKUP(A39,Enforcements!$C$7:$J$27,8,0)</f>
        <v>#N/A</v>
      </c>
      <c r="AC39" s="107" t="e">
        <f>VLOOKUP(A39,Enforcements!$C$7:$E$27,3,0)</f>
        <v>#N/A</v>
      </c>
      <c r="AD39" s="108" t="str">
        <f t="shared" si="11"/>
        <v>0125-07</v>
      </c>
      <c r="AE39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39" s="108" t="str">
        <f t="shared" si="13"/>
        <v>"C:\Program Files (x86)\AstroGrep\AstroGrep.exe" /spath="C:\Users\stu\Documents\Analysis\2016-02-23 RTDC Observations" /stypes="*4007*20160707*" /stext=" 12:.+((prompt.+disp)|(slice.+state.+chan)|(ment ac)|(system.+state.+chan)|(\|lc)|(penalty)|(\[timeout))" /e /r /s</v>
      </c>
    </row>
    <row r="40" spans="1:32" s="1" customFormat="1" x14ac:dyDescent="0.25">
      <c r="A40" s="62" t="s">
        <v>407</v>
      </c>
      <c r="B40" s="34">
        <v>4008</v>
      </c>
      <c r="C40" s="34" t="s">
        <v>60</v>
      </c>
      <c r="D40" s="34" t="s">
        <v>408</v>
      </c>
      <c r="E40" s="20">
        <v>42558.315034722225</v>
      </c>
      <c r="F40" s="20">
        <v>42558.316655092596</v>
      </c>
      <c r="G40" s="23">
        <v>2</v>
      </c>
      <c r="H40" s="20" t="s">
        <v>340</v>
      </c>
      <c r="I40" s="20">
        <v>42558.346041666664</v>
      </c>
      <c r="J40" s="34">
        <v>0</v>
      </c>
      <c r="K40" s="34" t="str">
        <f t="shared" si="2"/>
        <v>4007/4008</v>
      </c>
      <c r="L40" s="34" t="str">
        <f>VLOOKUP(A40,'Trips&amp;Operators'!$C$1:$E$10000,3,FALSE)</f>
        <v>MOSES</v>
      </c>
      <c r="M40" s="6">
        <f t="shared" si="3"/>
        <v>2.9386574067757465E-2</v>
      </c>
      <c r="N40" s="7">
        <f t="shared" si="15"/>
        <v>42.31666665757075</v>
      </c>
      <c r="O40" s="7"/>
      <c r="P40" s="7"/>
      <c r="Q40" s="35"/>
      <c r="R40" s="35"/>
      <c r="S40" s="54">
        <f t="shared" si="14"/>
        <v>1</v>
      </c>
      <c r="T40" s="98" t="str">
        <f t="shared" si="4"/>
        <v>Southbound</v>
      </c>
      <c r="U40" s="98">
        <f>COUNTIFS(Variables!$M$2:$M$19,IF(T40="NorthBound","&gt;=","&lt;=")&amp;Y40,Variables!$M$2:$M$19,IF(T40="NorthBound","&lt;=","&gt;=")&amp;Z40)</f>
        <v>12</v>
      </c>
      <c r="V4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07:32:39-0600',mode:absolute,to:'2016-07-07 08:19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0" s="106" t="str">
        <f t="shared" si="6"/>
        <v>N</v>
      </c>
      <c r="X40" s="106">
        <f t="shared" si="7"/>
        <v>1</v>
      </c>
      <c r="Y40" s="106">
        <f t="shared" si="8"/>
        <v>23.293399999999998</v>
      </c>
      <c r="Z40" s="106">
        <f t="shared" si="9"/>
        <v>1.6E-2</v>
      </c>
      <c r="AA40" s="106">
        <f t="shared" si="10"/>
        <v>23.2774</v>
      </c>
      <c r="AB40" s="107" t="e">
        <f>VLOOKUP(A40,Enforcements!$C$7:$J$27,8,0)</f>
        <v>#N/A</v>
      </c>
      <c r="AC40" s="107" t="e">
        <f>VLOOKUP(A40,Enforcements!$C$7:$E$27,3,0)</f>
        <v>#N/A</v>
      </c>
      <c r="AD40" s="108" t="str">
        <f t="shared" si="11"/>
        <v>0126-07</v>
      </c>
      <c r="AE40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40" s="108" t="str">
        <f t="shared" si="13"/>
        <v>"C:\Program Files (x86)\AstroGrep\AstroGrep.exe" /spath="C:\Users\stu\Documents\Analysis\2016-02-23 RTDC Observations" /stypes="*4008*20160707*" /stext=" 13:.+((prompt.+disp)|(slice.+state.+chan)|(ment ac)|(system.+state.+chan)|(\|lc)|(penalty)|(\[timeout))" /e /r /s</v>
      </c>
    </row>
    <row r="41" spans="1:32" s="1" customFormat="1" x14ac:dyDescent="0.25">
      <c r="A41" s="62" t="s">
        <v>313</v>
      </c>
      <c r="B41" s="34">
        <v>4044</v>
      </c>
      <c r="C41" s="34" t="s">
        <v>60</v>
      </c>
      <c r="D41" s="34" t="s">
        <v>409</v>
      </c>
      <c r="E41" s="20">
        <v>42558.286076388889</v>
      </c>
      <c r="F41" s="20">
        <v>42558.287129629629</v>
      </c>
      <c r="G41" s="23">
        <v>1</v>
      </c>
      <c r="H41" s="20" t="s">
        <v>326</v>
      </c>
      <c r="I41" s="20">
        <v>42558.316932870373</v>
      </c>
      <c r="J41" s="34">
        <v>0</v>
      </c>
      <c r="K41" s="34" t="str">
        <f t="shared" si="2"/>
        <v>4043/4044</v>
      </c>
      <c r="L41" s="34" t="str">
        <f>VLOOKUP(A41,'Trips&amp;Operators'!$C$1:$E$10000,3,FALSE)</f>
        <v>CANFIELD</v>
      </c>
      <c r="M41" s="6">
        <f t="shared" si="3"/>
        <v>2.980324074451346E-2</v>
      </c>
      <c r="N41" s="7">
        <f t="shared" si="15"/>
        <v>42.916666672099382</v>
      </c>
      <c r="O41" s="7"/>
      <c r="P41" s="7"/>
      <c r="Q41" s="35"/>
      <c r="R41" s="35"/>
      <c r="S41" s="54">
        <f t="shared" si="14"/>
        <v>1</v>
      </c>
      <c r="T41" s="98" t="str">
        <f t="shared" si="4"/>
        <v>NorthBound</v>
      </c>
      <c r="U41" s="98">
        <f>COUNTIFS(Variables!$M$2:$M$19,IF(T41="NorthBound","&gt;=","&lt;=")&amp;Y41,Variables!$M$2:$M$19,IF(T41="NorthBound","&lt;=","&gt;=")&amp;Z41)</f>
        <v>12</v>
      </c>
      <c r="V4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06:50:57-0600',mode:absolute,to:'2016-07-07 07:37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1" s="106" t="str">
        <f t="shared" si="6"/>
        <v>N</v>
      </c>
      <c r="X41" s="106">
        <f t="shared" si="7"/>
        <v>1</v>
      </c>
      <c r="Y41" s="106">
        <f t="shared" si="8"/>
        <v>5.3699999999999998E-2</v>
      </c>
      <c r="Z41" s="106">
        <f t="shared" si="9"/>
        <v>23.331</v>
      </c>
      <c r="AA41" s="106">
        <f t="shared" si="10"/>
        <v>23.2773</v>
      </c>
      <c r="AB41" s="107" t="e">
        <f>VLOOKUP(A41,Enforcements!$C$7:$J$27,8,0)</f>
        <v>#N/A</v>
      </c>
      <c r="AC41" s="107" t="e">
        <f>VLOOKUP(A41,Enforcements!$C$7:$E$27,3,0)</f>
        <v>#N/A</v>
      </c>
      <c r="AD41" s="108" t="str">
        <f t="shared" si="11"/>
        <v>0127-07</v>
      </c>
      <c r="AE41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41" s="108" t="str">
        <f t="shared" si="13"/>
        <v>"C:\Program Files (x86)\AstroGrep\AstroGrep.exe" /spath="C:\Users\stu\Documents\Analysis\2016-02-23 RTDC Observations" /stypes="*4044*20160707*" /stext=" 12:.+((prompt.+disp)|(slice.+state.+chan)|(ment ac)|(system.+state.+chan)|(\|lc)|(penalty)|(\[timeout))" /e /r /s</v>
      </c>
    </row>
    <row r="42" spans="1:32" s="1" customFormat="1" x14ac:dyDescent="0.25">
      <c r="A42" s="62" t="s">
        <v>410</v>
      </c>
      <c r="B42" s="34">
        <v>4043</v>
      </c>
      <c r="C42" s="34" t="s">
        <v>60</v>
      </c>
      <c r="D42" s="34" t="s">
        <v>168</v>
      </c>
      <c r="E42" s="20">
        <v>42558.323587962965</v>
      </c>
      <c r="F42" s="20">
        <v>42558.324849537035</v>
      </c>
      <c r="G42" s="23">
        <v>1</v>
      </c>
      <c r="H42" s="20" t="s">
        <v>73</v>
      </c>
      <c r="I42" s="20">
        <v>42558.356909722221</v>
      </c>
      <c r="J42" s="34">
        <v>0</v>
      </c>
      <c r="K42" s="34" t="str">
        <f t="shared" si="2"/>
        <v>4043/4044</v>
      </c>
      <c r="L42" s="34" t="str">
        <f>VLOOKUP(A42,'Trips&amp;Operators'!$C$1:$E$10000,3,FALSE)</f>
        <v>CANFIELD</v>
      </c>
      <c r="M42" s="6">
        <f t="shared" si="3"/>
        <v>3.2060185185400769E-2</v>
      </c>
      <c r="N42" s="7">
        <f t="shared" si="15"/>
        <v>46.166666666977108</v>
      </c>
      <c r="O42" s="7"/>
      <c r="P42" s="7"/>
      <c r="Q42" s="35"/>
      <c r="R42" s="35"/>
      <c r="S42" s="54">
        <f t="shared" si="14"/>
        <v>1</v>
      </c>
      <c r="T42" s="98" t="str">
        <f t="shared" si="4"/>
        <v>Southbound</v>
      </c>
      <c r="U42" s="98">
        <f>COUNTIFS(Variables!$M$2:$M$19,IF(T42="NorthBound","&gt;=","&lt;=")&amp;Y42,Variables!$M$2:$M$19,IF(T42="NorthBound","&lt;=","&gt;=")&amp;Z42)</f>
        <v>12</v>
      </c>
      <c r="V4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07:44:58-0600',mode:absolute,to:'2016-07-07 08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2" s="106" t="str">
        <f t="shared" si="6"/>
        <v>N</v>
      </c>
      <c r="X42" s="106">
        <f t="shared" si="7"/>
        <v>1</v>
      </c>
      <c r="Y42" s="106">
        <f t="shared" si="8"/>
        <v>23.2987</v>
      </c>
      <c r="Z42" s="106">
        <f t="shared" si="9"/>
        <v>1.49E-2</v>
      </c>
      <c r="AA42" s="106">
        <f t="shared" si="10"/>
        <v>23.283799999999999</v>
      </c>
      <c r="AB42" s="107" t="e">
        <f>VLOOKUP(A42,Enforcements!$C$7:$J$27,8,0)</f>
        <v>#N/A</v>
      </c>
      <c r="AC42" s="107" t="e">
        <f>VLOOKUP(A42,Enforcements!$C$7:$E$27,3,0)</f>
        <v>#N/A</v>
      </c>
      <c r="AD42" s="108" t="str">
        <f t="shared" si="11"/>
        <v>0128-07</v>
      </c>
      <c r="AE42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42" s="108" t="str">
        <f t="shared" si="13"/>
        <v>"C:\Program Files (x86)\AstroGrep\AstroGrep.exe" /spath="C:\Users\stu\Documents\Analysis\2016-02-23 RTDC Observations" /stypes="*4043*20160707*" /stext=" 13:.+((prompt.+disp)|(slice.+state.+chan)|(ment ac)|(system.+state.+chan)|(\|lc)|(penalty)|(\[timeout))" /e /r /s</v>
      </c>
    </row>
    <row r="43" spans="1:32" s="1" customFormat="1" x14ac:dyDescent="0.25">
      <c r="A43" s="62" t="s">
        <v>411</v>
      </c>
      <c r="B43" s="34">
        <v>4031</v>
      </c>
      <c r="C43" s="34" t="s">
        <v>60</v>
      </c>
      <c r="D43" s="34" t="s">
        <v>336</v>
      </c>
      <c r="E43" s="20">
        <v>42558.299166666664</v>
      </c>
      <c r="F43" s="20">
        <v>42558.300462962965</v>
      </c>
      <c r="G43" s="23">
        <v>1</v>
      </c>
      <c r="H43" s="20" t="s">
        <v>152</v>
      </c>
      <c r="I43" s="20">
        <v>42558.326354166667</v>
      </c>
      <c r="J43" s="34">
        <v>0</v>
      </c>
      <c r="K43" s="34" t="str">
        <f t="shared" si="2"/>
        <v>4031/4032</v>
      </c>
      <c r="L43" s="34" t="str">
        <f>VLOOKUP(A43,'Trips&amp;Operators'!$C$1:$E$10000,3,FALSE)</f>
        <v>MALAVE</v>
      </c>
      <c r="M43" s="6">
        <f t="shared" si="3"/>
        <v>2.5891203702485655E-2</v>
      </c>
      <c r="N43" s="7">
        <f t="shared" si="15"/>
        <v>37.283333331579342</v>
      </c>
      <c r="O43" s="7"/>
      <c r="P43" s="7"/>
      <c r="Q43" s="35"/>
      <c r="R43" s="35"/>
      <c r="S43" s="54">
        <f t="shared" si="14"/>
        <v>1</v>
      </c>
      <c r="T43" s="98" t="str">
        <f t="shared" si="4"/>
        <v>NorthBound</v>
      </c>
      <c r="U43" s="98">
        <f>COUNTIFS(Variables!$M$2:$M$19,IF(T43="NorthBound","&gt;=","&lt;=")&amp;Y43,Variables!$M$2:$M$19,IF(T43="NorthBound","&lt;=","&gt;=")&amp;Z43)</f>
        <v>12</v>
      </c>
      <c r="V4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07:09:48-0600',mode:absolute,to:'2016-07-07 07:50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3" s="106" t="str">
        <f t="shared" si="6"/>
        <v>N</v>
      </c>
      <c r="X43" s="106">
        <f t="shared" si="7"/>
        <v>1</v>
      </c>
      <c r="Y43" s="106">
        <f t="shared" si="8"/>
        <v>4.7800000000000002E-2</v>
      </c>
      <c r="Z43" s="106">
        <f t="shared" si="9"/>
        <v>23.328800000000001</v>
      </c>
      <c r="AA43" s="106">
        <f t="shared" si="10"/>
        <v>23.281000000000002</v>
      </c>
      <c r="AB43" s="107" t="e">
        <f>VLOOKUP(A43,Enforcements!$C$7:$J$27,8,0)</f>
        <v>#N/A</v>
      </c>
      <c r="AC43" s="107" t="e">
        <f>VLOOKUP(A43,Enforcements!$C$7:$E$27,3,0)</f>
        <v>#N/A</v>
      </c>
      <c r="AD43" s="108" t="str">
        <f t="shared" si="11"/>
        <v>0129-07</v>
      </c>
      <c r="AE43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43" s="108" t="str">
        <f t="shared" si="13"/>
        <v>"C:\Program Files (x86)\AstroGrep\AstroGrep.exe" /spath="C:\Users\stu\Documents\Analysis\2016-02-23 RTDC Observations" /stypes="*4031*20160707*" /stext=" 13:.+((prompt.+disp)|(slice.+state.+chan)|(ment ac)|(system.+state.+chan)|(\|lc)|(penalty)|(\[timeout))" /e /r /s</v>
      </c>
    </row>
    <row r="44" spans="1:32" s="1" customFormat="1" x14ac:dyDescent="0.25">
      <c r="A44" s="62" t="s">
        <v>412</v>
      </c>
      <c r="B44" s="34">
        <v>4032</v>
      </c>
      <c r="C44" s="34" t="s">
        <v>60</v>
      </c>
      <c r="D44" s="34" t="s">
        <v>154</v>
      </c>
      <c r="E44" s="20">
        <v>42558.339513888888</v>
      </c>
      <c r="F44" s="20">
        <v>42558.341122685182</v>
      </c>
      <c r="G44" s="23">
        <v>2</v>
      </c>
      <c r="H44" s="20" t="s">
        <v>116</v>
      </c>
      <c r="I44" s="20">
        <v>42558.366435185184</v>
      </c>
      <c r="J44" s="34">
        <v>0</v>
      </c>
      <c r="K44" s="34" t="str">
        <f t="shared" si="2"/>
        <v>4031/4032</v>
      </c>
      <c r="L44" s="34" t="str">
        <f>VLOOKUP(A44,'Trips&amp;Operators'!$C$1:$E$10000,3,FALSE)</f>
        <v>MALAVE</v>
      </c>
      <c r="M44" s="6">
        <f t="shared" si="3"/>
        <v>2.531250000174623E-2</v>
      </c>
      <c r="N44" s="7">
        <f t="shared" si="15"/>
        <v>36.450000002514571</v>
      </c>
      <c r="O44" s="7"/>
      <c r="P44" s="7"/>
      <c r="Q44" s="35"/>
      <c r="R44" s="35"/>
      <c r="S44" s="54">
        <f t="shared" si="14"/>
        <v>1</v>
      </c>
      <c r="T44" s="98" t="str">
        <f t="shared" si="4"/>
        <v>Southbound</v>
      </c>
      <c r="U44" s="98">
        <f>COUNTIFS(Variables!$M$2:$M$19,IF(T44="NorthBound","&gt;=","&lt;=")&amp;Y44,Variables!$M$2:$M$19,IF(T44="NorthBound","&lt;=","&gt;=")&amp;Z44)</f>
        <v>12</v>
      </c>
      <c r="V4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08:07:54-0600',mode:absolute,to:'2016-07-07 08:48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4" s="106" t="str">
        <f t="shared" si="6"/>
        <v>N</v>
      </c>
      <c r="X44" s="106">
        <f t="shared" si="7"/>
        <v>1</v>
      </c>
      <c r="Y44" s="106">
        <f t="shared" si="8"/>
        <v>23.296900000000001</v>
      </c>
      <c r="Z44" s="106">
        <f t="shared" si="9"/>
        <v>1.43E-2</v>
      </c>
      <c r="AA44" s="106">
        <f t="shared" si="10"/>
        <v>23.282600000000002</v>
      </c>
      <c r="AB44" s="107" t="e">
        <f>VLOOKUP(A44,Enforcements!$C$7:$J$27,8,0)</f>
        <v>#N/A</v>
      </c>
      <c r="AC44" s="107" t="e">
        <f>VLOOKUP(A44,Enforcements!$C$7:$E$27,3,0)</f>
        <v>#N/A</v>
      </c>
      <c r="AD44" s="108" t="str">
        <f t="shared" si="11"/>
        <v>0130-07</v>
      </c>
      <c r="AE44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44" s="108" t="str">
        <f t="shared" si="13"/>
        <v>"C:\Program Files (x86)\AstroGrep\AstroGrep.exe" /spath="C:\Users\stu\Documents\Analysis\2016-02-23 RTDC Observations" /stypes="*4032*20160707*" /stext=" 14:.+((prompt.+disp)|(slice.+state.+chan)|(ment ac)|(system.+state.+chan)|(\|lc)|(penalty)|(\[timeout))" /e /r /s</v>
      </c>
    </row>
    <row r="45" spans="1:32" s="1" customFormat="1" x14ac:dyDescent="0.25">
      <c r="A45" s="62" t="s">
        <v>413</v>
      </c>
      <c r="B45" s="34">
        <v>4027</v>
      </c>
      <c r="C45" s="34" t="s">
        <v>60</v>
      </c>
      <c r="D45" s="34" t="s">
        <v>414</v>
      </c>
      <c r="E45" s="20">
        <v>42558.311435185184</v>
      </c>
      <c r="F45" s="20">
        <v>42558.312164351853</v>
      </c>
      <c r="G45" s="23">
        <v>1</v>
      </c>
      <c r="H45" s="20" t="s">
        <v>240</v>
      </c>
      <c r="I45" s="20">
        <v>42558.337488425925</v>
      </c>
      <c r="J45" s="34">
        <v>1</v>
      </c>
      <c r="K45" s="34" t="str">
        <f t="shared" si="2"/>
        <v>4027/4028</v>
      </c>
      <c r="L45" s="34" t="str">
        <f>VLOOKUP(A45,'Trips&amp;Operators'!$C$1:$E$10000,3,FALSE)</f>
        <v>STARKS</v>
      </c>
      <c r="M45" s="6">
        <f t="shared" si="3"/>
        <v>2.5324074071249925E-2</v>
      </c>
      <c r="N45" s="7">
        <f t="shared" si="15"/>
        <v>36.466666662599891</v>
      </c>
      <c r="O45" s="7"/>
      <c r="P45" s="7"/>
      <c r="Q45" s="35"/>
      <c r="R45" s="35"/>
      <c r="S45" s="54">
        <f t="shared" si="14"/>
        <v>1</v>
      </c>
      <c r="T45" s="98" t="str">
        <f t="shared" si="4"/>
        <v>NorthBound</v>
      </c>
      <c r="U45" s="98">
        <f>COUNTIFS(Variables!$M$2:$M$19,IF(T45="NorthBound","&gt;=","&lt;=")&amp;Y45,Variables!$M$2:$M$19,IF(T45="NorthBound","&lt;=","&gt;=")&amp;Z45)</f>
        <v>12</v>
      </c>
      <c r="V4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07:27:28-0600',mode:absolute,to:'2016-07-07 08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5" s="106" t="str">
        <f t="shared" si="6"/>
        <v>N</v>
      </c>
      <c r="X45" s="106">
        <f t="shared" si="7"/>
        <v>1</v>
      </c>
      <c r="Y45" s="106">
        <f t="shared" si="8"/>
        <v>4.4699999999999997E-2</v>
      </c>
      <c r="Z45" s="106">
        <f t="shared" si="9"/>
        <v>23.329699999999999</v>
      </c>
      <c r="AA45" s="106">
        <f t="shared" si="10"/>
        <v>23.285</v>
      </c>
      <c r="AB45" s="107" t="e">
        <f>VLOOKUP(A45,Enforcements!$C$7:$J$27,8,0)</f>
        <v>#N/A</v>
      </c>
      <c r="AC45" s="107" t="e">
        <f>VLOOKUP(A45,Enforcements!$C$7:$E$27,3,0)</f>
        <v>#N/A</v>
      </c>
      <c r="AD45" s="108" t="str">
        <f t="shared" si="11"/>
        <v>0131-07</v>
      </c>
      <c r="AE45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45" s="108" t="str">
        <f t="shared" si="13"/>
        <v>"C:\Program Files (x86)\AstroGrep\AstroGrep.exe" /spath="C:\Users\stu\Documents\Analysis\2016-02-23 RTDC Observations" /stypes="*4027*20160707*" /stext=" 13:.+((prompt.+disp)|(slice.+state.+chan)|(ment ac)|(system.+state.+chan)|(\|lc)|(penalty)|(\[timeout))" /e /r /s</v>
      </c>
    </row>
    <row r="46" spans="1:32" s="1" customFormat="1" x14ac:dyDescent="0.25">
      <c r="A46" s="62" t="s">
        <v>415</v>
      </c>
      <c r="B46" s="34">
        <v>4028</v>
      </c>
      <c r="C46" s="34" t="s">
        <v>60</v>
      </c>
      <c r="D46" s="34" t="s">
        <v>70</v>
      </c>
      <c r="E46" s="20">
        <v>42558.346168981479</v>
      </c>
      <c r="F46" s="20">
        <v>42558.347199074073</v>
      </c>
      <c r="G46" s="23">
        <v>1</v>
      </c>
      <c r="H46" s="20" t="s">
        <v>73</v>
      </c>
      <c r="I46" s="20">
        <v>42558.377314814818</v>
      </c>
      <c r="J46" s="34">
        <v>1</v>
      </c>
      <c r="K46" s="34" t="str">
        <f t="shared" si="2"/>
        <v>4027/4028</v>
      </c>
      <c r="L46" s="34" t="str">
        <f>VLOOKUP(A46,'Trips&amp;Operators'!$C$1:$E$10000,3,FALSE)</f>
        <v>STARKS</v>
      </c>
      <c r="M46" s="6">
        <f t="shared" si="3"/>
        <v>3.0115740744804498E-2</v>
      </c>
      <c r="N46" s="7">
        <f t="shared" si="15"/>
        <v>43.366666672518477</v>
      </c>
      <c r="O46" s="7"/>
      <c r="P46" s="7"/>
      <c r="Q46" s="35"/>
      <c r="R46" s="35"/>
      <c r="S46" s="54">
        <f t="shared" si="14"/>
        <v>1</v>
      </c>
      <c r="T46" s="98" t="str">
        <f t="shared" si="4"/>
        <v>Southbound</v>
      </c>
      <c r="U46" s="98">
        <f>COUNTIFS(Variables!$M$2:$M$19,IF(T46="NorthBound","&gt;=","&lt;=")&amp;Y46,Variables!$M$2:$M$19,IF(T46="NorthBound","&lt;=","&gt;=")&amp;Z46)</f>
        <v>12</v>
      </c>
      <c r="V4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08:17:29-0600',mode:absolute,to:'2016-07-07 09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6" s="106" t="str">
        <f t="shared" si="6"/>
        <v>N</v>
      </c>
      <c r="X46" s="106">
        <f t="shared" si="7"/>
        <v>1</v>
      </c>
      <c r="Y46" s="106">
        <f t="shared" si="8"/>
        <v>23.297699999999999</v>
      </c>
      <c r="Z46" s="106">
        <f t="shared" si="9"/>
        <v>1.49E-2</v>
      </c>
      <c r="AA46" s="106">
        <f t="shared" si="10"/>
        <v>23.282799999999998</v>
      </c>
      <c r="AB46" s="107">
        <f>VLOOKUP(A46,Enforcements!$C$7:$J$27,8,0)</f>
        <v>15167</v>
      </c>
      <c r="AC46" s="107" t="str">
        <f>VLOOKUP(A46,Enforcements!$C$7:$E$27,3,0)</f>
        <v>PERMANENT SPEED RESTRICTION</v>
      </c>
      <c r="AD46" s="108" t="str">
        <f t="shared" si="11"/>
        <v>0132-07</v>
      </c>
      <c r="AE46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46" s="108" t="str">
        <f t="shared" si="13"/>
        <v>"C:\Program Files (x86)\AstroGrep\AstroGrep.exe" /spath="C:\Users\stu\Documents\Analysis\2016-02-23 RTDC Observations" /stypes="*4028*20160707*" /stext=" 14:.+((prompt.+disp)|(slice.+state.+chan)|(ment ac)|(system.+state.+chan)|(\|lc)|(penalty)|(\[timeout))" /e /r /s</v>
      </c>
    </row>
    <row r="47" spans="1:32" s="1" customFormat="1" x14ac:dyDescent="0.25">
      <c r="A47" s="62" t="s">
        <v>416</v>
      </c>
      <c r="B47" s="34">
        <v>4038</v>
      </c>
      <c r="C47" s="34" t="s">
        <v>60</v>
      </c>
      <c r="D47" s="34" t="s">
        <v>339</v>
      </c>
      <c r="E47" s="20">
        <v>42558.31523148148</v>
      </c>
      <c r="F47" s="20">
        <v>42558.316006944442</v>
      </c>
      <c r="G47" s="23">
        <v>1</v>
      </c>
      <c r="H47" s="20" t="s">
        <v>238</v>
      </c>
      <c r="I47" s="20">
        <v>42558.347905092596</v>
      </c>
      <c r="J47" s="34">
        <v>0</v>
      </c>
      <c r="K47" s="34" t="str">
        <f t="shared" si="2"/>
        <v>4037/4038</v>
      </c>
      <c r="L47" s="34" t="str">
        <f>VLOOKUP(A47,'Trips&amp;Operators'!$C$1:$E$10000,3,FALSE)</f>
        <v>YORK</v>
      </c>
      <c r="M47" s="6">
        <f t="shared" si="3"/>
        <v>3.1898148154141381E-2</v>
      </c>
      <c r="N47" s="7">
        <f t="shared" si="15"/>
        <v>45.933333341963589</v>
      </c>
      <c r="O47" s="7"/>
      <c r="P47" s="7"/>
      <c r="Q47" s="35"/>
      <c r="R47" s="35"/>
      <c r="S47" s="54">
        <f t="shared" si="14"/>
        <v>1</v>
      </c>
      <c r="T47" s="98" t="str">
        <f t="shared" si="4"/>
        <v>NorthBound</v>
      </c>
      <c r="U47" s="98">
        <f>COUNTIFS(Variables!$M$2:$M$19,IF(T47="NorthBound","&gt;=","&lt;=")&amp;Y47,Variables!$M$2:$M$19,IF(T47="NorthBound","&lt;=","&gt;=")&amp;Z47)</f>
        <v>12</v>
      </c>
      <c r="V4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07:32:56-0600',mode:absolute,to:'2016-07-07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47" s="106" t="str">
        <f t="shared" si="6"/>
        <v>N</v>
      </c>
      <c r="X47" s="106">
        <f t="shared" si="7"/>
        <v>1</v>
      </c>
      <c r="Y47" s="106">
        <f t="shared" si="8"/>
        <v>4.4200000000000003E-2</v>
      </c>
      <c r="Z47" s="106">
        <f t="shared" si="9"/>
        <v>23.327200000000001</v>
      </c>
      <c r="AA47" s="106">
        <f t="shared" si="10"/>
        <v>23.283000000000001</v>
      </c>
      <c r="AB47" s="107" t="e">
        <f>VLOOKUP(A47,Enforcements!$C$7:$J$27,8,0)</f>
        <v>#N/A</v>
      </c>
      <c r="AC47" s="107" t="e">
        <f>VLOOKUP(A47,Enforcements!$C$7:$E$27,3,0)</f>
        <v>#N/A</v>
      </c>
      <c r="AD47" s="108" t="str">
        <f t="shared" si="11"/>
        <v>0133-07</v>
      </c>
      <c r="AE47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47" s="108" t="str">
        <f t="shared" si="13"/>
        <v>"C:\Program Files (x86)\AstroGrep\AstroGrep.exe" /spath="C:\Users\stu\Documents\Analysis\2016-02-23 RTDC Observations" /stypes="*4038*20160707*" /stext=" 13:.+((prompt.+disp)|(slice.+state.+chan)|(ment ac)|(system.+state.+chan)|(\|lc)|(penalty)|(\[timeout))" /e /r /s</v>
      </c>
    </row>
    <row r="48" spans="1:32" s="1" customFormat="1" x14ac:dyDescent="0.25">
      <c r="A48" s="62" t="s">
        <v>417</v>
      </c>
      <c r="B48" s="34">
        <v>4037</v>
      </c>
      <c r="C48" s="34" t="s">
        <v>60</v>
      </c>
      <c r="D48" s="34" t="s">
        <v>323</v>
      </c>
      <c r="E48" s="20">
        <v>42558.348958333336</v>
      </c>
      <c r="F48" s="20">
        <v>42558.349768518521</v>
      </c>
      <c r="G48" s="23">
        <v>1</v>
      </c>
      <c r="H48" s="20" t="s">
        <v>67</v>
      </c>
      <c r="I48" s="20">
        <v>42558.388136574074</v>
      </c>
      <c r="J48" s="34">
        <v>2</v>
      </c>
      <c r="K48" s="34" t="str">
        <f t="shared" si="2"/>
        <v>4037/4038</v>
      </c>
      <c r="L48" s="34" t="str">
        <f>VLOOKUP(A48,'Trips&amp;Operators'!$C$1:$E$10000,3,FALSE)</f>
        <v>YORK</v>
      </c>
      <c r="M48" s="6">
        <f t="shared" si="3"/>
        <v>3.8368055553291924E-2</v>
      </c>
      <c r="N48" s="7">
        <f t="shared" si="15"/>
        <v>55.249999996740371</v>
      </c>
      <c r="O48" s="7"/>
      <c r="P48" s="7"/>
      <c r="Q48" s="35"/>
      <c r="R48" s="35"/>
      <c r="S48" s="54">
        <f t="shared" si="14"/>
        <v>1</v>
      </c>
      <c r="T48" s="98" t="str">
        <f t="shared" si="4"/>
        <v>Southbound</v>
      </c>
      <c r="U48" s="98">
        <f>COUNTIFS(Variables!$M$2:$M$19,IF(T48="NorthBound","&gt;=","&lt;=")&amp;Y48,Variables!$M$2:$M$19,IF(T48="NorthBound","&lt;=","&gt;=")&amp;Z48)</f>
        <v>12</v>
      </c>
      <c r="V4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08:21:30-0600',mode:absolute,to:'2016-07-07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48" s="106" t="str">
        <f t="shared" si="6"/>
        <v>N</v>
      </c>
      <c r="X48" s="106">
        <f t="shared" si="7"/>
        <v>1</v>
      </c>
      <c r="Y48" s="106">
        <f t="shared" si="8"/>
        <v>23.295300000000001</v>
      </c>
      <c r="Z48" s="106">
        <f t="shared" si="9"/>
        <v>1.47E-2</v>
      </c>
      <c r="AA48" s="106">
        <f t="shared" si="10"/>
        <v>23.2806</v>
      </c>
      <c r="AB48" s="107">
        <f>VLOOKUP(A48,Enforcements!$C$7:$J$27,8,0)</f>
        <v>42961</v>
      </c>
      <c r="AC48" s="107" t="str">
        <f>VLOOKUP(A48,Enforcements!$C$7:$E$27,3,0)</f>
        <v>GRADE CROSSING</v>
      </c>
      <c r="AD48" s="108" t="str">
        <f t="shared" si="11"/>
        <v>0134-07</v>
      </c>
      <c r="AE48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48" s="108" t="str">
        <f t="shared" si="13"/>
        <v>"C:\Program Files (x86)\AstroGrep\AstroGrep.exe" /spath="C:\Users\stu\Documents\Analysis\2016-02-23 RTDC Observations" /stypes="*4037*20160707*" /stext=" 14:.+((prompt.+disp)|(slice.+state.+chan)|(ment ac)|(system.+state.+chan)|(\|lc)|(penalty)|(\[timeout))" /e /r /s</v>
      </c>
    </row>
    <row r="49" spans="1:32" s="1" customFormat="1" x14ac:dyDescent="0.25">
      <c r="A49" s="62" t="s">
        <v>418</v>
      </c>
      <c r="B49" s="34">
        <v>4018</v>
      </c>
      <c r="C49" s="34" t="s">
        <v>60</v>
      </c>
      <c r="D49" s="34" t="s">
        <v>72</v>
      </c>
      <c r="E49" s="20">
        <v>42558.32675925926</v>
      </c>
      <c r="F49" s="20">
        <v>42558.327719907407</v>
      </c>
      <c r="G49" s="23">
        <v>1</v>
      </c>
      <c r="H49" s="20" t="s">
        <v>419</v>
      </c>
      <c r="I49" s="20">
        <v>42558.35833333333</v>
      </c>
      <c r="J49" s="34">
        <v>0</v>
      </c>
      <c r="K49" s="34" t="str">
        <f t="shared" si="2"/>
        <v>4017/4018</v>
      </c>
      <c r="L49" s="34" t="str">
        <f>VLOOKUP(A49,'Trips&amp;Operators'!$C$1:$E$10000,3,FALSE)</f>
        <v>KILLION</v>
      </c>
      <c r="M49" s="6">
        <f t="shared" si="3"/>
        <v>3.0613425922638271E-2</v>
      </c>
      <c r="N49" s="7">
        <f t="shared" si="15"/>
        <v>44.08333332859911</v>
      </c>
      <c r="O49" s="7"/>
      <c r="P49" s="7"/>
      <c r="Q49" s="35"/>
      <c r="R49" s="35"/>
      <c r="S49" s="54">
        <f t="shared" si="14"/>
        <v>1</v>
      </c>
      <c r="T49" s="98" t="str">
        <f t="shared" si="4"/>
        <v>NorthBound</v>
      </c>
      <c r="U49" s="98">
        <f>COUNTIFS(Variables!$M$2:$M$19,IF(T49="NorthBound","&gt;=","&lt;=")&amp;Y49,Variables!$M$2:$M$19,IF(T49="NorthBound","&lt;=","&gt;=")&amp;Z49)</f>
        <v>12</v>
      </c>
      <c r="V4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07:49:32-0600',mode:absolute,to:'2016-07-07 08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106" t="str">
        <f t="shared" si="6"/>
        <v>N</v>
      </c>
      <c r="X49" s="106">
        <f t="shared" si="7"/>
        <v>1</v>
      </c>
      <c r="Y49" s="106">
        <f t="shared" si="8"/>
        <v>4.5699999999999998E-2</v>
      </c>
      <c r="Z49" s="106">
        <f t="shared" si="9"/>
        <v>23.3308</v>
      </c>
      <c r="AA49" s="106">
        <f t="shared" si="10"/>
        <v>23.2851</v>
      </c>
      <c r="AB49" s="107" t="e">
        <f>VLOOKUP(A49,Enforcements!$C$7:$J$27,8,0)</f>
        <v>#N/A</v>
      </c>
      <c r="AC49" s="107" t="e">
        <f>VLOOKUP(A49,Enforcements!$C$7:$E$27,3,0)</f>
        <v>#N/A</v>
      </c>
      <c r="AD49" s="108" t="str">
        <f t="shared" si="11"/>
        <v>0135-07</v>
      </c>
      <c r="AE49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49" s="108" t="str">
        <f t="shared" si="13"/>
        <v>"C:\Program Files (x86)\AstroGrep\AstroGrep.exe" /spath="C:\Users\stu\Documents\Analysis\2016-02-23 RTDC Observations" /stypes="*4018*20160707*" /stext=" 13:.+((prompt.+disp)|(slice.+state.+chan)|(ment ac)|(system.+state.+chan)|(\|lc)|(penalty)|(\[timeout))" /e /r /s</v>
      </c>
    </row>
    <row r="50" spans="1:32" s="1" customFormat="1" x14ac:dyDescent="0.25">
      <c r="A50" s="62" t="s">
        <v>420</v>
      </c>
      <c r="B50" s="34">
        <v>4017</v>
      </c>
      <c r="C50" s="34" t="s">
        <v>60</v>
      </c>
      <c r="D50" s="34" t="s">
        <v>321</v>
      </c>
      <c r="E50" s="20">
        <v>42558.368287037039</v>
      </c>
      <c r="F50" s="20">
        <v>42558.369444444441</v>
      </c>
      <c r="G50" s="23">
        <v>1</v>
      </c>
      <c r="H50" s="20" t="s">
        <v>61</v>
      </c>
      <c r="I50" s="20">
        <v>42558.398194444446</v>
      </c>
      <c r="J50" s="34">
        <v>0</v>
      </c>
      <c r="K50" s="34" t="str">
        <f t="shared" si="2"/>
        <v>4017/4018</v>
      </c>
      <c r="L50" s="34" t="str">
        <f>VLOOKUP(A50,'Trips&amp;Operators'!$C$1:$E$10000,3,FALSE)</f>
        <v>KILLION</v>
      </c>
      <c r="M50" s="6">
        <f t="shared" si="3"/>
        <v>2.8750000004947651E-2</v>
      </c>
      <c r="N50" s="7">
        <f t="shared" si="15"/>
        <v>41.400000007124618</v>
      </c>
      <c r="O50" s="7"/>
      <c r="P50" s="7"/>
      <c r="Q50" s="35"/>
      <c r="R50" s="35"/>
      <c r="S50" s="54">
        <f t="shared" si="14"/>
        <v>1</v>
      </c>
      <c r="T50" s="98" t="str">
        <f t="shared" si="4"/>
        <v>Southbound</v>
      </c>
      <c r="U50" s="98">
        <f>COUNTIFS(Variables!$M$2:$M$19,IF(T50="NorthBound","&gt;=","&lt;=")&amp;Y50,Variables!$M$2:$M$19,IF(T50="NorthBound","&lt;=","&gt;=")&amp;Z50)</f>
        <v>12</v>
      </c>
      <c r="V5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08:49:20-0600',mode:absolute,to:'2016-07-07 09:34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106" t="str">
        <f t="shared" si="6"/>
        <v>N</v>
      </c>
      <c r="X50" s="106">
        <f t="shared" si="7"/>
        <v>1</v>
      </c>
      <c r="Y50" s="106">
        <f t="shared" si="8"/>
        <v>23.299099999999999</v>
      </c>
      <c r="Z50" s="106">
        <f t="shared" si="9"/>
        <v>1.4500000000000001E-2</v>
      </c>
      <c r="AA50" s="106">
        <f t="shared" si="10"/>
        <v>23.284599999999998</v>
      </c>
      <c r="AB50" s="107" t="e">
        <f>VLOOKUP(A50,Enforcements!$C$7:$J$27,8,0)</f>
        <v>#N/A</v>
      </c>
      <c r="AC50" s="107" t="e">
        <f>VLOOKUP(A50,Enforcements!$C$7:$E$27,3,0)</f>
        <v>#N/A</v>
      </c>
      <c r="AD50" s="108" t="str">
        <f t="shared" si="11"/>
        <v>0136-07</v>
      </c>
      <c r="AE50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50" s="108" t="str">
        <f t="shared" si="13"/>
        <v>"C:\Program Files (x86)\AstroGrep\AstroGrep.exe" /spath="C:\Users\stu\Documents\Analysis\2016-02-23 RTDC Observations" /stypes="*4017*20160707*" /stext=" 14:.+((prompt.+disp)|(slice.+state.+chan)|(ment ac)|(system.+state.+chan)|(\|lc)|(penalty)|(\[timeout))" /e /r /s</v>
      </c>
    </row>
    <row r="51" spans="1:32" s="1" customFormat="1" x14ac:dyDescent="0.25">
      <c r="A51" s="62" t="s">
        <v>421</v>
      </c>
      <c r="B51" s="34">
        <v>4011</v>
      </c>
      <c r="C51" s="34" t="s">
        <v>60</v>
      </c>
      <c r="D51" s="34" t="s">
        <v>422</v>
      </c>
      <c r="E51" s="20">
        <v>42558.338599537034</v>
      </c>
      <c r="F51" s="20">
        <v>42558.33965277778</v>
      </c>
      <c r="G51" s="23">
        <v>1</v>
      </c>
      <c r="H51" s="20" t="s">
        <v>181</v>
      </c>
      <c r="I51" s="20">
        <v>42558.368495370371</v>
      </c>
      <c r="J51" s="34">
        <v>0</v>
      </c>
      <c r="K51" s="34" t="str">
        <f t="shared" si="2"/>
        <v>4011/4012</v>
      </c>
      <c r="L51" s="34" t="str">
        <f>VLOOKUP(A51,'Trips&amp;Operators'!$C$1:$E$10000,3,FALSE)</f>
        <v>MAELZER</v>
      </c>
      <c r="M51" s="6">
        <f t="shared" si="3"/>
        <v>2.884259259008104E-2</v>
      </c>
      <c r="N51" s="7">
        <f t="shared" si="15"/>
        <v>41.533333329716697</v>
      </c>
      <c r="O51" s="7"/>
      <c r="P51" s="7"/>
      <c r="Q51" s="35"/>
      <c r="R51" s="35"/>
      <c r="S51" s="54">
        <f t="shared" si="14"/>
        <v>1</v>
      </c>
      <c r="T51" s="98" t="str">
        <f t="shared" si="4"/>
        <v>NorthBound</v>
      </c>
      <c r="U51" s="98">
        <f>COUNTIFS(Variables!$M$2:$M$19,IF(T51="NorthBound","&gt;=","&lt;=")&amp;Y51,Variables!$M$2:$M$19,IF(T51="NorthBound","&lt;=","&gt;=")&amp;Z51)</f>
        <v>12</v>
      </c>
      <c r="V5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08:06:35-0600',mode:absolute,to:'2016-07-07 08:51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1" s="106" t="str">
        <f t="shared" si="6"/>
        <v>N</v>
      </c>
      <c r="X51" s="106">
        <f t="shared" si="7"/>
        <v>1</v>
      </c>
      <c r="Y51" s="106">
        <f t="shared" si="8"/>
        <v>4.2599999999999999E-2</v>
      </c>
      <c r="Z51" s="106">
        <f t="shared" si="9"/>
        <v>23.3307</v>
      </c>
      <c r="AA51" s="106">
        <f t="shared" si="10"/>
        <v>23.2881</v>
      </c>
      <c r="AB51" s="107" t="e">
        <f>VLOOKUP(A51,Enforcements!$C$7:$J$27,8,0)</f>
        <v>#N/A</v>
      </c>
      <c r="AC51" s="107" t="e">
        <f>VLOOKUP(A51,Enforcements!$C$7:$E$27,3,0)</f>
        <v>#N/A</v>
      </c>
      <c r="AD51" s="108" t="str">
        <f t="shared" si="11"/>
        <v>0137-07</v>
      </c>
      <c r="AE51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51" s="108" t="str">
        <f t="shared" si="13"/>
        <v>"C:\Program Files (x86)\AstroGrep\AstroGrep.exe" /spath="C:\Users\stu\Documents\Analysis\2016-02-23 RTDC Observations" /stypes="*4011*20160707*" /stext=" 14:.+((prompt.+disp)|(slice.+state.+chan)|(ment ac)|(system.+state.+chan)|(\|lc)|(penalty)|(\[timeout))" /e /r /s</v>
      </c>
    </row>
    <row r="52" spans="1:32" s="1" customFormat="1" x14ac:dyDescent="0.25">
      <c r="A52" s="62" t="s">
        <v>423</v>
      </c>
      <c r="B52" s="34">
        <v>4012</v>
      </c>
      <c r="C52" s="34" t="s">
        <v>60</v>
      </c>
      <c r="D52" s="34" t="s">
        <v>70</v>
      </c>
      <c r="E52" s="20">
        <v>42558.370057870372</v>
      </c>
      <c r="F52" s="20">
        <v>42558.37090277778</v>
      </c>
      <c r="G52" s="23">
        <v>1</v>
      </c>
      <c r="H52" s="20" t="s">
        <v>424</v>
      </c>
      <c r="I52" s="20">
        <v>42558.408148148148</v>
      </c>
      <c r="J52" s="34">
        <v>0</v>
      </c>
      <c r="K52" s="34" t="str">
        <f t="shared" si="2"/>
        <v>4011/4012</v>
      </c>
      <c r="L52" s="34" t="str">
        <f>VLOOKUP(A52,'Trips&amp;Operators'!$C$1:$E$10000,3,FALSE)</f>
        <v>MAELZER</v>
      </c>
      <c r="M52" s="6">
        <f t="shared" si="3"/>
        <v>3.7245370367600117E-2</v>
      </c>
      <c r="N52" s="7">
        <f t="shared" si="15"/>
        <v>53.633333329344168</v>
      </c>
      <c r="O52" s="7"/>
      <c r="P52" s="7"/>
      <c r="Q52" s="35"/>
      <c r="R52" s="35"/>
      <c r="S52" s="54">
        <f t="shared" si="14"/>
        <v>1</v>
      </c>
      <c r="T52" s="98" t="str">
        <f t="shared" si="4"/>
        <v>Southbound</v>
      </c>
      <c r="U52" s="98">
        <f>COUNTIFS(Variables!$M$2:$M$19,IF(T52="NorthBound","&gt;=","&lt;=")&amp;Y52,Variables!$M$2:$M$19,IF(T52="NorthBound","&lt;=","&gt;=")&amp;Z52)</f>
        <v>12</v>
      </c>
      <c r="V5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08:51:53-0600',mode:absolute,to:'2016-07-07 09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2" s="106" t="str">
        <f t="shared" si="6"/>
        <v>N</v>
      </c>
      <c r="X52" s="106">
        <f t="shared" si="7"/>
        <v>1</v>
      </c>
      <c r="Y52" s="106">
        <f t="shared" si="8"/>
        <v>23.297699999999999</v>
      </c>
      <c r="Z52" s="106">
        <f t="shared" si="9"/>
        <v>1.38E-2</v>
      </c>
      <c r="AA52" s="106">
        <f t="shared" si="10"/>
        <v>23.283899999999999</v>
      </c>
      <c r="AB52" s="107" t="e">
        <f>VLOOKUP(A52,Enforcements!$C$7:$J$27,8,0)</f>
        <v>#N/A</v>
      </c>
      <c r="AC52" s="107" t="e">
        <f>VLOOKUP(A52,Enforcements!$C$7:$E$27,3,0)</f>
        <v>#N/A</v>
      </c>
      <c r="AD52" s="108" t="str">
        <f t="shared" si="11"/>
        <v>0138-07</v>
      </c>
      <c r="AE52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52" s="108" t="str">
        <f t="shared" si="13"/>
        <v>"C:\Program Files (x86)\AstroGrep\AstroGrep.exe" /spath="C:\Users\stu\Documents\Analysis\2016-02-23 RTDC Observations" /stypes="*4012*20160707*" /stext=" 14:.+((prompt.+disp)|(slice.+state.+chan)|(ment ac)|(system.+state.+chan)|(\|lc)|(penalty)|(\[timeout))" /e /r /s</v>
      </c>
    </row>
    <row r="53" spans="1:32" s="1" customFormat="1" x14ac:dyDescent="0.25">
      <c r="A53" s="62" t="s">
        <v>425</v>
      </c>
      <c r="B53" s="34">
        <v>4007</v>
      </c>
      <c r="C53" s="34" t="s">
        <v>60</v>
      </c>
      <c r="D53" s="34" t="s">
        <v>234</v>
      </c>
      <c r="E53" s="20">
        <v>42558.348217592589</v>
      </c>
      <c r="F53" s="20">
        <v>42558.349386574075</v>
      </c>
      <c r="G53" s="23">
        <v>1</v>
      </c>
      <c r="H53" s="20" t="s">
        <v>240</v>
      </c>
      <c r="I53" s="20">
        <v>42558.37939814815</v>
      </c>
      <c r="J53" s="34">
        <v>0</v>
      </c>
      <c r="K53" s="34" t="str">
        <f t="shared" si="2"/>
        <v>4007/4008</v>
      </c>
      <c r="L53" s="34" t="str">
        <f>VLOOKUP(A53,'Trips&amp;Operators'!$C$1:$E$10000,3,FALSE)</f>
        <v>MOSES</v>
      </c>
      <c r="M53" s="6">
        <f t="shared" si="3"/>
        <v>3.0011574075615499E-2</v>
      </c>
      <c r="N53" s="7">
        <f t="shared" si="15"/>
        <v>43.216666668886319</v>
      </c>
      <c r="O53" s="7"/>
      <c r="P53" s="7"/>
      <c r="Q53" s="35"/>
      <c r="R53" s="35"/>
      <c r="S53" s="54">
        <f t="shared" si="14"/>
        <v>1</v>
      </c>
      <c r="T53" s="98" t="str">
        <f t="shared" si="4"/>
        <v>NorthBound</v>
      </c>
      <c r="U53" s="98">
        <f>COUNTIFS(Variables!$M$2:$M$19,IF(T53="NorthBound","&gt;=","&lt;=")&amp;Y53,Variables!$M$2:$M$19,IF(T53="NorthBound","&lt;=","&gt;=")&amp;Z53)</f>
        <v>12</v>
      </c>
      <c r="V5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08:20:26-0600',mode:absolute,to:'2016-07-07 09:07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3" s="106" t="str">
        <f t="shared" si="6"/>
        <v>N</v>
      </c>
      <c r="X53" s="106">
        <f t="shared" si="7"/>
        <v>1</v>
      </c>
      <c r="Y53" s="106">
        <f t="shared" si="8"/>
        <v>4.82E-2</v>
      </c>
      <c r="Z53" s="106">
        <f t="shared" si="9"/>
        <v>23.329699999999999</v>
      </c>
      <c r="AA53" s="106">
        <f t="shared" si="10"/>
        <v>23.281499999999998</v>
      </c>
      <c r="AB53" s="107" t="e">
        <f>VLOOKUP(A53,Enforcements!$C$7:$J$27,8,0)</f>
        <v>#N/A</v>
      </c>
      <c r="AC53" s="107" t="e">
        <f>VLOOKUP(A53,Enforcements!$C$7:$E$27,3,0)</f>
        <v>#N/A</v>
      </c>
      <c r="AD53" s="108" t="str">
        <f t="shared" si="11"/>
        <v>0139-07</v>
      </c>
      <c r="AE53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53" s="108" t="str">
        <f t="shared" si="13"/>
        <v>"C:\Program Files (x86)\AstroGrep\AstroGrep.exe" /spath="C:\Users\stu\Documents\Analysis\2016-02-23 RTDC Observations" /stypes="*4007*20160707*" /stext=" 14:.+((prompt.+disp)|(slice.+state.+chan)|(ment ac)|(system.+state.+chan)|(\|lc)|(penalty)|(\[timeout))" /e /r /s</v>
      </c>
    </row>
    <row r="54" spans="1:32" s="1" customFormat="1" x14ac:dyDescent="0.25">
      <c r="A54" s="82" t="s">
        <v>426</v>
      </c>
      <c r="B54" s="34">
        <v>4008</v>
      </c>
      <c r="C54" s="34" t="s">
        <v>60</v>
      </c>
      <c r="D54" s="34" t="s">
        <v>233</v>
      </c>
      <c r="E54" s="20">
        <v>42558.38721064815</v>
      </c>
      <c r="F54" s="20">
        <v>42558.388368055559</v>
      </c>
      <c r="G54" s="23">
        <v>1</v>
      </c>
      <c r="H54" s="20" t="s">
        <v>342</v>
      </c>
      <c r="I54" s="20">
        <v>42558.419224537036</v>
      </c>
      <c r="J54" s="34">
        <v>1</v>
      </c>
      <c r="K54" s="34" t="str">
        <f t="shared" si="2"/>
        <v>4007/4008</v>
      </c>
      <c r="L54" s="34" t="str">
        <f>VLOOKUP(A54,'Trips&amp;Operators'!$C$1:$E$10000,3,FALSE)</f>
        <v>MOSES</v>
      </c>
      <c r="M54" s="6">
        <f t="shared" si="3"/>
        <v>3.085648147680331E-2</v>
      </c>
      <c r="N54" s="7">
        <f t="shared" si="15"/>
        <v>44.433333326596767</v>
      </c>
      <c r="O54" s="7"/>
      <c r="P54" s="7"/>
      <c r="Q54" s="35"/>
      <c r="R54" s="35"/>
      <c r="S54" s="54">
        <f t="shared" si="14"/>
        <v>1</v>
      </c>
      <c r="T54" s="98" t="str">
        <f t="shared" si="4"/>
        <v>Southbound</v>
      </c>
      <c r="U54" s="98">
        <f>COUNTIFS(Variables!$M$2:$M$19,IF(T54="NorthBound","&gt;=","&lt;=")&amp;Y54,Variables!$M$2:$M$19,IF(T54="NorthBound","&lt;=","&gt;=")&amp;Z54)</f>
        <v>12</v>
      </c>
      <c r="V5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09:16:35-0600',mode:absolute,to:'2016-07-07 10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4" s="106" t="str">
        <f t="shared" si="6"/>
        <v>N</v>
      </c>
      <c r="X54" s="106">
        <f t="shared" si="7"/>
        <v>1</v>
      </c>
      <c r="Y54" s="106">
        <f t="shared" si="8"/>
        <v>23.297599999999999</v>
      </c>
      <c r="Z54" s="106">
        <f t="shared" si="9"/>
        <v>1.7000000000000001E-2</v>
      </c>
      <c r="AA54" s="106">
        <f t="shared" si="10"/>
        <v>23.2806</v>
      </c>
      <c r="AB54" s="107" t="e">
        <f>VLOOKUP(A54,Enforcements!$C$7:$J$27,8,0)</f>
        <v>#N/A</v>
      </c>
      <c r="AC54" s="107" t="e">
        <f>VLOOKUP(A54,Enforcements!$C$7:$E$27,3,0)</f>
        <v>#N/A</v>
      </c>
      <c r="AD54" s="108" t="str">
        <f t="shared" si="11"/>
        <v>0140-07</v>
      </c>
      <c r="AE54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54" s="108" t="str">
        <f t="shared" si="13"/>
        <v>"C:\Program Files (x86)\AstroGrep\AstroGrep.exe" /spath="C:\Users\stu\Documents\Analysis\2016-02-23 RTDC Observations" /stypes="*4008*20160707*" /stext=" 15:.+((prompt.+disp)|(slice.+state.+chan)|(ment ac)|(system.+state.+chan)|(\|lc)|(penalty)|(\[timeout))" /e /r /s</v>
      </c>
    </row>
    <row r="55" spans="1:32" s="1" customFormat="1" x14ac:dyDescent="0.25">
      <c r="A55" s="62" t="s">
        <v>427</v>
      </c>
      <c r="B55" s="34">
        <v>4044</v>
      </c>
      <c r="C55" s="34" t="s">
        <v>60</v>
      </c>
      <c r="D55" s="34" t="s">
        <v>225</v>
      </c>
      <c r="E55" s="20">
        <v>42558.35900462963</v>
      </c>
      <c r="F55" s="20">
        <v>42558.360150462962</v>
      </c>
      <c r="G55" s="23">
        <v>1</v>
      </c>
      <c r="H55" s="20" t="s">
        <v>192</v>
      </c>
      <c r="I55" s="20">
        <v>42558.389560185184</v>
      </c>
      <c r="J55" s="34">
        <v>0</v>
      </c>
      <c r="K55" s="34" t="str">
        <f t="shared" si="2"/>
        <v>4043/4044</v>
      </c>
      <c r="L55" s="34" t="str">
        <f>VLOOKUP(A55,'Trips&amp;Operators'!$C$1:$E$10000,3,FALSE)</f>
        <v>CANFIELD</v>
      </c>
      <c r="M55" s="6">
        <f t="shared" si="3"/>
        <v>2.940972222131677E-2</v>
      </c>
      <c r="N55" s="7">
        <f t="shared" si="15"/>
        <v>42.349999998696148</v>
      </c>
      <c r="O55" s="7"/>
      <c r="P55" s="7"/>
      <c r="Q55" s="35"/>
      <c r="R55" s="35"/>
      <c r="S55" s="54">
        <f t="shared" si="14"/>
        <v>1</v>
      </c>
      <c r="T55" s="98" t="str">
        <f t="shared" si="4"/>
        <v>NorthBound</v>
      </c>
      <c r="U55" s="98">
        <f>COUNTIFS(Variables!$M$2:$M$19,IF(T55="NorthBound","&gt;=","&lt;=")&amp;Y55,Variables!$M$2:$M$19,IF(T55="NorthBound","&lt;=","&gt;=")&amp;Z55)</f>
        <v>12</v>
      </c>
      <c r="V5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08:35:58-0600',mode:absolute,to:'2016-07-07 09:21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5" s="106" t="str">
        <f t="shared" si="6"/>
        <v>N</v>
      </c>
      <c r="X55" s="106">
        <f t="shared" si="7"/>
        <v>1</v>
      </c>
      <c r="Y55" s="106">
        <f t="shared" si="8"/>
        <v>4.3999999999999997E-2</v>
      </c>
      <c r="Z55" s="106">
        <f t="shared" si="9"/>
        <v>23.328900000000001</v>
      </c>
      <c r="AA55" s="106">
        <f t="shared" si="10"/>
        <v>23.2849</v>
      </c>
      <c r="AB55" s="107" t="e">
        <f>VLOOKUP(A55,Enforcements!$C$7:$J$27,8,0)</f>
        <v>#N/A</v>
      </c>
      <c r="AC55" s="107" t="e">
        <f>VLOOKUP(A55,Enforcements!$C$7:$E$27,3,0)</f>
        <v>#N/A</v>
      </c>
      <c r="AD55" s="108" t="str">
        <f t="shared" si="11"/>
        <v>0141-07</v>
      </c>
      <c r="AE55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55" s="108" t="str">
        <f t="shared" si="13"/>
        <v>"C:\Program Files (x86)\AstroGrep\AstroGrep.exe" /spath="C:\Users\stu\Documents\Analysis\2016-02-23 RTDC Observations" /stypes="*4044*20160707*" /stext=" 14:.+((prompt.+disp)|(slice.+state.+chan)|(ment ac)|(system.+state.+chan)|(\|lc)|(penalty)|(\[timeout))" /e /r /s</v>
      </c>
    </row>
    <row r="56" spans="1:32" s="1" customFormat="1" x14ac:dyDescent="0.25">
      <c r="A56" s="62" t="s">
        <v>428</v>
      </c>
      <c r="B56" s="34">
        <v>4043</v>
      </c>
      <c r="C56" s="34" t="s">
        <v>60</v>
      </c>
      <c r="D56" s="34" t="s">
        <v>429</v>
      </c>
      <c r="E56" s="20">
        <v>42558.398611111108</v>
      </c>
      <c r="F56" s="20">
        <v>42558.399872685186</v>
      </c>
      <c r="G56" s="23">
        <v>1</v>
      </c>
      <c r="H56" s="20" t="s">
        <v>430</v>
      </c>
      <c r="I56" s="20">
        <v>42558.430231481485</v>
      </c>
      <c r="J56" s="34">
        <v>0</v>
      </c>
      <c r="K56" s="34" t="str">
        <f t="shared" si="2"/>
        <v>4043/4044</v>
      </c>
      <c r="L56" s="34" t="str">
        <f>VLOOKUP(A56,'Trips&amp;Operators'!$C$1:$E$10000,3,FALSE)</f>
        <v>CANFIELD</v>
      </c>
      <c r="M56" s="6">
        <f t="shared" si="3"/>
        <v>3.0358796298969537E-2</v>
      </c>
      <c r="N56" s="7">
        <f t="shared" si="15"/>
        <v>43.716666670516133</v>
      </c>
      <c r="O56" s="7"/>
      <c r="P56" s="7"/>
      <c r="Q56" s="35"/>
      <c r="R56" s="35"/>
      <c r="S56" s="54">
        <f t="shared" si="14"/>
        <v>1</v>
      </c>
      <c r="T56" s="98" t="str">
        <f t="shared" si="4"/>
        <v>Southbound</v>
      </c>
      <c r="U56" s="98">
        <f>COUNTIFS(Variables!$M$2:$M$19,IF(T56="NorthBound","&gt;=","&lt;=")&amp;Y56,Variables!$M$2:$M$19,IF(T56="NorthBound","&lt;=","&gt;=")&amp;Z56)</f>
        <v>12</v>
      </c>
      <c r="V5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09:33:00-0600',mode:absolute,to:'2016-07-07 10:20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6" s="106" t="str">
        <f t="shared" si="6"/>
        <v>N</v>
      </c>
      <c r="X56" s="106">
        <f t="shared" si="7"/>
        <v>1</v>
      </c>
      <c r="Y56" s="106">
        <f t="shared" si="8"/>
        <v>23.299800000000001</v>
      </c>
      <c r="Z56" s="106">
        <f t="shared" si="9"/>
        <v>3.6200000000000003E-2</v>
      </c>
      <c r="AA56" s="106">
        <f t="shared" si="10"/>
        <v>23.2636</v>
      </c>
      <c r="AB56" s="107" t="e">
        <f>VLOOKUP(A56,Enforcements!$C$7:$J$27,8,0)</f>
        <v>#N/A</v>
      </c>
      <c r="AC56" s="107" t="e">
        <f>VLOOKUP(A56,Enforcements!$C$7:$E$27,3,0)</f>
        <v>#N/A</v>
      </c>
      <c r="AD56" s="108" t="str">
        <f t="shared" si="11"/>
        <v>0142-07</v>
      </c>
      <c r="AE56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56" s="108" t="str">
        <f t="shared" si="13"/>
        <v>"C:\Program Files (x86)\AstroGrep\AstroGrep.exe" /spath="C:\Users\stu\Documents\Analysis\2016-02-23 RTDC Observations" /stypes="*4043*20160707*" /stext=" 15:.+((prompt.+disp)|(slice.+state.+chan)|(ment ac)|(system.+state.+chan)|(\|lc)|(penalty)|(\[timeout))" /e /r /s</v>
      </c>
    </row>
    <row r="57" spans="1:32" s="1" customFormat="1" x14ac:dyDescent="0.25">
      <c r="A57" s="62" t="s">
        <v>431</v>
      </c>
      <c r="B57" s="34">
        <v>4031</v>
      </c>
      <c r="C57" s="34" t="s">
        <v>60</v>
      </c>
      <c r="D57" s="34" t="s">
        <v>121</v>
      </c>
      <c r="E57" s="20">
        <v>42558.373749999999</v>
      </c>
      <c r="F57" s="20">
        <v>42558.374641203707</v>
      </c>
      <c r="G57" s="23">
        <v>1</v>
      </c>
      <c r="H57" s="20" t="s">
        <v>432</v>
      </c>
      <c r="I57" s="20">
        <v>42558.399976851855</v>
      </c>
      <c r="J57" s="34">
        <v>1</v>
      </c>
      <c r="K57" s="34" t="str">
        <f t="shared" si="2"/>
        <v>4031/4032</v>
      </c>
      <c r="L57" s="34" t="str">
        <f>VLOOKUP(A57,'Trips&amp;Operators'!$C$1:$E$10000,3,FALSE)</f>
        <v>MALAVE</v>
      </c>
      <c r="M57" s="6">
        <f t="shared" si="3"/>
        <v>2.5335648148029577E-2</v>
      </c>
      <c r="N57" s="7">
        <f t="shared" si="15"/>
        <v>36.483333333162591</v>
      </c>
      <c r="O57" s="7"/>
      <c r="P57" s="7"/>
      <c r="Q57" s="35"/>
      <c r="R57" s="35"/>
      <c r="S57" s="54">
        <f t="shared" si="14"/>
        <v>1</v>
      </c>
      <c r="T57" s="98" t="str">
        <f t="shared" si="4"/>
        <v>NorthBound</v>
      </c>
      <c r="U57" s="98">
        <f>COUNTIFS(Variables!$M$2:$M$19,IF(T57="NorthBound","&gt;=","&lt;=")&amp;Y57,Variables!$M$2:$M$19,IF(T57="NorthBound","&lt;=","&gt;=")&amp;Z57)</f>
        <v>12</v>
      </c>
      <c r="V5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08:57:12-0600',mode:absolute,to:'2016-07-07 09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7" s="106" t="str">
        <f t="shared" si="6"/>
        <v>N</v>
      </c>
      <c r="X57" s="106">
        <f t="shared" si="7"/>
        <v>1</v>
      </c>
      <c r="Y57" s="106">
        <f t="shared" si="8"/>
        <v>4.5100000000000001E-2</v>
      </c>
      <c r="Z57" s="106">
        <f t="shared" si="9"/>
        <v>23.328700000000001</v>
      </c>
      <c r="AA57" s="106">
        <f t="shared" si="10"/>
        <v>23.2836</v>
      </c>
      <c r="AB57" s="107" t="e">
        <f>VLOOKUP(A57,Enforcements!$C$7:$J$27,8,0)</f>
        <v>#N/A</v>
      </c>
      <c r="AC57" s="107" t="e">
        <f>VLOOKUP(A57,Enforcements!$C$7:$E$27,3,0)</f>
        <v>#N/A</v>
      </c>
      <c r="AD57" s="108" t="str">
        <f t="shared" si="11"/>
        <v>0143-07</v>
      </c>
      <c r="AE57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57" s="108" t="str">
        <f t="shared" si="13"/>
        <v>"C:\Program Files (x86)\AstroGrep\AstroGrep.exe" /spath="C:\Users\stu\Documents\Analysis\2016-02-23 RTDC Observations" /stypes="*4031*20160707*" /stext=" 14:.+((prompt.+disp)|(slice.+state.+chan)|(ment ac)|(system.+state.+chan)|(\|lc)|(penalty)|(\[timeout))" /e /r /s</v>
      </c>
    </row>
    <row r="58" spans="1:32" s="1" customFormat="1" x14ac:dyDescent="0.25">
      <c r="A58" s="62" t="s">
        <v>433</v>
      </c>
      <c r="B58" s="34">
        <v>4032</v>
      </c>
      <c r="C58" s="34" t="s">
        <v>60</v>
      </c>
      <c r="D58" s="34" t="s">
        <v>434</v>
      </c>
      <c r="E58" s="20">
        <v>42558.411736111113</v>
      </c>
      <c r="F58" s="20">
        <v>42558.414120370369</v>
      </c>
      <c r="G58" s="23">
        <v>3</v>
      </c>
      <c r="H58" s="20" t="s">
        <v>90</v>
      </c>
      <c r="I58" s="20">
        <v>42558.439780092594</v>
      </c>
      <c r="J58" s="34">
        <v>1</v>
      </c>
      <c r="K58" s="34" t="str">
        <f t="shared" si="2"/>
        <v>4031/4032</v>
      </c>
      <c r="L58" s="34" t="str">
        <f>VLOOKUP(A58,'Trips&amp;Operators'!$C$1:$E$10000,3,FALSE)</f>
        <v>MALAVE</v>
      </c>
      <c r="M58" s="6">
        <f t="shared" si="3"/>
        <v>2.5659722225100268E-2</v>
      </c>
      <c r="N58" s="7">
        <f t="shared" si="15"/>
        <v>36.950000004144385</v>
      </c>
      <c r="O58" s="7"/>
      <c r="P58" s="7"/>
      <c r="Q58" s="35"/>
      <c r="R58" s="35"/>
      <c r="S58" s="54">
        <f t="shared" si="14"/>
        <v>1</v>
      </c>
      <c r="T58" s="98" t="str">
        <f t="shared" si="4"/>
        <v>Southbound</v>
      </c>
      <c r="U58" s="98">
        <f>COUNTIFS(Variables!$M$2:$M$19,IF(T58="NorthBound","&gt;=","&lt;=")&amp;Y58,Variables!$M$2:$M$19,IF(T58="NorthBound","&lt;=","&gt;=")&amp;Z58)</f>
        <v>12</v>
      </c>
      <c r="V5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09:51:54-0600',mode:absolute,to:'2016-07-07 10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58" s="106" t="str">
        <f t="shared" si="6"/>
        <v>N</v>
      </c>
      <c r="X58" s="106">
        <f t="shared" si="7"/>
        <v>1</v>
      </c>
      <c r="Y58" s="106">
        <f t="shared" si="8"/>
        <v>23.2972</v>
      </c>
      <c r="Z58" s="106">
        <f t="shared" si="9"/>
        <v>1.4999999999999999E-2</v>
      </c>
      <c r="AA58" s="106">
        <f t="shared" si="10"/>
        <v>23.2822</v>
      </c>
      <c r="AB58" s="107" t="e">
        <f>VLOOKUP(A58,Enforcements!$C$7:$J$27,8,0)</f>
        <v>#N/A</v>
      </c>
      <c r="AC58" s="107" t="e">
        <f>VLOOKUP(A58,Enforcements!$C$7:$E$27,3,0)</f>
        <v>#N/A</v>
      </c>
      <c r="AD58" s="108" t="str">
        <f t="shared" si="11"/>
        <v>0144-07</v>
      </c>
      <c r="AE58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58" s="108" t="str">
        <f t="shared" si="13"/>
        <v>"C:\Program Files (x86)\AstroGrep\AstroGrep.exe" /spath="C:\Users\stu\Documents\Analysis\2016-02-23 RTDC Observations" /stypes="*4032*20160707*" /stext=" 15:.+((prompt.+disp)|(slice.+state.+chan)|(ment ac)|(system.+state.+chan)|(\|lc)|(penalty)|(\[timeout))" /e /r /s</v>
      </c>
    </row>
    <row r="59" spans="1:32" s="1" customFormat="1" x14ac:dyDescent="0.25">
      <c r="A59" s="62" t="s">
        <v>435</v>
      </c>
      <c r="B59" s="34">
        <v>4027</v>
      </c>
      <c r="C59" s="34" t="s">
        <v>60</v>
      </c>
      <c r="D59" s="34" t="s">
        <v>78</v>
      </c>
      <c r="E59" s="20">
        <v>42558.379803240743</v>
      </c>
      <c r="F59" s="20">
        <v>42558.381307870368</v>
      </c>
      <c r="G59" s="23">
        <v>2</v>
      </c>
      <c r="H59" s="20" t="s">
        <v>152</v>
      </c>
      <c r="I59" s="20">
        <v>42558.412824074076</v>
      </c>
      <c r="J59" s="34">
        <v>2</v>
      </c>
      <c r="K59" s="34" t="str">
        <f t="shared" si="2"/>
        <v>4027/4028</v>
      </c>
      <c r="L59" s="34" t="str">
        <f>VLOOKUP(A59,'Trips&amp;Operators'!$C$1:$E$10000,3,FALSE)</f>
        <v>STARKS</v>
      </c>
      <c r="M59" s="6">
        <f t="shared" si="3"/>
        <v>3.1516203707724344E-2</v>
      </c>
      <c r="N59" s="7">
        <f t="shared" si="15"/>
        <v>45.383333339123055</v>
      </c>
      <c r="O59" s="7"/>
      <c r="P59" s="7"/>
      <c r="Q59" s="35"/>
      <c r="R59" s="35"/>
      <c r="S59" s="54">
        <f t="shared" si="14"/>
        <v>1</v>
      </c>
      <c r="T59" s="98" t="str">
        <f t="shared" si="4"/>
        <v>NorthBound</v>
      </c>
      <c r="U59" s="98">
        <f>COUNTIFS(Variables!$M$2:$M$19,IF(T59="NorthBound","&gt;=","&lt;=")&amp;Y59,Variables!$M$2:$M$19,IF(T59="NorthBound","&lt;=","&gt;=")&amp;Z59)</f>
        <v>12</v>
      </c>
      <c r="V5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9" s="106" t="str">
        <f t="shared" si="6"/>
        <v>N</v>
      </c>
      <c r="X59" s="106">
        <f t="shared" si="7"/>
        <v>1</v>
      </c>
      <c r="Y59" s="106">
        <f t="shared" si="8"/>
        <v>4.6399999999999997E-2</v>
      </c>
      <c r="Z59" s="106">
        <f t="shared" si="9"/>
        <v>23.328800000000001</v>
      </c>
      <c r="AA59" s="106">
        <f t="shared" si="10"/>
        <v>23.282400000000003</v>
      </c>
      <c r="AB59" s="107" t="e">
        <f>VLOOKUP(A59,Enforcements!$C$7:$J$27,8,0)</f>
        <v>#N/A</v>
      </c>
      <c r="AC59" s="107" t="e">
        <f>VLOOKUP(A59,Enforcements!$C$7:$E$27,3,0)</f>
        <v>#N/A</v>
      </c>
      <c r="AD59" s="108" t="str">
        <f t="shared" si="11"/>
        <v>0145-07</v>
      </c>
      <c r="AE59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59" s="108" t="str">
        <f t="shared" si="13"/>
        <v>"C:\Program Files (x86)\AstroGrep\AstroGrep.exe" /spath="C:\Users\stu\Documents\Analysis\2016-02-23 RTDC Observations" /stypes="*4027*20160707*" /stext=" 15:.+((prompt.+disp)|(slice.+state.+chan)|(ment ac)|(system.+state.+chan)|(\|lc)|(penalty)|(\[timeout))" /e /r /s</v>
      </c>
    </row>
    <row r="60" spans="1:32" s="1" customFormat="1" x14ac:dyDescent="0.25">
      <c r="A60" s="62" t="s">
        <v>436</v>
      </c>
      <c r="B60" s="34">
        <v>4038</v>
      </c>
      <c r="C60" s="34" t="s">
        <v>60</v>
      </c>
      <c r="D60" s="34" t="s">
        <v>68</v>
      </c>
      <c r="E60" s="20">
        <v>42558.389201388891</v>
      </c>
      <c r="F60" s="20">
        <v>42558.390081018515</v>
      </c>
      <c r="G60" s="23">
        <v>1</v>
      </c>
      <c r="H60" s="20" t="s">
        <v>241</v>
      </c>
      <c r="I60" s="20">
        <v>42558.420381944445</v>
      </c>
      <c r="J60" s="34">
        <v>0</v>
      </c>
      <c r="K60" s="34" t="str">
        <f t="shared" si="2"/>
        <v>4037/4038</v>
      </c>
      <c r="L60" s="34" t="str">
        <f>VLOOKUP(A60,'Trips&amp;Operators'!$C$1:$E$10000,3,FALSE)</f>
        <v>YORK</v>
      </c>
      <c r="M60" s="6">
        <f t="shared" si="3"/>
        <v>3.030092592962319E-2</v>
      </c>
      <c r="N60" s="7">
        <f t="shared" si="15"/>
        <v>43.633333338657394</v>
      </c>
      <c r="O60" s="7"/>
      <c r="P60" s="7"/>
      <c r="Q60" s="35"/>
      <c r="R60" s="35"/>
      <c r="S60" s="54">
        <f t="shared" si="14"/>
        <v>1</v>
      </c>
      <c r="T60" s="98" t="str">
        <f t="shared" si="4"/>
        <v>NorthBound</v>
      </c>
      <c r="U60" s="98">
        <f>COUNTIFS(Variables!$M$2:$M$19,IF(T60="NorthBound","&gt;=","&lt;=")&amp;Y60,Variables!$M$2:$M$19,IF(T60="NorthBound","&lt;=","&gt;=")&amp;Z60)</f>
        <v>12</v>
      </c>
      <c r="V6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09:19:27-0600',mode:absolute,to:'2016-07-07 10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0" s="106" t="str">
        <f t="shared" si="6"/>
        <v>N</v>
      </c>
      <c r="X60" s="106">
        <f t="shared" si="7"/>
        <v>2</v>
      </c>
      <c r="Y60" s="106">
        <f t="shared" si="8"/>
        <v>4.5999999999999999E-2</v>
      </c>
      <c r="Z60" s="106">
        <f t="shared" si="9"/>
        <v>23.327999999999999</v>
      </c>
      <c r="AA60" s="106">
        <f t="shared" si="10"/>
        <v>23.282</v>
      </c>
      <c r="AB60" s="107" t="e">
        <f>VLOOKUP(A60,Enforcements!$C$7:$J$27,8,0)</f>
        <v>#N/A</v>
      </c>
      <c r="AC60" s="107" t="e">
        <f>VLOOKUP(A60,Enforcements!$C$7:$E$27,3,0)</f>
        <v>#N/A</v>
      </c>
      <c r="AD60" s="108" t="str">
        <f t="shared" si="11"/>
        <v>0147-07</v>
      </c>
      <c r="AE60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60" s="108" t="str">
        <f t="shared" si="13"/>
        <v>"C:\Program Files (x86)\AstroGrep\AstroGrep.exe" /spath="C:\Users\stu\Documents\Analysis\2016-02-23 RTDC Observations" /stypes="*4038*20160707*" /stext=" 15:.+((prompt.+disp)|(slice.+state.+chan)|(ment ac)|(system.+state.+chan)|(\|lc)|(penalty)|(\[timeout))" /e /r /s</v>
      </c>
    </row>
    <row r="61" spans="1:32" s="1" customFormat="1" x14ac:dyDescent="0.25">
      <c r="A61" s="62" t="s">
        <v>437</v>
      </c>
      <c r="B61" s="34">
        <v>4037</v>
      </c>
      <c r="C61" s="34" t="s">
        <v>60</v>
      </c>
      <c r="D61" s="34" t="s">
        <v>324</v>
      </c>
      <c r="E61" s="20">
        <v>42558.421412037038</v>
      </c>
      <c r="F61" s="20">
        <v>42558.422893518517</v>
      </c>
      <c r="G61" s="23">
        <v>2</v>
      </c>
      <c r="H61" s="20" t="s">
        <v>61</v>
      </c>
      <c r="I61" s="20">
        <v>42558.459837962961</v>
      </c>
      <c r="J61" s="34">
        <v>0</v>
      </c>
      <c r="K61" s="34" t="str">
        <f t="shared" si="2"/>
        <v>4037/4038</v>
      </c>
      <c r="L61" s="34" t="str">
        <f>VLOOKUP(A61,'Trips&amp;Operators'!$C$1:$E$10000,3,FALSE)</f>
        <v>YORK</v>
      </c>
      <c r="M61" s="6">
        <f t="shared" si="3"/>
        <v>3.6944444444088731E-2</v>
      </c>
      <c r="N61" s="7">
        <f t="shared" si="15"/>
        <v>53.199999999487773</v>
      </c>
      <c r="O61" s="7"/>
      <c r="P61" s="7"/>
      <c r="Q61" s="35"/>
      <c r="R61" s="35"/>
      <c r="S61" s="54">
        <f t="shared" si="14"/>
        <v>1</v>
      </c>
      <c r="T61" s="98" t="str">
        <f t="shared" si="4"/>
        <v>Southbound</v>
      </c>
      <c r="U61" s="98">
        <f>COUNTIFS(Variables!$M$2:$M$19,IF(T61="NorthBound","&gt;=","&lt;=")&amp;Y61,Variables!$M$2:$M$19,IF(T61="NorthBound","&lt;=","&gt;=")&amp;Z61)</f>
        <v>12</v>
      </c>
      <c r="V6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10:05:50-0600',mode:absolute,to:'2016-07-07 11:03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1" s="106" t="str">
        <f t="shared" si="6"/>
        <v>N</v>
      </c>
      <c r="X61" s="106">
        <f t="shared" si="7"/>
        <v>1</v>
      </c>
      <c r="Y61" s="106">
        <f t="shared" si="8"/>
        <v>23.295999999999999</v>
      </c>
      <c r="Z61" s="106">
        <f t="shared" si="9"/>
        <v>1.4500000000000001E-2</v>
      </c>
      <c r="AA61" s="106">
        <f t="shared" si="10"/>
        <v>23.281499999999998</v>
      </c>
      <c r="AB61" s="107" t="e">
        <f>VLOOKUP(A61,Enforcements!$C$7:$J$27,8,0)</f>
        <v>#N/A</v>
      </c>
      <c r="AC61" s="107" t="e">
        <f>VLOOKUP(A61,Enforcements!$C$7:$E$27,3,0)</f>
        <v>#N/A</v>
      </c>
      <c r="AD61" s="108" t="str">
        <f t="shared" si="11"/>
        <v>0148-07</v>
      </c>
      <c r="AE61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61" s="108" t="str">
        <f t="shared" si="13"/>
        <v>"C:\Program Files (x86)\AstroGrep\AstroGrep.exe" /spath="C:\Users\stu\Documents\Analysis\2016-02-23 RTDC Observations" /stypes="*4037*20160707*" /stext=" 16:.+((prompt.+disp)|(slice.+state.+chan)|(ment ac)|(system.+state.+chan)|(\|lc)|(penalty)|(\[timeout))" /e /r /s</v>
      </c>
    </row>
    <row r="62" spans="1:32" s="1" customFormat="1" x14ac:dyDescent="0.25">
      <c r="A62" s="62" t="s">
        <v>438</v>
      </c>
      <c r="B62" s="34">
        <v>4018</v>
      </c>
      <c r="C62" s="34" t="s">
        <v>60</v>
      </c>
      <c r="D62" s="34" t="s">
        <v>127</v>
      </c>
      <c r="E62" s="20">
        <v>42558.403287037036</v>
      </c>
      <c r="F62" s="20">
        <v>42558.404236111113</v>
      </c>
      <c r="G62" s="23">
        <v>1</v>
      </c>
      <c r="H62" s="20" t="s">
        <v>181</v>
      </c>
      <c r="I62" s="20">
        <v>42558.431354166663</v>
      </c>
      <c r="J62" s="34">
        <v>0</v>
      </c>
      <c r="K62" s="34" t="str">
        <f t="shared" si="2"/>
        <v>4017/4018</v>
      </c>
      <c r="L62" s="34" t="str">
        <f>VLOOKUP(A62,'Trips&amp;Operators'!$C$1:$E$10000,3,FALSE)</f>
        <v>KILLION</v>
      </c>
      <c r="M62" s="6">
        <f t="shared" si="3"/>
        <v>2.7118055550090503E-2</v>
      </c>
      <c r="N62" s="7">
        <f t="shared" si="15"/>
        <v>39.049999992130324</v>
      </c>
      <c r="O62" s="7"/>
      <c r="P62" s="7"/>
      <c r="Q62" s="35"/>
      <c r="R62" s="35"/>
      <c r="S62" s="54">
        <f t="shared" si="14"/>
        <v>1</v>
      </c>
      <c r="T62" s="98" t="str">
        <f t="shared" si="4"/>
        <v>NorthBound</v>
      </c>
      <c r="U62" s="98">
        <f>COUNTIFS(Variables!$M$2:$M$19,IF(T62="NorthBound","&gt;=","&lt;=")&amp;Y62,Variables!$M$2:$M$19,IF(T62="NorthBound","&lt;=","&gt;=")&amp;Z62)</f>
        <v>12</v>
      </c>
      <c r="V6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09:39:44-0600',mode:absolute,to:'2016-07-07 10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2" s="106" t="str">
        <f t="shared" si="6"/>
        <v>N</v>
      </c>
      <c r="X62" s="106">
        <f t="shared" si="7"/>
        <v>1</v>
      </c>
      <c r="Y62" s="106">
        <f t="shared" si="8"/>
        <v>4.6600000000000003E-2</v>
      </c>
      <c r="Z62" s="106">
        <f t="shared" si="9"/>
        <v>23.3307</v>
      </c>
      <c r="AA62" s="106">
        <f t="shared" si="10"/>
        <v>23.284099999999999</v>
      </c>
      <c r="AB62" s="107" t="e">
        <f>VLOOKUP(A62,Enforcements!$C$7:$J$27,8,0)</f>
        <v>#N/A</v>
      </c>
      <c r="AC62" s="107" t="e">
        <f>VLOOKUP(A62,Enforcements!$C$7:$E$27,3,0)</f>
        <v>#N/A</v>
      </c>
      <c r="AD62" s="108" t="str">
        <f t="shared" si="11"/>
        <v>0149-07</v>
      </c>
      <c r="AE62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62" s="108" t="str">
        <f t="shared" si="13"/>
        <v>"C:\Program Files (x86)\AstroGrep\AstroGrep.exe" /spath="C:\Users\stu\Documents\Analysis\2016-02-23 RTDC Observations" /stypes="*4018*20160707*" /stext=" 15:.+((prompt.+disp)|(slice.+state.+chan)|(ment ac)|(system.+state.+chan)|(\|lc)|(penalty)|(\[timeout))" /e /r /s</v>
      </c>
    </row>
    <row r="63" spans="1:32" s="1" customFormat="1" x14ac:dyDescent="0.25">
      <c r="A63" s="82" t="s">
        <v>439</v>
      </c>
      <c r="B63" s="34">
        <v>4017</v>
      </c>
      <c r="C63" s="34" t="s">
        <v>60</v>
      </c>
      <c r="D63" s="34" t="s">
        <v>226</v>
      </c>
      <c r="E63" s="20">
        <v>42558.432997685188</v>
      </c>
      <c r="F63" s="20">
        <v>42558.433634259258</v>
      </c>
      <c r="G63" s="23">
        <v>0</v>
      </c>
      <c r="H63" s="20" t="s">
        <v>116</v>
      </c>
      <c r="I63" s="20">
        <v>42558.470752314817</v>
      </c>
      <c r="J63" s="34">
        <v>0</v>
      </c>
      <c r="K63" s="34" t="str">
        <f t="shared" si="2"/>
        <v>4017/4018</v>
      </c>
      <c r="L63" s="34" t="str">
        <f>VLOOKUP(A63,'Trips&amp;Operators'!$C$1:$E$10000,3,FALSE)</f>
        <v>KILLION</v>
      </c>
      <c r="M63" s="6">
        <f t="shared" si="3"/>
        <v>3.7118055559403729E-2</v>
      </c>
      <c r="N63" s="7">
        <f t="shared" si="15"/>
        <v>53.450000005541369</v>
      </c>
      <c r="O63" s="7"/>
      <c r="P63" s="7"/>
      <c r="Q63" s="35"/>
      <c r="R63" s="35"/>
      <c r="S63" s="54">
        <f t="shared" si="14"/>
        <v>1</v>
      </c>
      <c r="T63" s="98" t="str">
        <f t="shared" si="4"/>
        <v>Southbound</v>
      </c>
      <c r="U63" s="98">
        <f>COUNTIFS(Variables!$M$2:$M$19,IF(T63="NorthBound","&gt;=","&lt;=")&amp;Y63,Variables!$M$2:$M$19,IF(T63="NorthBound","&lt;=","&gt;=")&amp;Z63)</f>
        <v>12</v>
      </c>
      <c r="V6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10:22:31-0600',mode:absolute,to:'2016-07-07 11:18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3" s="106" t="str">
        <f t="shared" si="6"/>
        <v>N</v>
      </c>
      <c r="X63" s="106">
        <f t="shared" si="7"/>
        <v>1</v>
      </c>
      <c r="Y63" s="106">
        <f t="shared" si="8"/>
        <v>23.2988</v>
      </c>
      <c r="Z63" s="106">
        <f t="shared" si="9"/>
        <v>1.43E-2</v>
      </c>
      <c r="AA63" s="106">
        <f t="shared" si="10"/>
        <v>23.284500000000001</v>
      </c>
      <c r="AB63" s="107" t="e">
        <f>VLOOKUP(A63,Enforcements!$C$7:$J$27,8,0)</f>
        <v>#N/A</v>
      </c>
      <c r="AC63" s="107" t="e">
        <f>VLOOKUP(A63,Enforcements!$C$7:$E$27,3,0)</f>
        <v>#N/A</v>
      </c>
      <c r="AD63" s="108" t="str">
        <f t="shared" si="11"/>
        <v>0150-07</v>
      </c>
      <c r="AE63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63" s="108" t="str">
        <f t="shared" si="13"/>
        <v>"C:\Program Files (x86)\AstroGrep\AstroGrep.exe" /spath="C:\Users\stu\Documents\Analysis\2016-02-23 RTDC Observations" /stypes="*4017*20160707*" /stext=" 16:.+((prompt.+disp)|(slice.+state.+chan)|(ment ac)|(system.+state.+chan)|(\|lc)|(penalty)|(\[timeout))" /e /r /s</v>
      </c>
    </row>
    <row r="64" spans="1:32" s="1" customFormat="1" x14ac:dyDescent="0.25">
      <c r="A64" s="62" t="s">
        <v>440</v>
      </c>
      <c r="B64" s="34">
        <v>4011</v>
      </c>
      <c r="C64" s="34" t="s">
        <v>60</v>
      </c>
      <c r="D64" s="34" t="s">
        <v>441</v>
      </c>
      <c r="E64" s="20">
        <v>42558.411828703705</v>
      </c>
      <c r="F64" s="20">
        <v>42558.412789351853</v>
      </c>
      <c r="G64" s="23">
        <v>1</v>
      </c>
      <c r="H64" s="20" t="s">
        <v>172</v>
      </c>
      <c r="I64" s="20">
        <v>42558.442303240743</v>
      </c>
      <c r="J64" s="34">
        <v>1</v>
      </c>
      <c r="K64" s="34" t="str">
        <f t="shared" si="2"/>
        <v>4011/4012</v>
      </c>
      <c r="L64" s="34" t="str">
        <f>VLOOKUP(A64,'Trips&amp;Operators'!$C$1:$E$10000,3,FALSE)</f>
        <v>MAELZER</v>
      </c>
      <c r="M64" s="6">
        <f t="shared" si="3"/>
        <v>2.9513888890505768E-2</v>
      </c>
      <c r="N64" s="7">
        <f t="shared" si="15"/>
        <v>42.500000002328306</v>
      </c>
      <c r="O64" s="7"/>
      <c r="P64" s="7"/>
      <c r="Q64" s="35"/>
      <c r="R64" s="35"/>
      <c r="S64" s="54">
        <f t="shared" si="14"/>
        <v>1</v>
      </c>
      <c r="T64" s="98" t="str">
        <f t="shared" si="4"/>
        <v>NorthBound</v>
      </c>
      <c r="U64" s="98">
        <f>COUNTIFS(Variables!$M$2:$M$19,IF(T64="NorthBound","&gt;=","&lt;=")&amp;Y64,Variables!$M$2:$M$19,IF(T64="NorthBound","&lt;=","&gt;=")&amp;Z64)</f>
        <v>12</v>
      </c>
      <c r="V6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09:52:02-0600',mode:absolute,to:'2016-07-07 10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4" s="106" t="str">
        <f t="shared" si="6"/>
        <v>N</v>
      </c>
      <c r="X64" s="106">
        <f t="shared" si="7"/>
        <v>1</v>
      </c>
      <c r="Y64" s="106">
        <f t="shared" si="8"/>
        <v>4.2900000000000001E-2</v>
      </c>
      <c r="Z64" s="106">
        <f t="shared" si="9"/>
        <v>23.330200000000001</v>
      </c>
      <c r="AA64" s="106">
        <f t="shared" si="10"/>
        <v>23.287300000000002</v>
      </c>
      <c r="AB64" s="107" t="e">
        <f>VLOOKUP(A64,Enforcements!$C$7:$J$27,8,0)</f>
        <v>#N/A</v>
      </c>
      <c r="AC64" s="107" t="e">
        <f>VLOOKUP(A64,Enforcements!$C$7:$E$27,3,0)</f>
        <v>#N/A</v>
      </c>
      <c r="AD64" s="108" t="str">
        <f t="shared" si="11"/>
        <v>0151-07</v>
      </c>
      <c r="AE64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64" s="108" t="str">
        <f t="shared" si="13"/>
        <v>"C:\Program Files (x86)\AstroGrep\AstroGrep.exe" /spath="C:\Users\stu\Documents\Analysis\2016-02-23 RTDC Observations" /stypes="*4011*20160707*" /stext=" 15:.+((prompt.+disp)|(slice.+state.+chan)|(ment ac)|(system.+state.+chan)|(\|lc)|(penalty)|(\[timeout))" /e /r /s</v>
      </c>
    </row>
    <row r="65" spans="1:32" s="1" customFormat="1" x14ac:dyDescent="0.25">
      <c r="A65" s="62" t="s">
        <v>442</v>
      </c>
      <c r="B65" s="34">
        <v>4012</v>
      </c>
      <c r="C65" s="34" t="s">
        <v>60</v>
      </c>
      <c r="D65" s="34" t="s">
        <v>183</v>
      </c>
      <c r="E65" s="20">
        <v>42558.451145833336</v>
      </c>
      <c r="F65" s="20">
        <v>42558.452152777776</v>
      </c>
      <c r="G65" s="23">
        <v>1</v>
      </c>
      <c r="H65" s="20" t="s">
        <v>73</v>
      </c>
      <c r="I65" s="20">
        <v>42558.481504629628</v>
      </c>
      <c r="J65" s="34">
        <v>0</v>
      </c>
      <c r="K65" s="34" t="str">
        <f t="shared" si="2"/>
        <v>4011/4012</v>
      </c>
      <c r="L65" s="34" t="str">
        <f>VLOOKUP(A65,'Trips&amp;Operators'!$C$1:$E$10000,3,FALSE)</f>
        <v>MAELZER</v>
      </c>
      <c r="M65" s="6">
        <f t="shared" si="3"/>
        <v>2.9351851851970423E-2</v>
      </c>
      <c r="N65" s="7">
        <f t="shared" si="15"/>
        <v>42.266666666837409</v>
      </c>
      <c r="O65" s="7"/>
      <c r="P65" s="7"/>
      <c r="Q65" s="35"/>
      <c r="R65" s="35"/>
      <c r="S65" s="54">
        <f t="shared" si="14"/>
        <v>1</v>
      </c>
      <c r="T65" s="98" t="str">
        <f t="shared" si="4"/>
        <v>Southbound</v>
      </c>
      <c r="U65" s="98">
        <f>COUNTIFS(Variables!$M$2:$M$19,IF(T65="NorthBound","&gt;=","&lt;=")&amp;Y65,Variables!$M$2:$M$19,IF(T65="NorthBound","&lt;=","&gt;=")&amp;Z65)</f>
        <v>12</v>
      </c>
      <c r="V6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10:48:39-0600',mode:absolute,to:'2016-07-07 11:34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5" s="106" t="str">
        <f t="shared" si="6"/>
        <v>N</v>
      </c>
      <c r="X65" s="106">
        <f t="shared" si="7"/>
        <v>1</v>
      </c>
      <c r="Y65" s="106">
        <f t="shared" si="8"/>
        <v>23.299399999999999</v>
      </c>
      <c r="Z65" s="106">
        <f t="shared" si="9"/>
        <v>1.49E-2</v>
      </c>
      <c r="AA65" s="106">
        <f t="shared" si="10"/>
        <v>23.284499999999998</v>
      </c>
      <c r="AB65" s="107" t="e">
        <f>VLOOKUP(A65,Enforcements!$C$7:$J$27,8,0)</f>
        <v>#N/A</v>
      </c>
      <c r="AC65" s="107" t="e">
        <f>VLOOKUP(A65,Enforcements!$C$7:$E$27,3,0)</f>
        <v>#N/A</v>
      </c>
      <c r="AD65" s="108" t="str">
        <f t="shared" si="11"/>
        <v>0152-07</v>
      </c>
      <c r="AE65" s="108" t="str">
        <f t="shared" si="12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65" s="108" t="str">
        <f t="shared" si="13"/>
        <v>"C:\Program Files (x86)\AstroGrep\AstroGrep.exe" /spath="C:\Users\stu\Documents\Analysis\2016-02-23 RTDC Observations" /stypes="*4012*20160707*" /stext=" 16:.+((prompt.+disp)|(slice.+state.+chan)|(ment ac)|(system.+state.+chan)|(\|lc)|(penalty)|(\[timeout))" /e /r /s</v>
      </c>
    </row>
    <row r="66" spans="1:32" s="1" customFormat="1" x14ac:dyDescent="0.25">
      <c r="A66" s="62" t="s">
        <v>443</v>
      </c>
      <c r="B66" s="34">
        <v>4007</v>
      </c>
      <c r="C66" s="34" t="s">
        <v>60</v>
      </c>
      <c r="D66" s="34" t="s">
        <v>331</v>
      </c>
      <c r="E66" s="20">
        <v>42558.425405092596</v>
      </c>
      <c r="F66" s="20">
        <v>42558.426562499997</v>
      </c>
      <c r="G66" s="23">
        <v>1</v>
      </c>
      <c r="H66" s="20" t="s">
        <v>181</v>
      </c>
      <c r="I66" s="20">
        <v>42558.45144675926</v>
      </c>
      <c r="J66" s="34">
        <v>1</v>
      </c>
      <c r="K66" s="34" t="str">
        <f t="shared" si="2"/>
        <v>4007/4008</v>
      </c>
      <c r="L66" s="34" t="str">
        <f>VLOOKUP(A66,'Trips&amp;Operators'!$C$1:$E$10000,3,FALSE)</f>
        <v>ROCHA</v>
      </c>
      <c r="M66" s="6">
        <f t="shared" si="3"/>
        <v>2.4884259262762498E-2</v>
      </c>
      <c r="N66" s="7">
        <f t="shared" si="15"/>
        <v>35.833333338377997</v>
      </c>
      <c r="O66" s="7"/>
      <c r="P66" s="7"/>
      <c r="Q66" s="35"/>
      <c r="R66" s="35"/>
      <c r="S66" s="54">
        <f t="shared" si="14"/>
        <v>1</v>
      </c>
      <c r="T66" s="98" t="str">
        <f t="shared" si="4"/>
        <v>NorthBound</v>
      </c>
      <c r="U66" s="98">
        <f>COUNTIFS(Variables!$M$2:$M$19,IF(T66="NorthBound","&gt;=","&lt;=")&amp;Y66,Variables!$M$2:$M$19,IF(T66="NorthBound","&lt;=","&gt;=")&amp;Z66)</f>
        <v>12</v>
      </c>
      <c r="V6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10:11:35-0600',mode:absolute,to:'2016-07-07 10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66" s="106" t="str">
        <f t="shared" si="6"/>
        <v>N</v>
      </c>
      <c r="X66" s="106">
        <f t="shared" si="7"/>
        <v>1</v>
      </c>
      <c r="Y66" s="106">
        <f t="shared" si="8"/>
        <v>4.6699999999999998E-2</v>
      </c>
      <c r="Z66" s="106">
        <f t="shared" si="9"/>
        <v>23.3307</v>
      </c>
      <c r="AA66" s="106">
        <f t="shared" si="10"/>
        <v>23.283999999999999</v>
      </c>
      <c r="AB66" s="107" t="e">
        <f>VLOOKUP(A66,Enforcements!$C$7:$J$27,8,0)</f>
        <v>#N/A</v>
      </c>
      <c r="AC66" s="107" t="e">
        <f>VLOOKUP(A66,Enforcements!$C$7:$E$27,3,0)</f>
        <v>#N/A</v>
      </c>
      <c r="AD66" s="108" t="str">
        <f t="shared" si="11"/>
        <v>0153-07</v>
      </c>
      <c r="AE66" s="108" t="str">
        <f t="shared" si="12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66" s="108" t="str">
        <f t="shared" si="13"/>
        <v>"C:\Program Files (x86)\AstroGrep\AstroGrep.exe" /spath="C:\Users\stu\Documents\Analysis\2016-02-23 RTDC Observations" /stypes="*4007*20160707*" /stext=" 16:.+((prompt.+disp)|(slice.+state.+chan)|(ment ac)|(system.+state.+chan)|(\|lc)|(penalty)|(\[timeout))" /e /r /s</v>
      </c>
    </row>
    <row r="67" spans="1:32" s="1" customFormat="1" x14ac:dyDescent="0.25">
      <c r="A67" s="62" t="s">
        <v>444</v>
      </c>
      <c r="B67" s="34">
        <v>4008</v>
      </c>
      <c r="C67" s="34" t="s">
        <v>60</v>
      </c>
      <c r="D67" s="34" t="s">
        <v>226</v>
      </c>
      <c r="E67" s="20">
        <v>42558.459803240738</v>
      </c>
      <c r="F67" s="20">
        <v>42558.462245370371</v>
      </c>
      <c r="G67" s="23">
        <v>3</v>
      </c>
      <c r="H67" s="20" t="s">
        <v>67</v>
      </c>
      <c r="I67" s="20">
        <v>42558.490960648145</v>
      </c>
      <c r="J67" s="34">
        <v>0</v>
      </c>
      <c r="K67" s="34" t="str">
        <f t="shared" si="2"/>
        <v>4007/4008</v>
      </c>
      <c r="L67" s="34" t="str">
        <f>VLOOKUP(A67,'Trips&amp;Operators'!$C$1:$E$10000,3,FALSE)</f>
        <v>ROCHA</v>
      </c>
      <c r="M67" s="6">
        <f t="shared" si="3"/>
        <v>2.8715277774608694E-2</v>
      </c>
      <c r="N67" s="7">
        <f t="shared" si="15"/>
        <v>41.349999995436519</v>
      </c>
      <c r="O67" s="7"/>
      <c r="P67" s="7"/>
      <c r="Q67" s="35"/>
      <c r="R67" s="35"/>
      <c r="S67" s="54">
        <f t="shared" si="14"/>
        <v>1</v>
      </c>
      <c r="T67" s="98" t="str">
        <f t="shared" si="4"/>
        <v>Southbound</v>
      </c>
      <c r="U67" s="98">
        <f>COUNTIFS(Variables!$M$2:$M$19,IF(T67="NorthBound","&gt;=","&lt;=")&amp;Y67,Variables!$M$2:$M$19,IF(T67="NorthBound","&lt;=","&gt;=")&amp;Z67)</f>
        <v>12</v>
      </c>
      <c r="V6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11:01:07-0600',mode:absolute,to:'2016-07-07 11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67" s="106" t="str">
        <f t="shared" si="6"/>
        <v>N</v>
      </c>
      <c r="X67" s="106">
        <f t="shared" si="7"/>
        <v>1</v>
      </c>
      <c r="Y67" s="106">
        <f t="shared" si="8"/>
        <v>23.2988</v>
      </c>
      <c r="Z67" s="106">
        <f t="shared" si="9"/>
        <v>1.47E-2</v>
      </c>
      <c r="AA67" s="106">
        <f t="shared" si="10"/>
        <v>23.284099999999999</v>
      </c>
      <c r="AB67" s="107" t="e">
        <f>VLOOKUP(A67,Enforcements!$C$7:$J$27,8,0)</f>
        <v>#N/A</v>
      </c>
      <c r="AC67" s="107" t="e">
        <f>VLOOKUP(A67,Enforcements!$C$7:$E$27,3,0)</f>
        <v>#N/A</v>
      </c>
      <c r="AD67" s="108" t="str">
        <f t="shared" si="11"/>
        <v>0154-07</v>
      </c>
      <c r="AE67" s="108" t="str">
        <f t="shared" si="12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67" s="108" t="str">
        <f t="shared" si="13"/>
        <v>"C:\Program Files (x86)\AstroGrep\AstroGrep.exe" /spath="C:\Users\stu\Documents\Analysis\2016-02-23 RTDC Observations" /stypes="*4008*20160707*" /stext=" 17:.+((prompt.+disp)|(slice.+state.+chan)|(ment ac)|(system.+state.+chan)|(\|lc)|(penalty)|(\[timeout))" /e /r /s</v>
      </c>
    </row>
    <row r="68" spans="1:32" s="1" customFormat="1" x14ac:dyDescent="0.25">
      <c r="A68" s="62" t="s">
        <v>445</v>
      </c>
      <c r="B68" s="34">
        <v>4044</v>
      </c>
      <c r="C68" s="34" t="s">
        <v>60</v>
      </c>
      <c r="D68" s="34" t="s">
        <v>330</v>
      </c>
      <c r="E68" s="20">
        <v>42558.433969907404</v>
      </c>
      <c r="F68" s="20">
        <v>42558.435208333336</v>
      </c>
      <c r="G68" s="23">
        <v>1</v>
      </c>
      <c r="H68" s="20" t="s">
        <v>325</v>
      </c>
      <c r="I68" s="20">
        <v>42558.462268518517</v>
      </c>
      <c r="J68" s="34">
        <v>0</v>
      </c>
      <c r="K68" s="34" t="str">
        <f t="shared" si="2"/>
        <v>4043/4044</v>
      </c>
      <c r="L68" s="34" t="str">
        <f>VLOOKUP(A68,'Trips&amp;Operators'!$C$1:$E$10000,3,FALSE)</f>
        <v>MOSES</v>
      </c>
      <c r="M68" s="6">
        <f t="shared" si="3"/>
        <v>2.7060185180744156E-2</v>
      </c>
      <c r="N68" s="7">
        <f t="shared" si="15"/>
        <v>38.966666660271585</v>
      </c>
      <c r="O68" s="7"/>
      <c r="P68" s="7"/>
      <c r="Q68" s="35"/>
      <c r="R68" s="35"/>
      <c r="S68" s="54">
        <f t="shared" si="14"/>
        <v>1</v>
      </c>
      <c r="T68" s="98" t="str">
        <f t="shared" si="4"/>
        <v>NorthBound</v>
      </c>
      <c r="U68" s="98">
        <f>COUNTIFS(Variables!$M$2:$M$19,IF(T68="NorthBound","&gt;=","&lt;=")&amp;Y68,Variables!$M$2:$M$19,IF(T68="NorthBound","&lt;=","&gt;=")&amp;Z68)</f>
        <v>12</v>
      </c>
      <c r="V6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10:23:55-0600',mode:absolute,to:'2016-07-07 11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8" s="106" t="str">
        <f t="shared" si="6"/>
        <v>N</v>
      </c>
      <c r="X68" s="106">
        <f t="shared" si="7"/>
        <v>1</v>
      </c>
      <c r="Y68" s="106">
        <f t="shared" si="8"/>
        <v>5.04E-2</v>
      </c>
      <c r="Z68" s="106">
        <f t="shared" si="9"/>
        <v>23.330400000000001</v>
      </c>
      <c r="AA68" s="106">
        <f t="shared" si="10"/>
        <v>23.28</v>
      </c>
      <c r="AB68" s="107" t="e">
        <f>VLOOKUP(A68,Enforcements!$C$7:$J$27,8,0)</f>
        <v>#N/A</v>
      </c>
      <c r="AC68" s="107" t="e">
        <f>VLOOKUP(A68,Enforcements!$C$7:$E$27,3,0)</f>
        <v>#N/A</v>
      </c>
      <c r="AD68" s="108" t="str">
        <f t="shared" si="11"/>
        <v>0155-07</v>
      </c>
      <c r="AE68" s="108" t="str">
        <f t="shared" si="12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68" s="108" t="str">
        <f t="shared" si="13"/>
        <v>"C:\Program Files (x86)\AstroGrep\AstroGrep.exe" /spath="C:\Users\stu\Documents\Analysis\2016-02-23 RTDC Observations" /stypes="*4044*20160707*" /stext=" 16:.+((prompt.+disp)|(slice.+state.+chan)|(ment ac)|(system.+state.+chan)|(\|lc)|(penalty)|(\[timeout))" /e /r /s</v>
      </c>
    </row>
    <row r="69" spans="1:32" s="1" customFormat="1" x14ac:dyDescent="0.25">
      <c r="A69" s="62" t="s">
        <v>446</v>
      </c>
      <c r="B69" s="34">
        <v>4043</v>
      </c>
      <c r="C69" s="34" t="s">
        <v>60</v>
      </c>
      <c r="D69" s="34" t="s">
        <v>183</v>
      </c>
      <c r="E69" s="20">
        <v>42558.470590277779</v>
      </c>
      <c r="F69" s="20">
        <v>42558.472256944442</v>
      </c>
      <c r="G69" s="23">
        <v>2</v>
      </c>
      <c r="H69" s="20" t="s">
        <v>447</v>
      </c>
      <c r="I69" s="20">
        <v>42558.501967592594</v>
      </c>
      <c r="J69" s="34">
        <v>1</v>
      </c>
      <c r="K69" s="34" t="str">
        <f t="shared" si="2"/>
        <v>4043/4044</v>
      </c>
      <c r="L69" s="34" t="str">
        <f>VLOOKUP(A69,'Trips&amp;Operators'!$C$1:$E$10000,3,FALSE)</f>
        <v>MOSES</v>
      </c>
      <c r="M69" s="6">
        <f t="shared" si="3"/>
        <v>2.9710648152104113E-2</v>
      </c>
      <c r="N69" s="7">
        <f t="shared" si="15"/>
        <v>42.783333339029923</v>
      </c>
      <c r="O69" s="7"/>
      <c r="P69" s="7"/>
      <c r="Q69" s="35"/>
      <c r="R69" s="35"/>
      <c r="S69" s="54">
        <f t="shared" si="14"/>
        <v>1</v>
      </c>
      <c r="T69" s="98" t="str">
        <f t="shared" si="4"/>
        <v>Southbound</v>
      </c>
      <c r="U69" s="98">
        <f>COUNTIFS(Variables!$M$2:$M$19,IF(T69="NorthBound","&gt;=","&lt;=")&amp;Y69,Variables!$M$2:$M$19,IF(T69="NorthBound","&lt;=","&gt;=")&amp;Z69)</f>
        <v>12</v>
      </c>
      <c r="V69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11:16:39-0600',mode:absolute,to:'2016-07-07 12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9" s="106" t="str">
        <f t="shared" si="6"/>
        <v>N</v>
      </c>
      <c r="X69" s="106">
        <f t="shared" si="7"/>
        <v>1</v>
      </c>
      <c r="Y69" s="106">
        <f t="shared" si="8"/>
        <v>23.299399999999999</v>
      </c>
      <c r="Z69" s="106">
        <f t="shared" si="9"/>
        <v>3.9100000000000003E-2</v>
      </c>
      <c r="AA69" s="106">
        <f t="shared" si="10"/>
        <v>23.260299999999997</v>
      </c>
      <c r="AB69" s="107" t="e">
        <f>VLOOKUP(A69,Enforcements!$C$7:$J$27,8,0)</f>
        <v>#N/A</v>
      </c>
      <c r="AC69" s="107" t="e">
        <f>VLOOKUP(A69,Enforcements!$C$7:$E$27,3,0)</f>
        <v>#N/A</v>
      </c>
      <c r="AD69" s="108" t="str">
        <f t="shared" si="11"/>
        <v>0156-07</v>
      </c>
      <c r="AE69" s="108" t="str">
        <f t="shared" si="12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69" s="108" t="str">
        <f t="shared" si="13"/>
        <v>"C:\Program Files (x86)\AstroGrep\AstroGrep.exe" /spath="C:\Users\stu\Documents\Analysis\2016-02-23 RTDC Observations" /stypes="*4043*20160707*" /stext=" 17:.+((prompt.+disp)|(slice.+state.+chan)|(ment ac)|(system.+state.+chan)|(\|lc)|(penalty)|(\[timeout))" /e /r /s</v>
      </c>
    </row>
    <row r="70" spans="1:32" s="1" customFormat="1" x14ac:dyDescent="0.25">
      <c r="A70" s="62" t="s">
        <v>448</v>
      </c>
      <c r="B70" s="34">
        <v>4031</v>
      </c>
      <c r="C70" s="34" t="s">
        <v>60</v>
      </c>
      <c r="D70" s="34" t="s">
        <v>449</v>
      </c>
      <c r="E70" s="20">
        <v>42558.442870370367</v>
      </c>
      <c r="F70" s="20">
        <v>42558.444050925929</v>
      </c>
      <c r="G70" s="23">
        <v>1</v>
      </c>
      <c r="H70" s="20" t="s">
        <v>240</v>
      </c>
      <c r="I70" s="20">
        <v>42558.473182870373</v>
      </c>
      <c r="J70" s="34">
        <v>0</v>
      </c>
      <c r="K70" s="34" t="str">
        <f t="shared" si="2"/>
        <v>4031/4032</v>
      </c>
      <c r="L70" s="34" t="str">
        <f>VLOOKUP(A70,'Trips&amp;Operators'!$C$1:$E$10000,3,FALSE)</f>
        <v>STEWART</v>
      </c>
      <c r="M70" s="6">
        <f t="shared" si="3"/>
        <v>2.9131944444088731E-2</v>
      </c>
      <c r="N70" s="7">
        <f t="shared" si="15"/>
        <v>41.949999999487773</v>
      </c>
      <c r="O70" s="7"/>
      <c r="P70" s="7"/>
      <c r="Q70" s="35"/>
      <c r="R70" s="35"/>
      <c r="S70" s="54">
        <f t="shared" si="14"/>
        <v>1</v>
      </c>
      <c r="T70" s="98" t="str">
        <f t="shared" si="4"/>
        <v>NorthBound</v>
      </c>
      <c r="U70" s="98">
        <f>COUNTIFS(Variables!$M$2:$M$19,IF(T70="NorthBound","&gt;=","&lt;=")&amp;Y70,Variables!$M$2:$M$19,IF(T70="NorthBound","&lt;=","&gt;=")&amp;Z70)</f>
        <v>12</v>
      </c>
      <c r="V70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10:36:44-0600',mode:absolute,to:'2016-07-07 11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0" s="106" t="str">
        <f t="shared" si="6"/>
        <v>N</v>
      </c>
      <c r="X70" s="106">
        <f t="shared" si="7"/>
        <v>1</v>
      </c>
      <c r="Y70" s="106">
        <f t="shared" si="8"/>
        <v>4.7699999999999999E-2</v>
      </c>
      <c r="Z70" s="106">
        <f t="shared" si="9"/>
        <v>23.329699999999999</v>
      </c>
      <c r="AA70" s="106">
        <f t="shared" si="10"/>
        <v>23.282</v>
      </c>
      <c r="AB70" s="107" t="e">
        <f>VLOOKUP(A70,Enforcements!$C$7:$J$27,8,0)</f>
        <v>#N/A</v>
      </c>
      <c r="AC70" s="107" t="e">
        <f>VLOOKUP(A70,Enforcements!$C$7:$E$27,3,0)</f>
        <v>#N/A</v>
      </c>
      <c r="AD70" s="108" t="str">
        <f t="shared" si="11"/>
        <v>0157-07</v>
      </c>
      <c r="AE70" s="108" t="str">
        <f t="shared" si="1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70" s="108" t="str">
        <f t="shared" si="13"/>
        <v>"C:\Program Files (x86)\AstroGrep\AstroGrep.exe" /spath="C:\Users\stu\Documents\Analysis\2016-02-23 RTDC Observations" /stypes="*4031*20160707*" /stext=" 16:.+((prompt.+disp)|(slice.+state.+chan)|(ment ac)|(system.+state.+chan)|(\|lc)|(penalty)|(\[timeout))" /e /r /s</v>
      </c>
    </row>
    <row r="71" spans="1:32" s="1" customFormat="1" x14ac:dyDescent="0.25">
      <c r="A71" s="62" t="s">
        <v>450</v>
      </c>
      <c r="B71" s="34">
        <v>4032</v>
      </c>
      <c r="C71" s="34" t="s">
        <v>60</v>
      </c>
      <c r="D71" s="34" t="s">
        <v>451</v>
      </c>
      <c r="E71" s="20">
        <v>42558.495127314818</v>
      </c>
      <c r="F71" s="20">
        <v>42558.496053240742</v>
      </c>
      <c r="G71" s="23">
        <v>1</v>
      </c>
      <c r="H71" s="20" t="s">
        <v>242</v>
      </c>
      <c r="I71" s="20">
        <v>42558.515983796293</v>
      </c>
      <c r="J71" s="34">
        <v>1</v>
      </c>
      <c r="K71" s="34" t="str">
        <f t="shared" si="2"/>
        <v>4031/4032</v>
      </c>
      <c r="L71" s="34" t="str">
        <f>VLOOKUP(A71,'Trips&amp;Operators'!$C$1:$E$10000,3,FALSE)</f>
        <v>STEWART</v>
      </c>
      <c r="M71" s="6">
        <f t="shared" si="3"/>
        <v>1.993055555067258E-2</v>
      </c>
      <c r="N71" s="7"/>
      <c r="O71" s="7"/>
      <c r="P71" s="7">
        <f t="shared" si="15"/>
        <v>28.699999992968515</v>
      </c>
      <c r="Q71" s="35"/>
      <c r="R71" s="35" t="s">
        <v>735</v>
      </c>
      <c r="S71" s="54">
        <f t="shared" si="14"/>
        <v>1</v>
      </c>
      <c r="T71" s="98" t="str">
        <f t="shared" si="4"/>
        <v>Southbound</v>
      </c>
      <c r="U71" s="98">
        <f>COUNTIFS(Variables!$M$2:$M$19,IF(T71="NorthBound","&gt;=","&lt;=")&amp;Y71,Variables!$M$2:$M$19,IF(T71="NorthBound","&lt;=","&gt;=")&amp;Z71)</f>
        <v>12</v>
      </c>
      <c r="V71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11:51:59-0600',mode:absolute,to:'2016-07-07 12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1" s="106" t="str">
        <f t="shared" si="6"/>
        <v>Y</v>
      </c>
      <c r="X71" s="106">
        <f t="shared" si="7"/>
        <v>1</v>
      </c>
      <c r="Y71" s="106">
        <f t="shared" si="8"/>
        <v>15.3996</v>
      </c>
      <c r="Z71" s="106">
        <f t="shared" si="9"/>
        <v>0.02</v>
      </c>
      <c r="AA71" s="106">
        <f t="shared" si="10"/>
        <v>15.3796</v>
      </c>
      <c r="AB71" s="107" t="e">
        <f>VLOOKUP(A71,Enforcements!$C$7:$J$27,8,0)</f>
        <v>#N/A</v>
      </c>
      <c r="AC71" s="107" t="e">
        <f>VLOOKUP(A71,Enforcements!$C$7:$E$27,3,0)</f>
        <v>#N/A</v>
      </c>
      <c r="AD71" s="108" t="str">
        <f t="shared" si="11"/>
        <v>0158-07</v>
      </c>
      <c r="AE71" s="108" t="str">
        <f t="shared" si="1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71" s="108" t="str">
        <f t="shared" si="13"/>
        <v>"C:\Program Files (x86)\AstroGrep\AstroGrep.exe" /spath="C:\Users\stu\Documents\Analysis\2016-02-23 RTDC Observations" /stypes="*4032*20160707*" /stext=" 17:.+((prompt.+disp)|(slice.+state.+chan)|(ment ac)|(system.+state.+chan)|(\|lc)|(penalty)|(\[timeout))" /e /r /s</v>
      </c>
    </row>
    <row r="72" spans="1:32" s="1" customFormat="1" x14ac:dyDescent="0.25">
      <c r="A72" s="62" t="s">
        <v>452</v>
      </c>
      <c r="B72" s="34">
        <v>4027</v>
      </c>
      <c r="C72" s="34" t="s">
        <v>60</v>
      </c>
      <c r="D72" s="34" t="s">
        <v>210</v>
      </c>
      <c r="E72" s="20">
        <v>42558.456574074073</v>
      </c>
      <c r="F72" s="20">
        <v>42558.457511574074</v>
      </c>
      <c r="G72" s="23">
        <v>1</v>
      </c>
      <c r="H72" s="20" t="s">
        <v>176</v>
      </c>
      <c r="I72" s="20">
        <v>42558.483425925922</v>
      </c>
      <c r="J72" s="34">
        <v>2</v>
      </c>
      <c r="K72" s="34" t="str">
        <f t="shared" si="2"/>
        <v>4027/4028</v>
      </c>
      <c r="L72" s="34" t="str">
        <f>VLOOKUP(A72,'Trips&amp;Operators'!$C$1:$E$10000,3,FALSE)</f>
        <v>MALAVE</v>
      </c>
      <c r="M72" s="6">
        <f t="shared" si="3"/>
        <v>2.5914351848769002E-2</v>
      </c>
      <c r="N72" s="7">
        <f t="shared" si="15"/>
        <v>37.316666662227362</v>
      </c>
      <c r="O72" s="7"/>
      <c r="P72" s="7"/>
      <c r="Q72" s="35"/>
      <c r="R72" s="35"/>
      <c r="S72" s="54">
        <f t="shared" si="14"/>
        <v>1</v>
      </c>
      <c r="T72" s="98" t="str">
        <f t="shared" si="4"/>
        <v>NorthBound</v>
      </c>
      <c r="U72" s="98">
        <f>COUNTIFS(Variables!$M$2:$M$19,IF(T72="NorthBound","&gt;=","&lt;=")&amp;Y72,Variables!$M$2:$M$19,IF(T72="NorthBound","&lt;=","&gt;=")&amp;Z72)</f>
        <v>12</v>
      </c>
      <c r="V72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10:56:28-0600',mode:absolute,to:'2016-07-07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2" s="106" t="str">
        <f t="shared" si="6"/>
        <v>N</v>
      </c>
      <c r="X72" s="106">
        <f t="shared" si="7"/>
        <v>1</v>
      </c>
      <c r="Y72" s="106">
        <f t="shared" si="8"/>
        <v>4.6199999999999998E-2</v>
      </c>
      <c r="Z72" s="106">
        <f t="shared" si="9"/>
        <v>23.33</v>
      </c>
      <c r="AA72" s="106">
        <f t="shared" si="10"/>
        <v>23.283799999999999</v>
      </c>
      <c r="AB72" s="107" t="e">
        <f>VLOOKUP(A72,Enforcements!$C$7:$J$27,8,0)</f>
        <v>#N/A</v>
      </c>
      <c r="AC72" s="107" t="e">
        <f>VLOOKUP(A72,Enforcements!$C$7:$E$27,3,0)</f>
        <v>#N/A</v>
      </c>
      <c r="AD72" s="108" t="str">
        <f t="shared" si="11"/>
        <v>0159-07</v>
      </c>
      <c r="AE72" s="108" t="str">
        <f t="shared" si="12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72" s="108" t="str">
        <f t="shared" si="13"/>
        <v>"C:\Program Files (x86)\AstroGrep\AstroGrep.exe" /spath="C:\Users\stu\Documents\Analysis\2016-02-23 RTDC Observations" /stypes="*4027*20160707*" /stext=" 16:.+((prompt.+disp)|(slice.+state.+chan)|(ment ac)|(system.+state.+chan)|(\|lc)|(penalty)|(\[timeout))" /e /r /s</v>
      </c>
    </row>
    <row r="73" spans="1:32" s="1" customFormat="1" x14ac:dyDescent="0.25">
      <c r="A73" s="62" t="s">
        <v>453</v>
      </c>
      <c r="B73" s="34">
        <v>4028</v>
      </c>
      <c r="C73" s="34" t="s">
        <v>60</v>
      </c>
      <c r="D73" s="34" t="s">
        <v>320</v>
      </c>
      <c r="E73" s="20">
        <v>42558.495196759257</v>
      </c>
      <c r="F73" s="20">
        <v>42558.49627314815</v>
      </c>
      <c r="G73" s="23">
        <v>1</v>
      </c>
      <c r="H73" s="20" t="s">
        <v>454</v>
      </c>
      <c r="I73" s="20">
        <v>42558.522430555553</v>
      </c>
      <c r="J73" s="34">
        <v>0</v>
      </c>
      <c r="K73" s="34" t="str">
        <f t="shared" si="2"/>
        <v>4027/4028</v>
      </c>
      <c r="L73" s="34" t="str">
        <f>VLOOKUP(A73,'Trips&amp;Operators'!$C$1:$E$10000,3,FALSE)</f>
        <v>MALAVE</v>
      </c>
      <c r="M73" s="6">
        <f t="shared" si="3"/>
        <v>2.6157407402934041E-2</v>
      </c>
      <c r="N73" s="7"/>
      <c r="O73" s="7"/>
      <c r="P73" s="7">
        <f t="shared" si="15"/>
        <v>37.666666660225019</v>
      </c>
      <c r="Q73" s="35"/>
      <c r="R73" s="35" t="s">
        <v>144</v>
      </c>
      <c r="S73" s="54">
        <f t="shared" si="14"/>
        <v>1</v>
      </c>
      <c r="T73" s="98" t="str">
        <f t="shared" si="4"/>
        <v>Southbound</v>
      </c>
      <c r="U73" s="98">
        <f>COUNTIFS(Variables!$M$2:$M$19,IF(T73="NorthBound","&gt;=","&lt;=")&amp;Y73,Variables!$M$2:$M$19,IF(T73="NorthBound","&lt;=","&gt;=")&amp;Z73)</f>
        <v>12</v>
      </c>
      <c r="V73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11:52:05-0600',mode:absolute,to:'2016-07-07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3" s="106" t="str">
        <f t="shared" si="6"/>
        <v>Y</v>
      </c>
      <c r="X73" s="106">
        <f t="shared" si="7"/>
        <v>1</v>
      </c>
      <c r="Y73" s="106">
        <f t="shared" si="8"/>
        <v>23.298100000000002</v>
      </c>
      <c r="Z73" s="106">
        <f t="shared" si="9"/>
        <v>0.61709999999999998</v>
      </c>
      <c r="AA73" s="106">
        <f t="shared" si="10"/>
        <v>22.681000000000001</v>
      </c>
      <c r="AB73" s="107" t="e">
        <f>VLOOKUP(A73,Enforcements!$C$7:$J$27,8,0)</f>
        <v>#N/A</v>
      </c>
      <c r="AC73" s="107" t="e">
        <f>VLOOKUP(A73,Enforcements!$C$7:$E$27,3,0)</f>
        <v>#N/A</v>
      </c>
      <c r="AD73" s="108" t="str">
        <f t="shared" si="11"/>
        <v>0160-07</v>
      </c>
      <c r="AE73" s="108" t="str">
        <f t="shared" si="12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73" s="108" t="str">
        <f t="shared" si="13"/>
        <v>"C:\Program Files (x86)\AstroGrep\AstroGrep.exe" /spath="C:\Users\stu\Documents\Analysis\2016-02-23 RTDC Observations" /stypes="*4028*20160707*" /stext=" 17:.+((prompt.+disp)|(slice.+state.+chan)|(ment ac)|(system.+state.+chan)|(\|lc)|(penalty)|(\[timeout))" /e /r /s</v>
      </c>
    </row>
    <row r="74" spans="1:32" s="1" customFormat="1" ht="16.5" customHeight="1" x14ac:dyDescent="0.25">
      <c r="A74" s="82" t="s">
        <v>455</v>
      </c>
      <c r="B74" s="34">
        <v>4038</v>
      </c>
      <c r="C74" s="34" t="s">
        <v>60</v>
      </c>
      <c r="D74" s="34" t="s">
        <v>122</v>
      </c>
      <c r="E74" s="20">
        <v>42558.464953703704</v>
      </c>
      <c r="F74" s="20">
        <v>42558.466192129628</v>
      </c>
      <c r="G74" s="20">
        <v>1</v>
      </c>
      <c r="H74" s="20" t="s">
        <v>337</v>
      </c>
      <c r="I74" s="20">
        <v>42558.49318287037</v>
      </c>
      <c r="J74" s="34">
        <v>0</v>
      </c>
      <c r="K74" s="34" t="str">
        <f t="shared" si="2"/>
        <v>4037/4038</v>
      </c>
      <c r="L74" s="34" t="str">
        <f>VLOOKUP(A74,'Trips&amp;Operators'!$C$1:$E$10000,3,FALSE)</f>
        <v>SPECTOR</v>
      </c>
      <c r="M74" s="6">
        <f t="shared" si="3"/>
        <v>2.6990740741894115E-2</v>
      </c>
      <c r="N74" s="7">
        <f t="shared" si="15"/>
        <v>38.866666668327525</v>
      </c>
      <c r="O74" s="7"/>
      <c r="P74" s="7"/>
      <c r="Q74" s="35"/>
      <c r="R74" s="35"/>
      <c r="S74" s="54">
        <f t="shared" si="14"/>
        <v>1</v>
      </c>
      <c r="T74" s="98" t="str">
        <f t="shared" si="4"/>
        <v>NorthBound</v>
      </c>
      <c r="U74" s="98">
        <f>COUNTIFS(Variables!$M$2:$M$19,IF(T74="NorthBound","&gt;=","&lt;=")&amp;Y74,Variables!$M$2:$M$19,IF(T74="NorthBound","&lt;=","&gt;=")&amp;Z74)</f>
        <v>12</v>
      </c>
      <c r="V74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11:08:32-0600',mode:absolute,to:'2016-07-07 11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4" s="106" t="str">
        <f t="shared" si="6"/>
        <v>N</v>
      </c>
      <c r="X74" s="106">
        <f t="shared" si="7"/>
        <v>1</v>
      </c>
      <c r="Y74" s="106">
        <f t="shared" si="8"/>
        <v>4.4400000000000002E-2</v>
      </c>
      <c r="Z74" s="106">
        <f t="shared" si="9"/>
        <v>23.332000000000001</v>
      </c>
      <c r="AA74" s="106">
        <f t="shared" si="10"/>
        <v>23.287600000000001</v>
      </c>
      <c r="AB74" s="107" t="e">
        <f>VLOOKUP(A74,Enforcements!$C$7:$J$27,8,0)</f>
        <v>#N/A</v>
      </c>
      <c r="AC74" s="107" t="e">
        <f>VLOOKUP(A74,Enforcements!$C$7:$E$27,3,0)</f>
        <v>#N/A</v>
      </c>
      <c r="AD74" s="108" t="str">
        <f t="shared" si="11"/>
        <v>0161-07</v>
      </c>
      <c r="AE74" s="108" t="str">
        <f t="shared" si="1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74" s="108" t="str">
        <f t="shared" si="13"/>
        <v>"C:\Program Files (x86)\AstroGrep\AstroGrep.exe" /spath="C:\Users\stu\Documents\Analysis\2016-02-23 RTDC Observations" /stypes="*4038*20160707*" /stext=" 17:.+((prompt.+disp)|(slice.+state.+chan)|(ment ac)|(system.+state.+chan)|(\|lc)|(penalty)|(\[timeout))" /e /r /s</v>
      </c>
    </row>
    <row r="75" spans="1:32" s="1" customFormat="1" x14ac:dyDescent="0.25">
      <c r="A75" s="62" t="s">
        <v>456</v>
      </c>
      <c r="B75" s="34">
        <v>4037</v>
      </c>
      <c r="C75" s="34" t="s">
        <v>60</v>
      </c>
      <c r="D75" s="34" t="s">
        <v>457</v>
      </c>
      <c r="E75" s="20">
        <v>42558.515185185184</v>
      </c>
      <c r="F75" s="20">
        <v>42558.516122685185</v>
      </c>
      <c r="G75" s="23">
        <v>1</v>
      </c>
      <c r="H75" s="20" t="s">
        <v>458</v>
      </c>
      <c r="I75" s="20">
        <v>42558.522430555553</v>
      </c>
      <c r="J75" s="34">
        <v>1</v>
      </c>
      <c r="K75" s="34" t="str">
        <f t="shared" si="2"/>
        <v>4037/4038</v>
      </c>
      <c r="L75" s="34" t="str">
        <f>VLOOKUP(A75,'Trips&amp;Operators'!$C$1:$E$10000,3,FALSE)</f>
        <v>SPECTOR</v>
      </c>
      <c r="M75" s="6">
        <f t="shared" si="3"/>
        <v>6.3078703678911552E-3</v>
      </c>
      <c r="N75" s="7"/>
      <c r="O75" s="7"/>
      <c r="P75" s="7">
        <f t="shared" si="15"/>
        <v>9.0833333297632635</v>
      </c>
      <c r="Q75" s="35"/>
      <c r="R75" s="35" t="s">
        <v>735</v>
      </c>
      <c r="S75" s="54">
        <f t="shared" si="14"/>
        <v>0</v>
      </c>
      <c r="T75" s="98" t="str">
        <f t="shared" si="4"/>
        <v>Southbound</v>
      </c>
      <c r="U75" s="98">
        <f>COUNTIFS(Variables!$M$2:$M$19,IF(T75="NorthBound","&gt;=","&lt;=")&amp;Y75,Variables!$M$2:$M$19,IF(T75="NorthBound","&lt;=","&gt;=")&amp;Z75)</f>
        <v>0</v>
      </c>
      <c r="V75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12:20:52-0600',mode:absolute,to:'2016-07-07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5" s="106" t="str">
        <f t="shared" si="6"/>
        <v>Y</v>
      </c>
      <c r="X75" s="106">
        <f t="shared" si="7"/>
        <v>1</v>
      </c>
      <c r="Y75" s="106">
        <f t="shared" si="8"/>
        <v>15.3988</v>
      </c>
      <c r="Z75" s="106">
        <f t="shared" si="9"/>
        <v>12.645300000000001</v>
      </c>
      <c r="AA75" s="106">
        <f t="shared" si="10"/>
        <v>2.7534999999999989</v>
      </c>
      <c r="AB75" s="107" t="e">
        <f>VLOOKUP(A75,Enforcements!$C$7:$J$27,8,0)</f>
        <v>#N/A</v>
      </c>
      <c r="AC75" s="107" t="e">
        <f>VLOOKUP(A75,Enforcements!$C$7:$E$27,3,0)</f>
        <v>#N/A</v>
      </c>
      <c r="AD75" s="108" t="str">
        <f t="shared" si="11"/>
        <v>0162-07</v>
      </c>
      <c r="AE75" s="108" t="str">
        <f t="shared" si="1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75" s="108" t="str">
        <f t="shared" si="13"/>
        <v>"C:\Program Files (x86)\AstroGrep\AstroGrep.exe" /spath="C:\Users\stu\Documents\Analysis\2016-02-23 RTDC Observations" /stypes="*4037*20160707*" /stext=" 18:.+((prompt.+disp)|(slice.+state.+chan)|(ment ac)|(system.+state.+chan)|(\|lc)|(penalty)|(\[timeout))" /e /r /s</v>
      </c>
    </row>
    <row r="76" spans="1:32" s="1" customFormat="1" x14ac:dyDescent="0.25">
      <c r="A76" s="62" t="s">
        <v>459</v>
      </c>
      <c r="B76" s="34">
        <v>4018</v>
      </c>
      <c r="C76" s="34" t="s">
        <v>60</v>
      </c>
      <c r="D76" s="34" t="s">
        <v>121</v>
      </c>
      <c r="E76" s="20">
        <v>42558.474039351851</v>
      </c>
      <c r="F76" s="20">
        <v>42558.474895833337</v>
      </c>
      <c r="G76" s="23">
        <v>1</v>
      </c>
      <c r="H76" s="20" t="s">
        <v>338</v>
      </c>
      <c r="I76" s="20">
        <v>42558.50377314815</v>
      </c>
      <c r="J76" s="34">
        <v>0</v>
      </c>
      <c r="K76" s="34" t="str">
        <f t="shared" si="2"/>
        <v>4017/4018</v>
      </c>
      <c r="L76" s="34" t="str">
        <f>VLOOKUP(A76,'Trips&amp;Operators'!$C$1:$E$10000,3,FALSE)</f>
        <v>STAMBAUGH</v>
      </c>
      <c r="M76" s="6">
        <f t="shared" si="3"/>
        <v>2.8877314813144039E-2</v>
      </c>
      <c r="N76" s="7">
        <f t="shared" si="15"/>
        <v>41.583333330927417</v>
      </c>
      <c r="O76" s="7"/>
      <c r="P76" s="7"/>
      <c r="Q76" s="35"/>
      <c r="R76" s="35"/>
      <c r="S76" s="54">
        <f t="shared" si="14"/>
        <v>1</v>
      </c>
      <c r="T76" s="98" t="str">
        <f t="shared" si="4"/>
        <v>NorthBound</v>
      </c>
      <c r="U76" s="98">
        <f>COUNTIFS(Variables!$M$2:$M$19,IF(T76="NorthBound","&gt;=","&lt;=")&amp;Y76,Variables!$M$2:$M$19,IF(T76="NorthBound","&lt;=","&gt;=")&amp;Z76)</f>
        <v>12</v>
      </c>
      <c r="V76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11:21:37-0600',mode:absolute,to:'2016-07-07 12:06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6" s="106" t="str">
        <f t="shared" si="6"/>
        <v>N</v>
      </c>
      <c r="X76" s="106">
        <f t="shared" si="7"/>
        <v>1</v>
      </c>
      <c r="Y76" s="106">
        <f t="shared" si="8"/>
        <v>4.5100000000000001E-2</v>
      </c>
      <c r="Z76" s="106">
        <f t="shared" si="9"/>
        <v>23.329799999999999</v>
      </c>
      <c r="AA76" s="106">
        <f t="shared" si="10"/>
        <v>23.284699999999997</v>
      </c>
      <c r="AB76" s="107" t="e">
        <f>VLOOKUP(A76,Enforcements!$C$7:$J$27,8,0)</f>
        <v>#N/A</v>
      </c>
      <c r="AC76" s="107" t="e">
        <f>VLOOKUP(A76,Enforcements!$C$7:$E$27,3,0)</f>
        <v>#N/A</v>
      </c>
      <c r="AD76" s="108" t="str">
        <f t="shared" si="11"/>
        <v>0163-07</v>
      </c>
      <c r="AE76" s="108" t="str">
        <f t="shared" si="1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76" s="108" t="str">
        <f t="shared" si="13"/>
        <v>"C:\Program Files (x86)\AstroGrep\AstroGrep.exe" /spath="C:\Users\stu\Documents\Analysis\2016-02-23 RTDC Observations" /stypes="*4018*20160707*" /stext=" 17:.+((prompt.+disp)|(slice.+state.+chan)|(ment ac)|(system.+state.+chan)|(\|lc)|(penalty)|(\[timeout))" /e /r /s</v>
      </c>
    </row>
    <row r="77" spans="1:32" s="1" customFormat="1" x14ac:dyDescent="0.25">
      <c r="A77" s="62" t="s">
        <v>460</v>
      </c>
      <c r="B77" s="34">
        <v>4017</v>
      </c>
      <c r="C77" s="34" t="s">
        <v>60</v>
      </c>
      <c r="D77" s="34" t="s">
        <v>322</v>
      </c>
      <c r="E77" s="20">
        <v>42558.513726851852</v>
      </c>
      <c r="F77" s="20">
        <v>42558.515023148146</v>
      </c>
      <c r="G77" s="23">
        <v>1</v>
      </c>
      <c r="H77" s="20" t="s">
        <v>62</v>
      </c>
      <c r="I77" s="20">
        <v>42558.544456018521</v>
      </c>
      <c r="J77" s="34">
        <v>2</v>
      </c>
      <c r="K77" s="34" t="str">
        <f t="shared" si="2"/>
        <v>4017/4018</v>
      </c>
      <c r="L77" s="34" t="str">
        <f>VLOOKUP(A77,'Trips&amp;Operators'!$C$1:$E$10000,3,FALSE)</f>
        <v>STAMBAUGH</v>
      </c>
      <c r="M77" s="6">
        <f t="shared" si="3"/>
        <v>2.9432870374876074E-2</v>
      </c>
      <c r="N77" s="7">
        <f t="shared" si="15"/>
        <v>42.383333339821547</v>
      </c>
      <c r="O77" s="7"/>
      <c r="P77" s="7"/>
      <c r="Q77" s="35"/>
      <c r="R77" s="35"/>
      <c r="S77" s="54">
        <f t="shared" si="14"/>
        <v>1</v>
      </c>
      <c r="T77" s="98" t="str">
        <f t="shared" si="4"/>
        <v>Southbound</v>
      </c>
      <c r="U77" s="98">
        <f>COUNTIFS(Variables!$M$2:$M$19,IF(T77="NorthBound","&gt;=","&lt;=")&amp;Y77,Variables!$M$2:$M$19,IF(T77="NorthBound","&lt;=","&gt;=")&amp;Z77)</f>
        <v>12</v>
      </c>
      <c r="V77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7" s="106" t="str">
        <f t="shared" si="6"/>
        <v>N</v>
      </c>
      <c r="X77" s="106">
        <f t="shared" si="7"/>
        <v>1</v>
      </c>
      <c r="Y77" s="106">
        <f t="shared" si="8"/>
        <v>23.297899999999998</v>
      </c>
      <c r="Z77" s="106">
        <f t="shared" si="9"/>
        <v>1.52E-2</v>
      </c>
      <c r="AA77" s="106">
        <f t="shared" si="10"/>
        <v>23.282699999999998</v>
      </c>
      <c r="AB77" s="107" t="e">
        <f>VLOOKUP(A77,Enforcements!$C$7:$J$27,8,0)</f>
        <v>#N/A</v>
      </c>
      <c r="AC77" s="107" t="e">
        <f>VLOOKUP(A77,Enforcements!$C$7:$E$27,3,0)</f>
        <v>#N/A</v>
      </c>
      <c r="AD77" s="108" t="str">
        <f t="shared" si="11"/>
        <v>0164-07</v>
      </c>
      <c r="AE77" s="108" t="str">
        <f t="shared" si="1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77" s="108" t="str">
        <f t="shared" si="13"/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</row>
    <row r="78" spans="1:32" s="48" customFormat="1" x14ac:dyDescent="0.25">
      <c r="A78" s="62" t="s">
        <v>461</v>
      </c>
      <c r="B78" s="34">
        <v>4011</v>
      </c>
      <c r="C78" s="34" t="s">
        <v>60</v>
      </c>
      <c r="D78" s="34" t="s">
        <v>173</v>
      </c>
      <c r="E78" s="20">
        <v>42558.483749999999</v>
      </c>
      <c r="F78" s="20">
        <v>42558.48510416667</v>
      </c>
      <c r="G78" s="23">
        <v>1</v>
      </c>
      <c r="H78" s="20" t="s">
        <v>379</v>
      </c>
      <c r="I78" s="20">
        <v>42558.514456018522</v>
      </c>
      <c r="J78" s="34">
        <v>1</v>
      </c>
      <c r="K78" s="34" t="str">
        <f t="shared" si="2"/>
        <v>4011/4012</v>
      </c>
      <c r="L78" s="34" t="str">
        <f>VLOOKUP(A78,'Trips&amp;Operators'!$C$1:$E$10000,3,FALSE)</f>
        <v>COOLAHAN</v>
      </c>
      <c r="M78" s="6">
        <f t="shared" si="3"/>
        <v>2.9351851851970423E-2</v>
      </c>
      <c r="N78" s="7">
        <f t="shared" si="15"/>
        <v>42.266666666837409</v>
      </c>
      <c r="O78" s="7"/>
      <c r="P78" s="7"/>
      <c r="Q78" s="35"/>
      <c r="R78" s="35"/>
      <c r="S78" s="54">
        <f t="shared" si="14"/>
        <v>1</v>
      </c>
      <c r="T78" s="98" t="str">
        <f t="shared" si="4"/>
        <v>NorthBound</v>
      </c>
      <c r="U78" s="98">
        <f>COUNTIFS(Variables!$M$2:$M$19,IF(T78="NorthBound","&gt;=","&lt;=")&amp;Y78,Variables!$M$2:$M$19,IF(T78="NorthBound","&lt;=","&gt;=")&amp;Z78)</f>
        <v>12</v>
      </c>
      <c r="V78" s="106" t="str">
        <f t="shared" si="5"/>
        <v>https://search-rtdc-monitor-bjffxe2xuh6vdkpspy63sjmuny.us-east-1.es.amazonaws.com/_plugin/kibana/#/discover/Steve-Slow-Train-Analysis-(2080s-and-2083s)?_g=(refreshInterval:(display:Off,section:0,value:0),time:(from:'2016-07-07 11:35:36-0600',mode:absolute,to:'2016-07-07 12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8" s="106" t="str">
        <f t="shared" si="6"/>
        <v>N</v>
      </c>
      <c r="X78" s="106">
        <f t="shared" si="7"/>
        <v>1</v>
      </c>
      <c r="Y78" s="106">
        <f t="shared" si="8"/>
        <v>4.4900000000000002E-2</v>
      </c>
      <c r="Z78" s="106">
        <f t="shared" si="9"/>
        <v>23.3278</v>
      </c>
      <c r="AA78" s="106">
        <f t="shared" si="10"/>
        <v>23.282900000000001</v>
      </c>
      <c r="AB78" s="107" t="e">
        <f>VLOOKUP(A78,Enforcements!$C$7:$J$27,8,0)</f>
        <v>#N/A</v>
      </c>
      <c r="AC78" s="107" t="e">
        <f>VLOOKUP(A78,Enforcements!$C$7:$E$27,3,0)</f>
        <v>#N/A</v>
      </c>
      <c r="AD78" s="108" t="str">
        <f t="shared" si="11"/>
        <v>0165-07</v>
      </c>
      <c r="AE78" s="108" t="str">
        <f t="shared" si="12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78" s="108" t="str">
        <f t="shared" si="13"/>
        <v>"C:\Program Files (x86)\AstroGrep\AstroGrep.exe" /spath="C:\Users\stu\Documents\Analysis\2016-02-23 RTDC Observations" /stypes="*4011*20160707*" /stext=" 17:.+((prompt.+disp)|(slice.+state.+chan)|(ment ac)|(system.+state.+chan)|(\|lc)|(penalty)|(\[timeout))" /e /r /s</v>
      </c>
    </row>
    <row r="79" spans="1:32" s="1" customFormat="1" x14ac:dyDescent="0.25">
      <c r="A79" s="62" t="s">
        <v>462</v>
      </c>
      <c r="B79" s="34">
        <v>4012</v>
      </c>
      <c r="C79" s="34" t="s">
        <v>60</v>
      </c>
      <c r="D79" s="34" t="s">
        <v>463</v>
      </c>
      <c r="E79" s="20">
        <v>42558.523946759262</v>
      </c>
      <c r="F79" s="20">
        <v>42558.52553240741</v>
      </c>
      <c r="G79" s="23">
        <v>2</v>
      </c>
      <c r="H79" s="20" t="s">
        <v>464</v>
      </c>
      <c r="I79" s="20">
        <v>42558.554456018515</v>
      </c>
      <c r="J79" s="34">
        <v>1</v>
      </c>
      <c r="K79" s="34" t="str">
        <f t="shared" ref="K79:K142" si="16">IF(ISEVEN(B79),(B79-1)&amp;"/"&amp;B79,B79&amp;"/"&amp;(B79+1))</f>
        <v>4011/4012</v>
      </c>
      <c r="L79" s="34" t="str">
        <f>VLOOKUP(A79,'Trips&amp;Operators'!$C$1:$E$10000,3,FALSE)</f>
        <v>COOLAHAN</v>
      </c>
      <c r="M79" s="6">
        <f t="shared" ref="M79:M142" si="17">I79-F79</f>
        <v>2.8923611105710734E-2</v>
      </c>
      <c r="N79" s="7">
        <f t="shared" ref="N79:P142" si="18">24*60*SUM($M79:$M79)</f>
        <v>41.649999992223457</v>
      </c>
      <c r="O79" s="7"/>
      <c r="P79" s="7"/>
      <c r="Q79" s="35"/>
      <c r="R79" s="35"/>
      <c r="S79" s="54">
        <f t="shared" ref="S79:S142" si="19">SUM(U79:U79)/12</f>
        <v>1</v>
      </c>
      <c r="T79" s="98" t="str">
        <f t="shared" ref="T79:T142" si="20">IF(ISEVEN(LEFT(A79,3)),"Southbound","NorthBound")</f>
        <v>Southbound</v>
      </c>
      <c r="U79" s="98">
        <f>COUNTIFS(Variables!$M$2:$M$19,IF(T79="NorthBound","&gt;=","&lt;=")&amp;Y79,Variables!$M$2:$M$19,IF(T79="NorthBound","&lt;=","&gt;=")&amp;Z79)</f>
        <v>12</v>
      </c>
      <c r="V79" s="106" t="str">
        <f t="shared" ref="V79:V142" si="21"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https://search-rtdc-monitor-bjffxe2xuh6vdkpspy63sjmuny.us-east-1.es.amazonaws.com/_plugin/kibana/#/discover/Steve-Slow-Train-Analysis-(2080s-and-2083s)?_g=(refreshInterval:(display:Off,section:0,value:0),time:(from:'2016-07-07 12:33:29-0600',mode:absolute,to:'2016-07-07 13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9" s="106" t="str">
        <f t="shared" ref="W79:W142" si="22">IF(AA79&lt;23,"Y","N")</f>
        <v>N</v>
      </c>
      <c r="X79" s="106">
        <f t="shared" ref="X79:X142" si="23">VALUE(LEFT(A79,3))-VALUE(LEFT(A78,3))</f>
        <v>1</v>
      </c>
      <c r="Y79" s="106">
        <f t="shared" ref="Y79:Y142" si="24">RIGHT(D79,LEN(D79)-4)/10000</f>
        <v>23.294599999999999</v>
      </c>
      <c r="Z79" s="106">
        <f t="shared" ref="Z79:Z142" si="25">RIGHT(H79,LEN(H79)-4)/10000</f>
        <v>2.2499999999999999E-2</v>
      </c>
      <c r="AA79" s="106">
        <f t="shared" ref="AA79:AA142" si="26">ABS(Z79-Y79)</f>
        <v>23.272099999999998</v>
      </c>
      <c r="AB79" s="107" t="e">
        <f>VLOOKUP(A79,Enforcements!$C$7:$J$27,8,0)</f>
        <v>#N/A</v>
      </c>
      <c r="AC79" s="107" t="e">
        <f>VLOOKUP(A79,Enforcements!$C$7:$E$27,3,0)</f>
        <v>#N/A</v>
      </c>
      <c r="AD79" s="108" t="str">
        <f t="shared" ref="AD79:AD142" si="27">IF(LEN(A79)=6,"0"&amp;A79,A79)</f>
        <v>0166-07</v>
      </c>
      <c r="AE79" s="108" t="str">
        <f t="shared" ref="AE79:AE142" si="28">"aws s3 cp "&amp;s3_bucket&amp;"/RTDC"&amp;B79&amp;"/"&amp;TEXT(F79,"YYYY-MM-DD")&amp;"/ "&amp;search_path&amp;"\RTDC"&amp;B79&amp;"\"&amp;TEXT(F79,"YYYY-MM-DD")&amp;" --recursive &amp; """&amp;walkandungz&amp;""" "&amp;search_path&amp;"\RTDC"&amp;B79&amp;"\"&amp;TEXT(F79,"YYYY-MM-DD")
&amp;" &amp; "&amp;"aws s3 cp "&amp;s3_bucket&amp;"/RTDC"&amp;B79&amp;"/"&amp;TEXT(F79+1,"YYYY-MM-DD")&amp;"/ "&amp;search_path&amp;"\RTDC"&amp;B79&amp;"\"&amp;TEXT(F79+1,"YYYY-MM-DD")&amp;" --recursive &amp; """&amp;walkandungz&amp;""" "&amp;search_path&amp;"\RTDC"&amp;B79&amp;"\"&amp;TEXT(F79+1,"YYYY-MM-DD")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79" s="108" t="str">
        <f t="shared" ref="AF79:AF142" si="29">astrogrep_path&amp;" /spath="&amp;search_path&amp;" /stypes=""*"&amp;B79&amp;"*"&amp;TEXT(F79-utc_offset/24,"YYYYMMDD")&amp;"*"" /stext="" "&amp;TEXT(F79-utc_offset/24,"HH")&amp;search_regexp&amp;""" /e /r /s"</f>
        <v>"C:\Program Files (x86)\AstroGrep\AstroGrep.exe" /spath="C:\Users\stu\Documents\Analysis\2016-02-23 RTDC Observations" /stypes="*4012*20160707*" /stext=" 18:.+((prompt.+disp)|(slice.+state.+chan)|(ment ac)|(system.+state.+chan)|(\|lc)|(penalty)|(\[timeout))" /e /r /s</v>
      </c>
    </row>
    <row r="80" spans="1:32" s="1" customFormat="1" ht="14.25" customHeight="1" x14ac:dyDescent="0.25">
      <c r="A80" s="62" t="s">
        <v>465</v>
      </c>
      <c r="B80" s="34">
        <v>4007</v>
      </c>
      <c r="C80" s="34" t="s">
        <v>60</v>
      </c>
      <c r="D80" s="34" t="s">
        <v>333</v>
      </c>
      <c r="E80" s="20">
        <v>42558.497465277775</v>
      </c>
      <c r="F80" s="20">
        <v>42558.498379629629</v>
      </c>
      <c r="G80" s="23">
        <v>1</v>
      </c>
      <c r="H80" s="20" t="s">
        <v>466</v>
      </c>
      <c r="I80" s="20">
        <v>42558.522546296299</v>
      </c>
      <c r="J80" s="34">
        <v>1</v>
      </c>
      <c r="K80" s="34" t="str">
        <f t="shared" si="16"/>
        <v>4007/4008</v>
      </c>
      <c r="L80" s="34" t="str">
        <f>VLOOKUP(A80,'Trips&amp;Operators'!$C$1:$E$10000,3,FALSE)</f>
        <v>ROCHA</v>
      </c>
      <c r="M80" s="6">
        <f t="shared" si="17"/>
        <v>2.4166666669771075E-2</v>
      </c>
      <c r="N80" s="7"/>
      <c r="O80" s="7"/>
      <c r="P80" s="7">
        <f t="shared" si="18"/>
        <v>34.800000004470348</v>
      </c>
      <c r="Q80" s="35"/>
      <c r="R80" s="35" t="s">
        <v>144</v>
      </c>
      <c r="S80" s="54">
        <f t="shared" si="19"/>
        <v>1</v>
      </c>
      <c r="T80" s="98" t="str">
        <f t="shared" si="20"/>
        <v>NorthBound</v>
      </c>
      <c r="U80" s="98">
        <f>COUNTIFS(Variables!$M$2:$M$19,IF(T80="NorthBound","&gt;=","&lt;=")&amp;Y80,Variables!$M$2:$M$19,IF(T80="NorthBound","&lt;=","&gt;=")&amp;Z80)</f>
        <v>12</v>
      </c>
      <c r="V8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11:55:21-0600',mode:absolute,to:'2016-07-07 12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0" s="106" t="str">
        <f t="shared" si="22"/>
        <v>Y</v>
      </c>
      <c r="X80" s="106">
        <f t="shared" si="23"/>
        <v>1</v>
      </c>
      <c r="Y80" s="106">
        <f t="shared" si="24"/>
        <v>4.7100000000000003E-2</v>
      </c>
      <c r="Z80" s="106">
        <f t="shared" si="25"/>
        <v>18.943999999999999</v>
      </c>
      <c r="AA80" s="106">
        <f t="shared" si="26"/>
        <v>18.896899999999999</v>
      </c>
      <c r="AB80" s="107" t="e">
        <f>VLOOKUP(A80,Enforcements!$C$7:$J$27,8,0)</f>
        <v>#N/A</v>
      </c>
      <c r="AC80" s="107" t="e">
        <f>VLOOKUP(A80,Enforcements!$C$7:$E$27,3,0)</f>
        <v>#N/A</v>
      </c>
      <c r="AD80" s="108" t="str">
        <f t="shared" si="27"/>
        <v>0167-07</v>
      </c>
      <c r="AE80" s="108" t="str">
        <f t="shared" si="28"/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AF80" s="108" t="str">
        <f t="shared" si="29"/>
        <v>"C:\Program Files (x86)\AstroGrep\AstroGrep.exe" /spath="C:\Users\stu\Documents\Analysis\2016-02-23 RTDC Observations" /stypes="*4007*20160707*" /stext=" 17:.+((prompt.+disp)|(slice.+state.+chan)|(ment ac)|(system.+state.+chan)|(\|lc)|(penalty)|(\[timeout))" /e /r /s</v>
      </c>
    </row>
    <row r="81" spans="1:32" s="1" customFormat="1" x14ac:dyDescent="0.25">
      <c r="A81" s="62" t="s">
        <v>467</v>
      </c>
      <c r="B81" s="34">
        <v>4008</v>
      </c>
      <c r="C81" s="34" t="s">
        <v>60</v>
      </c>
      <c r="D81" s="34" t="s">
        <v>468</v>
      </c>
      <c r="E81" s="20">
        <v>42558.533622685187</v>
      </c>
      <c r="F81" s="20">
        <v>42558.534930555557</v>
      </c>
      <c r="G81" s="23">
        <v>1</v>
      </c>
      <c r="H81" s="20" t="s">
        <v>357</v>
      </c>
      <c r="I81" s="20">
        <v>42558.566516203704</v>
      </c>
      <c r="J81" s="34">
        <v>1</v>
      </c>
      <c r="K81" s="34" t="str">
        <f t="shared" si="16"/>
        <v>4007/4008</v>
      </c>
      <c r="L81" s="34" t="str">
        <f>VLOOKUP(A81,'Trips&amp;Operators'!$C$1:$E$10000,3,FALSE)</f>
        <v>ROCHA</v>
      </c>
      <c r="M81" s="6">
        <f t="shared" si="17"/>
        <v>3.1585648146574385E-2</v>
      </c>
      <c r="N81" s="7">
        <f t="shared" si="18"/>
        <v>45.483333331067115</v>
      </c>
      <c r="O81" s="7"/>
      <c r="P81" s="7"/>
      <c r="Q81" s="35"/>
      <c r="R81" s="35"/>
      <c r="S81" s="54">
        <f t="shared" si="19"/>
        <v>1</v>
      </c>
      <c r="T81" s="98" t="str">
        <f t="shared" si="20"/>
        <v>Southbound</v>
      </c>
      <c r="U81" s="98">
        <f>COUNTIFS(Variables!$M$2:$M$19,IF(T81="NorthBound","&gt;=","&lt;=")&amp;Y81,Variables!$M$2:$M$19,IF(T81="NorthBound","&lt;=","&gt;=")&amp;Z81)</f>
        <v>12</v>
      </c>
      <c r="V8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12:47:25-0600',mode:absolute,to:'2016-07-07 13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1" s="106" t="str">
        <f t="shared" si="22"/>
        <v>N</v>
      </c>
      <c r="X81" s="106">
        <f t="shared" si="23"/>
        <v>1</v>
      </c>
      <c r="Y81" s="106">
        <f t="shared" si="24"/>
        <v>23.297000000000001</v>
      </c>
      <c r="Z81" s="106">
        <f t="shared" si="25"/>
        <v>0.11749999999999999</v>
      </c>
      <c r="AA81" s="106">
        <f t="shared" si="26"/>
        <v>23.179500000000001</v>
      </c>
      <c r="AB81" s="107">
        <f>VLOOKUP(A81,Enforcements!$C$7:$J$27,8,0)</f>
        <v>4677</v>
      </c>
      <c r="AC81" s="107" t="str">
        <f>VLOOKUP(A81,Enforcements!$C$7:$E$27,3,0)</f>
        <v>PERMANENT SPEED RESTRICTION</v>
      </c>
      <c r="AD81" s="108" t="str">
        <f t="shared" si="27"/>
        <v>0168-07</v>
      </c>
      <c r="AE81" s="108" t="str">
        <f t="shared" si="28"/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AF81" s="108" t="str">
        <f t="shared" si="29"/>
        <v>"C:\Program Files (x86)\AstroGrep\AstroGrep.exe" /spath="C:\Users\stu\Documents\Analysis\2016-02-23 RTDC Observations" /stypes="*4008*20160707*" /stext=" 18:.+((prompt.+disp)|(slice.+state.+chan)|(ment ac)|(system.+state.+chan)|(\|lc)|(penalty)|(\[timeout))" /e /r /s</v>
      </c>
    </row>
    <row r="82" spans="1:32" s="1" customFormat="1" x14ac:dyDescent="0.25">
      <c r="A82" s="62" t="s">
        <v>469</v>
      </c>
      <c r="B82" s="34">
        <v>4044</v>
      </c>
      <c r="C82" s="34" t="s">
        <v>60</v>
      </c>
      <c r="D82" s="34" t="s">
        <v>470</v>
      </c>
      <c r="E82" s="20">
        <v>42558.505266203705</v>
      </c>
      <c r="F82" s="20">
        <v>42558.507268518515</v>
      </c>
      <c r="G82" s="23">
        <v>2</v>
      </c>
      <c r="H82" s="20" t="s">
        <v>471</v>
      </c>
      <c r="I82" s="20">
        <v>42558.522696759261</v>
      </c>
      <c r="J82" s="34">
        <v>2</v>
      </c>
      <c r="K82" s="34" t="str">
        <f t="shared" si="16"/>
        <v>4043/4044</v>
      </c>
      <c r="L82" s="34" t="str">
        <f>VLOOKUP(A82,'Trips&amp;Operators'!$C$1:$E$10000,3,FALSE)</f>
        <v>BEAM</v>
      </c>
      <c r="M82" s="6">
        <f t="shared" si="17"/>
        <v>1.5428240745677613E-2</v>
      </c>
      <c r="N82" s="7"/>
      <c r="O82" s="7"/>
      <c r="P82" s="7">
        <f t="shared" si="18"/>
        <v>22.216666673775762</v>
      </c>
      <c r="Q82" s="35"/>
      <c r="R82" s="35" t="s">
        <v>144</v>
      </c>
      <c r="S82" s="54">
        <f t="shared" si="19"/>
        <v>0.75</v>
      </c>
      <c r="T82" s="98" t="str">
        <f t="shared" si="20"/>
        <v>NorthBound</v>
      </c>
      <c r="U82" s="98">
        <f>COUNTIFS(Variables!$M$2:$M$19,IF(T82="NorthBound","&gt;=","&lt;=")&amp;Y82,Variables!$M$2:$M$19,IF(T82="NorthBound","&lt;=","&gt;=")&amp;Z82)</f>
        <v>9</v>
      </c>
      <c r="V8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2" s="106" t="str">
        <f t="shared" si="22"/>
        <v>Y</v>
      </c>
      <c r="X82" s="106">
        <f t="shared" si="23"/>
        <v>1</v>
      </c>
      <c r="Y82" s="106">
        <f t="shared" si="24"/>
        <v>5.5100000000000003E-2</v>
      </c>
      <c r="Z82" s="106">
        <f t="shared" si="25"/>
        <v>7.4740000000000002</v>
      </c>
      <c r="AA82" s="106">
        <f t="shared" si="26"/>
        <v>7.4188999999999998</v>
      </c>
      <c r="AB82" s="107" t="e">
        <f>VLOOKUP(A82,Enforcements!$C$7:$J$27,8,0)</f>
        <v>#N/A</v>
      </c>
      <c r="AC82" s="107" t="e">
        <f>VLOOKUP(A82,Enforcements!$C$7:$E$27,3,0)</f>
        <v>#N/A</v>
      </c>
      <c r="AD82" s="108" t="str">
        <f t="shared" si="27"/>
        <v>0169-07</v>
      </c>
      <c r="AE82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82" s="108" t="str">
        <f t="shared" si="29"/>
        <v>"C:\Program Files (x86)\AstroGrep\AstroGrep.exe" /spath="C:\Users\stu\Documents\Analysis\2016-02-23 RTDC Observations" /stypes="*4044*20160707*" /stext=" 18:.+((prompt.+disp)|(slice.+state.+chan)|(ment ac)|(system.+state.+chan)|(\|lc)|(penalty)|(\[timeout))" /e /r /s</v>
      </c>
    </row>
    <row r="83" spans="1:32" s="1" customFormat="1" x14ac:dyDescent="0.25">
      <c r="A83" s="62" t="s">
        <v>472</v>
      </c>
      <c r="B83" s="34">
        <v>4043</v>
      </c>
      <c r="C83" s="34" t="s">
        <v>60</v>
      </c>
      <c r="D83" s="34" t="s">
        <v>404</v>
      </c>
      <c r="E83" s="20">
        <v>42558.54078703704</v>
      </c>
      <c r="F83" s="20">
        <v>42558.541828703703</v>
      </c>
      <c r="G83" s="23">
        <v>1</v>
      </c>
      <c r="H83" s="20" t="s">
        <v>122</v>
      </c>
      <c r="I83" s="20">
        <v>42558.574965277781</v>
      </c>
      <c r="J83" s="34">
        <v>1</v>
      </c>
      <c r="K83" s="34" t="str">
        <f t="shared" si="16"/>
        <v>4043/4044</v>
      </c>
      <c r="L83" s="34" t="str">
        <f>VLOOKUP(A83,'Trips&amp;Operators'!$C$1:$E$10000,3,FALSE)</f>
        <v>BEAM</v>
      </c>
      <c r="M83" s="6">
        <f t="shared" si="17"/>
        <v>3.3136574078525882E-2</v>
      </c>
      <c r="N83" s="7">
        <f t="shared" si="18"/>
        <v>47.71666667307727</v>
      </c>
      <c r="O83" s="7"/>
      <c r="P83" s="7"/>
      <c r="Q83" s="35"/>
      <c r="R83" s="35"/>
      <c r="S83" s="54">
        <f t="shared" si="19"/>
        <v>1</v>
      </c>
      <c r="T83" s="98" t="str">
        <f t="shared" si="20"/>
        <v>Southbound</v>
      </c>
      <c r="U83" s="98">
        <f>COUNTIFS(Variables!$M$2:$M$19,IF(T83="NorthBound","&gt;=","&lt;=")&amp;Y83,Variables!$M$2:$M$19,IF(T83="NorthBound","&lt;=","&gt;=")&amp;Z83)</f>
        <v>12</v>
      </c>
      <c r="V8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12:57:44-0600',mode:absolute,to:'2016-07-07 13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3" s="106" t="str">
        <f t="shared" si="22"/>
        <v>N</v>
      </c>
      <c r="X83" s="106">
        <f t="shared" si="23"/>
        <v>1</v>
      </c>
      <c r="Y83" s="106">
        <f t="shared" si="24"/>
        <v>23.2957</v>
      </c>
      <c r="Z83" s="106">
        <f t="shared" si="25"/>
        <v>4.4400000000000002E-2</v>
      </c>
      <c r="AA83" s="106">
        <f t="shared" si="26"/>
        <v>23.251300000000001</v>
      </c>
      <c r="AB83" s="107" t="e">
        <f>VLOOKUP(A83,Enforcements!$C$7:$J$27,8,0)</f>
        <v>#N/A</v>
      </c>
      <c r="AC83" s="107" t="e">
        <f>VLOOKUP(A83,Enforcements!$C$7:$E$27,3,0)</f>
        <v>#N/A</v>
      </c>
      <c r="AD83" s="108" t="str">
        <f t="shared" si="27"/>
        <v>0170-07</v>
      </c>
      <c r="AE83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83" s="108" t="str">
        <f t="shared" si="29"/>
        <v>"C:\Program Files (x86)\AstroGrep\AstroGrep.exe" /spath="C:\Users\stu\Documents\Analysis\2016-02-23 RTDC Observations" /stypes="*4043*20160707*" /stext=" 19:.+((prompt.+disp)|(slice.+state.+chan)|(ment ac)|(system.+state.+chan)|(\|lc)|(penalty)|(\[timeout))" /e /r /s</v>
      </c>
    </row>
    <row r="84" spans="1:32" s="1" customFormat="1" x14ac:dyDescent="0.25">
      <c r="A84" s="62" t="s">
        <v>473</v>
      </c>
      <c r="B84" s="34">
        <v>4031</v>
      </c>
      <c r="C84" s="34" t="s">
        <v>60</v>
      </c>
      <c r="D84" s="34" t="s">
        <v>474</v>
      </c>
      <c r="E84" s="20">
        <v>42558.518229166664</v>
      </c>
      <c r="F84" s="20">
        <v>42558.520196759258</v>
      </c>
      <c r="G84" s="23">
        <v>2</v>
      </c>
      <c r="H84" s="20" t="s">
        <v>176</v>
      </c>
      <c r="I84" s="20">
        <v>42558.548229166663</v>
      </c>
      <c r="J84" s="34">
        <v>0</v>
      </c>
      <c r="K84" s="34" t="str">
        <f t="shared" si="16"/>
        <v>4031/4032</v>
      </c>
      <c r="L84" s="34" t="str">
        <f>VLOOKUP(A84,'Trips&amp;Operators'!$C$1:$E$10000,3,FALSE)</f>
        <v>STEWART</v>
      </c>
      <c r="M84" s="6">
        <f t="shared" si="17"/>
        <v>2.8032407404680271E-2</v>
      </c>
      <c r="N84" s="7">
        <f t="shared" si="18"/>
        <v>40.36666666273959</v>
      </c>
      <c r="O84" s="7"/>
      <c r="P84" s="7"/>
      <c r="Q84" s="35"/>
      <c r="R84" s="35"/>
      <c r="S84" s="54">
        <f t="shared" si="19"/>
        <v>1</v>
      </c>
      <c r="T84" s="98" t="str">
        <f t="shared" si="20"/>
        <v>NorthBound</v>
      </c>
      <c r="U84" s="98">
        <f>COUNTIFS(Variables!$M$2:$M$19,IF(T84="NorthBound","&gt;=","&lt;=")&amp;Y84,Variables!$M$2:$M$19,IF(T84="NorthBound","&lt;=","&gt;=")&amp;Z84)</f>
        <v>12</v>
      </c>
      <c r="V8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12:25:15-0600',mode:absolute,to:'2016-07-07 13:10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4" s="106" t="str">
        <f t="shared" si="22"/>
        <v>N</v>
      </c>
      <c r="X84" s="106">
        <f t="shared" si="23"/>
        <v>1</v>
      </c>
      <c r="Y84" s="106">
        <f t="shared" si="24"/>
        <v>5.1499999999999997E-2</v>
      </c>
      <c r="Z84" s="106">
        <f t="shared" si="25"/>
        <v>23.33</v>
      </c>
      <c r="AA84" s="106">
        <f t="shared" si="26"/>
        <v>23.278499999999998</v>
      </c>
      <c r="AB84" s="107" t="e">
        <f>VLOOKUP(A84,Enforcements!$C$7:$J$27,8,0)</f>
        <v>#N/A</v>
      </c>
      <c r="AC84" s="107" t="e">
        <f>VLOOKUP(A84,Enforcements!$C$7:$E$27,3,0)</f>
        <v>#N/A</v>
      </c>
      <c r="AD84" s="108" t="str">
        <f t="shared" si="27"/>
        <v>0171-07</v>
      </c>
      <c r="AE84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84" s="108" t="str">
        <f t="shared" si="29"/>
        <v>"C:\Program Files (x86)\AstroGrep\AstroGrep.exe" /spath="C:\Users\stu\Documents\Analysis\2016-02-23 RTDC Observations" /stypes="*4031*20160707*" /stext=" 18:.+((prompt.+disp)|(slice.+state.+chan)|(ment ac)|(system.+state.+chan)|(\|lc)|(penalty)|(\[timeout))" /e /r /s</v>
      </c>
    </row>
    <row r="85" spans="1:32" s="1" customFormat="1" x14ac:dyDescent="0.25">
      <c r="A85" s="62" t="s">
        <v>475</v>
      </c>
      <c r="B85" s="34">
        <v>4032</v>
      </c>
      <c r="C85" s="34" t="s">
        <v>60</v>
      </c>
      <c r="D85" s="34" t="s">
        <v>168</v>
      </c>
      <c r="E85" s="20">
        <v>42558.556203703702</v>
      </c>
      <c r="F85" s="20">
        <v>42558.557685185187</v>
      </c>
      <c r="G85" s="23">
        <v>2</v>
      </c>
      <c r="H85" s="20" t="s">
        <v>86</v>
      </c>
      <c r="I85" s="20">
        <v>42558.585613425923</v>
      </c>
      <c r="J85" s="34">
        <v>1</v>
      </c>
      <c r="K85" s="34" t="str">
        <f t="shared" si="16"/>
        <v>4031/4032</v>
      </c>
      <c r="L85" s="34" t="str">
        <f>VLOOKUP(A85,'Trips&amp;Operators'!$C$1:$E$10000,3,FALSE)</f>
        <v>STEWART</v>
      </c>
      <c r="M85" s="6">
        <f t="shared" si="17"/>
        <v>2.7928240735491272E-2</v>
      </c>
      <c r="N85" s="7">
        <f t="shared" si="18"/>
        <v>40.216666659107432</v>
      </c>
      <c r="O85" s="7"/>
      <c r="P85" s="7"/>
      <c r="Q85" s="35"/>
      <c r="R85" s="35"/>
      <c r="S85" s="54">
        <f t="shared" si="19"/>
        <v>1</v>
      </c>
      <c r="T85" s="98" t="str">
        <f t="shared" si="20"/>
        <v>Southbound</v>
      </c>
      <c r="U85" s="98">
        <f>COUNTIFS(Variables!$M$2:$M$19,IF(T85="NorthBound","&gt;=","&lt;=")&amp;Y85,Variables!$M$2:$M$19,IF(T85="NorthBound","&lt;=","&gt;=")&amp;Z85)</f>
        <v>12</v>
      </c>
      <c r="V8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13:19:56-0600',mode:absolute,to:'2016-07-07 14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5" s="106" t="str">
        <f t="shared" si="22"/>
        <v>N</v>
      </c>
      <c r="X85" s="106">
        <f t="shared" si="23"/>
        <v>1</v>
      </c>
      <c r="Y85" s="106">
        <f t="shared" si="24"/>
        <v>23.2987</v>
      </c>
      <c r="Z85" s="106">
        <f t="shared" si="25"/>
        <v>1.5800000000000002E-2</v>
      </c>
      <c r="AA85" s="106">
        <f t="shared" si="26"/>
        <v>23.282900000000001</v>
      </c>
      <c r="AB85" s="107" t="e">
        <f>VLOOKUP(A85,Enforcements!$C$7:$J$27,8,0)</f>
        <v>#N/A</v>
      </c>
      <c r="AC85" s="107" t="e">
        <f>VLOOKUP(A85,Enforcements!$C$7:$E$27,3,0)</f>
        <v>#N/A</v>
      </c>
      <c r="AD85" s="108" t="str">
        <f t="shared" si="27"/>
        <v>0172-07</v>
      </c>
      <c r="AE85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85" s="108" t="str">
        <f t="shared" si="29"/>
        <v>"C:\Program Files (x86)\AstroGrep\AstroGrep.exe" /spath="C:\Users\stu\Documents\Analysis\2016-02-23 RTDC Observations" /stypes="*4032*20160707*" /stext=" 19:.+((prompt.+disp)|(slice.+state.+chan)|(ment ac)|(system.+state.+chan)|(\|lc)|(penalty)|(\[timeout))" /e /r /s</v>
      </c>
    </row>
    <row r="86" spans="1:32" s="1" customFormat="1" x14ac:dyDescent="0.25">
      <c r="A86" s="62" t="s">
        <v>476</v>
      </c>
      <c r="B86" s="34">
        <v>4027</v>
      </c>
      <c r="C86" s="34" t="s">
        <v>60</v>
      </c>
      <c r="D86" s="34" t="s">
        <v>209</v>
      </c>
      <c r="E86" s="20">
        <v>42558.52611111111</v>
      </c>
      <c r="F86" s="20">
        <v>42558.527395833335</v>
      </c>
      <c r="G86" s="23">
        <v>1</v>
      </c>
      <c r="H86" s="20" t="s">
        <v>241</v>
      </c>
      <c r="I86" s="20">
        <v>42558.556643518517</v>
      </c>
      <c r="J86" s="34">
        <v>0</v>
      </c>
      <c r="K86" s="34" t="str">
        <f t="shared" si="16"/>
        <v>4027/4028</v>
      </c>
      <c r="L86" s="34" t="str">
        <f>VLOOKUP(A86,'Trips&amp;Operators'!$C$1:$E$10000,3,FALSE)</f>
        <v>BARTLETT</v>
      </c>
      <c r="M86" s="6">
        <f t="shared" si="17"/>
        <v>2.9247685182781424E-2</v>
      </c>
      <c r="N86" s="7">
        <f t="shared" si="18"/>
        <v>42.116666663205251</v>
      </c>
      <c r="O86" s="7"/>
      <c r="P86" s="7"/>
      <c r="Q86" s="35"/>
      <c r="R86" s="35"/>
      <c r="S86" s="54">
        <f t="shared" si="19"/>
        <v>1</v>
      </c>
      <c r="T86" s="98" t="str">
        <f t="shared" si="20"/>
        <v>NorthBound</v>
      </c>
      <c r="U86" s="98">
        <f>COUNTIFS(Variables!$M$2:$M$19,IF(T86="NorthBound","&gt;=","&lt;=")&amp;Y86,Variables!$M$2:$M$19,IF(T86="NorthBound","&lt;=","&gt;=")&amp;Z86)</f>
        <v>12</v>
      </c>
      <c r="V8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12:36:36-0600',mode:absolute,to:'2016-07-07 13:22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6" s="106" t="str">
        <f t="shared" si="22"/>
        <v>N</v>
      </c>
      <c r="X86" s="106">
        <f t="shared" si="23"/>
        <v>1</v>
      </c>
      <c r="Y86" s="106">
        <f t="shared" si="24"/>
        <v>4.58E-2</v>
      </c>
      <c r="Z86" s="106">
        <f t="shared" si="25"/>
        <v>23.327999999999999</v>
      </c>
      <c r="AA86" s="106">
        <f t="shared" si="26"/>
        <v>23.2822</v>
      </c>
      <c r="AB86" s="107" t="e">
        <f>VLOOKUP(A86,Enforcements!$C$7:$J$27,8,0)</f>
        <v>#N/A</v>
      </c>
      <c r="AC86" s="107" t="e">
        <f>VLOOKUP(A86,Enforcements!$C$7:$E$27,3,0)</f>
        <v>#N/A</v>
      </c>
      <c r="AD86" s="108" t="str">
        <f t="shared" si="27"/>
        <v>0173-07</v>
      </c>
      <c r="AE86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86" s="108" t="str">
        <f t="shared" si="29"/>
        <v>"C:\Program Files (x86)\AstroGrep\AstroGrep.exe" /spath="C:\Users\stu\Documents\Analysis\2016-02-23 RTDC Observations" /stypes="*4027*20160707*" /stext=" 18:.+((prompt.+disp)|(slice.+state.+chan)|(ment ac)|(system.+state.+chan)|(\|lc)|(penalty)|(\[timeout))" /e /r /s</v>
      </c>
    </row>
    <row r="87" spans="1:32" s="1" customFormat="1" x14ac:dyDescent="0.25">
      <c r="A87" s="62" t="s">
        <v>477</v>
      </c>
      <c r="B87" s="34">
        <v>4028</v>
      </c>
      <c r="C87" s="34" t="s">
        <v>60</v>
      </c>
      <c r="D87" s="34" t="s">
        <v>341</v>
      </c>
      <c r="E87" s="20">
        <v>42558.563263888886</v>
      </c>
      <c r="F87" s="20">
        <v>42558.565023148149</v>
      </c>
      <c r="G87" s="23">
        <v>2</v>
      </c>
      <c r="H87" s="20" t="s">
        <v>170</v>
      </c>
      <c r="I87" s="20">
        <v>42558.596504629626</v>
      </c>
      <c r="J87" s="34">
        <v>0</v>
      </c>
      <c r="K87" s="34" t="str">
        <f t="shared" si="16"/>
        <v>4027/4028</v>
      </c>
      <c r="L87" s="34" t="str">
        <f>VLOOKUP(A87,'Trips&amp;Operators'!$C$1:$E$10000,3,FALSE)</f>
        <v>BARTLETT</v>
      </c>
      <c r="M87" s="6">
        <f t="shared" si="17"/>
        <v>3.1481481477385387E-2</v>
      </c>
      <c r="N87" s="7">
        <f t="shared" si="18"/>
        <v>45.333333327434957</v>
      </c>
      <c r="O87" s="7"/>
      <c r="P87" s="7"/>
      <c r="Q87" s="35"/>
      <c r="R87" s="35"/>
      <c r="S87" s="54">
        <f t="shared" si="19"/>
        <v>1</v>
      </c>
      <c r="T87" s="98" t="str">
        <f t="shared" si="20"/>
        <v>Southbound</v>
      </c>
      <c r="U87" s="98">
        <f>COUNTIFS(Variables!$M$2:$M$19,IF(T87="NorthBound","&gt;=","&lt;=")&amp;Y87,Variables!$M$2:$M$19,IF(T87="NorthBound","&lt;=","&gt;=")&amp;Z87)</f>
        <v>12</v>
      </c>
      <c r="V8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13:30:06-0600',mode:absolute,to:'2016-07-07 14:19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7" s="106" t="str">
        <f t="shared" si="22"/>
        <v>N</v>
      </c>
      <c r="X87" s="106">
        <f t="shared" si="23"/>
        <v>1</v>
      </c>
      <c r="Y87" s="106">
        <f t="shared" si="24"/>
        <v>23.297499999999999</v>
      </c>
      <c r="Z87" s="106">
        <f t="shared" si="25"/>
        <v>1.41E-2</v>
      </c>
      <c r="AA87" s="106">
        <f t="shared" si="26"/>
        <v>23.2834</v>
      </c>
      <c r="AB87" s="107" t="e">
        <f>VLOOKUP(A87,Enforcements!$C$7:$J$27,8,0)</f>
        <v>#N/A</v>
      </c>
      <c r="AC87" s="107" t="e">
        <f>VLOOKUP(A87,Enforcements!$C$7:$E$27,3,0)</f>
        <v>#N/A</v>
      </c>
      <c r="AD87" s="108" t="str">
        <f t="shared" si="27"/>
        <v>0174-07</v>
      </c>
      <c r="AE87" s="108" t="str">
        <f t="shared" si="28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87" s="108" t="str">
        <f t="shared" si="29"/>
        <v>"C:\Program Files (x86)\AstroGrep\AstroGrep.exe" /spath="C:\Users\stu\Documents\Analysis\2016-02-23 RTDC Observations" /stypes="*4028*20160707*" /stext=" 19:.+((prompt.+disp)|(slice.+state.+chan)|(ment ac)|(system.+state.+chan)|(\|lc)|(penalty)|(\[timeout))" /e /r /s</v>
      </c>
    </row>
    <row r="88" spans="1:32" s="1" customFormat="1" x14ac:dyDescent="0.25">
      <c r="A88" s="62" t="s">
        <v>478</v>
      </c>
      <c r="B88" s="34">
        <v>4038</v>
      </c>
      <c r="C88" s="34" t="s">
        <v>60</v>
      </c>
      <c r="D88" s="34" t="s">
        <v>333</v>
      </c>
      <c r="E88" s="20">
        <v>42558.538738425923</v>
      </c>
      <c r="F88" s="20">
        <v>42558.539606481485</v>
      </c>
      <c r="G88" s="23">
        <v>1</v>
      </c>
      <c r="H88" s="20" t="s">
        <v>479</v>
      </c>
      <c r="I88" s="20">
        <v>42558.566608796296</v>
      </c>
      <c r="J88" s="34">
        <v>0</v>
      </c>
      <c r="K88" s="34" t="str">
        <f t="shared" si="16"/>
        <v>4037/4038</v>
      </c>
      <c r="L88" s="34" t="str">
        <f>VLOOKUP(A88,'Trips&amp;Operators'!$C$1:$E$10000,3,FALSE)</f>
        <v>SPECTOR</v>
      </c>
      <c r="M88" s="6">
        <f t="shared" si="17"/>
        <v>2.700231481139781E-2</v>
      </c>
      <c r="N88" s="7">
        <f t="shared" si="18"/>
        <v>38.883333328412846</v>
      </c>
      <c r="O88" s="7"/>
      <c r="P88" s="7"/>
      <c r="Q88" s="35"/>
      <c r="R88" s="35"/>
      <c r="S88" s="54">
        <f t="shared" si="19"/>
        <v>1</v>
      </c>
      <c r="T88" s="98" t="str">
        <f t="shared" si="20"/>
        <v>NorthBound</v>
      </c>
      <c r="U88" s="98">
        <f>COUNTIFS(Variables!$M$2:$M$19,IF(T88="NorthBound","&gt;=","&lt;=")&amp;Y88,Variables!$M$2:$M$19,IF(T88="NorthBound","&lt;=","&gt;=")&amp;Z88)</f>
        <v>12</v>
      </c>
      <c r="V8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12:54:47-0600',mode:absolute,to:'2016-07-07 13:36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8" s="106" t="str">
        <f t="shared" si="22"/>
        <v>N</v>
      </c>
      <c r="X88" s="106">
        <f t="shared" si="23"/>
        <v>1</v>
      </c>
      <c r="Y88" s="106">
        <f t="shared" si="24"/>
        <v>4.7100000000000003E-2</v>
      </c>
      <c r="Z88" s="106">
        <f t="shared" si="25"/>
        <v>23.332100000000001</v>
      </c>
      <c r="AA88" s="106">
        <f t="shared" si="26"/>
        <v>23.285</v>
      </c>
      <c r="AB88" s="107" t="e">
        <f>VLOOKUP(A88,Enforcements!$C$7:$J$27,8,0)</f>
        <v>#N/A</v>
      </c>
      <c r="AC88" s="107" t="e">
        <f>VLOOKUP(A88,Enforcements!$C$7:$E$27,3,0)</f>
        <v>#N/A</v>
      </c>
      <c r="AD88" s="108" t="str">
        <f t="shared" si="27"/>
        <v>0175-07</v>
      </c>
      <c r="AE88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88" s="108" t="str">
        <f t="shared" si="29"/>
        <v>"C:\Program Files (x86)\AstroGrep\AstroGrep.exe" /spath="C:\Users\stu\Documents\Analysis\2016-02-23 RTDC Observations" /stypes="*4038*20160707*" /stext=" 18:.+((prompt.+disp)|(slice.+state.+chan)|(ment ac)|(system.+state.+chan)|(\|lc)|(penalty)|(\[timeout))" /e /r /s</v>
      </c>
    </row>
    <row r="89" spans="1:32" s="1" customFormat="1" x14ac:dyDescent="0.25">
      <c r="A89" s="62" t="s">
        <v>480</v>
      </c>
      <c r="B89" s="34">
        <v>4037</v>
      </c>
      <c r="C89" s="34" t="s">
        <v>60</v>
      </c>
      <c r="D89" s="34" t="s">
        <v>481</v>
      </c>
      <c r="E89" s="20">
        <v>42558.574236111112</v>
      </c>
      <c r="F89" s="20">
        <v>42558.575335648151</v>
      </c>
      <c r="G89" s="23">
        <v>1</v>
      </c>
      <c r="H89" s="20" t="s">
        <v>229</v>
      </c>
      <c r="I89" s="20">
        <v>42558.60664351852</v>
      </c>
      <c r="J89" s="34">
        <v>0</v>
      </c>
      <c r="K89" s="34" t="str">
        <f t="shared" si="16"/>
        <v>4037/4038</v>
      </c>
      <c r="L89" s="34" t="str">
        <f>VLOOKUP(A89,'Trips&amp;Operators'!$C$1:$E$10000,3,FALSE)</f>
        <v>SPECTOR</v>
      </c>
      <c r="M89" s="6">
        <f t="shared" si="17"/>
        <v>3.1307870369346347E-2</v>
      </c>
      <c r="N89" s="7">
        <f t="shared" si="18"/>
        <v>45.083333331858739</v>
      </c>
      <c r="O89" s="7"/>
      <c r="P89" s="7"/>
      <c r="Q89" s="35"/>
      <c r="R89" s="35"/>
      <c r="S89" s="54">
        <f t="shared" si="19"/>
        <v>1</v>
      </c>
      <c r="T89" s="98" t="str">
        <f t="shared" si="20"/>
        <v>Southbound</v>
      </c>
      <c r="U89" s="98">
        <f>COUNTIFS(Variables!$M$2:$M$19,IF(T89="NorthBound","&gt;=","&lt;=")&amp;Y89,Variables!$M$2:$M$19,IF(T89="NorthBound","&lt;=","&gt;=")&amp;Z89)</f>
        <v>12</v>
      </c>
      <c r="V8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13:45:54-0600',mode:absolute,to:'2016-07-07 14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9" s="106" t="str">
        <f t="shared" si="22"/>
        <v>N</v>
      </c>
      <c r="X89" s="106">
        <f t="shared" si="23"/>
        <v>1</v>
      </c>
      <c r="Y89" s="106">
        <f t="shared" si="24"/>
        <v>23.300799999999999</v>
      </c>
      <c r="Z89" s="106">
        <f t="shared" si="25"/>
        <v>1.3899999999999999E-2</v>
      </c>
      <c r="AA89" s="106">
        <f t="shared" si="26"/>
        <v>23.286899999999999</v>
      </c>
      <c r="AB89" s="107" t="e">
        <f>VLOOKUP(A89,Enforcements!$C$7:$J$27,8,0)</f>
        <v>#N/A</v>
      </c>
      <c r="AC89" s="107" t="e">
        <f>VLOOKUP(A89,Enforcements!$C$7:$E$27,3,0)</f>
        <v>#N/A</v>
      </c>
      <c r="AD89" s="108" t="str">
        <f t="shared" si="27"/>
        <v>0176-07</v>
      </c>
      <c r="AE89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89" s="108" t="str">
        <f t="shared" si="29"/>
        <v>"C:\Program Files (x86)\AstroGrep\AstroGrep.exe" /spath="C:\Users\stu\Documents\Analysis\2016-02-23 RTDC Observations" /stypes="*4037*20160707*" /stext=" 19:.+((prompt.+disp)|(slice.+state.+chan)|(ment ac)|(system.+state.+chan)|(\|lc)|(penalty)|(\[timeout))" /e /r /s</v>
      </c>
    </row>
    <row r="90" spans="1:32" s="1" customFormat="1" x14ac:dyDescent="0.25">
      <c r="A90" s="62" t="s">
        <v>482</v>
      </c>
      <c r="B90" s="34">
        <v>4018</v>
      </c>
      <c r="C90" s="34" t="s">
        <v>60</v>
      </c>
      <c r="D90" s="34" t="s">
        <v>209</v>
      </c>
      <c r="E90" s="20">
        <v>42558.547314814816</v>
      </c>
      <c r="F90" s="20">
        <v>42558.548206018517</v>
      </c>
      <c r="G90" s="23">
        <v>1</v>
      </c>
      <c r="H90" s="20" t="s">
        <v>397</v>
      </c>
      <c r="I90" s="20">
        <v>42558.576562499999</v>
      </c>
      <c r="J90" s="34">
        <v>0</v>
      </c>
      <c r="K90" s="34" t="str">
        <f t="shared" si="16"/>
        <v>4017/4018</v>
      </c>
      <c r="L90" s="34" t="str">
        <f>VLOOKUP(A90,'Trips&amp;Operators'!$C$1:$E$10000,3,FALSE)</f>
        <v>STAMBAUGH</v>
      </c>
      <c r="M90" s="6">
        <f t="shared" si="17"/>
        <v>2.8356481481750961E-2</v>
      </c>
      <c r="N90" s="7">
        <f t="shared" si="18"/>
        <v>40.833333333721384</v>
      </c>
      <c r="O90" s="7"/>
      <c r="P90" s="7"/>
      <c r="Q90" s="35"/>
      <c r="R90" s="35"/>
      <c r="S90" s="54">
        <f t="shared" si="19"/>
        <v>1</v>
      </c>
      <c r="T90" s="98" t="str">
        <f t="shared" si="20"/>
        <v>NorthBound</v>
      </c>
      <c r="U90" s="98">
        <f>COUNTIFS(Variables!$M$2:$M$19,IF(T90="NorthBound","&gt;=","&lt;=")&amp;Y90,Variables!$M$2:$M$19,IF(T90="NorthBound","&lt;=","&gt;=")&amp;Z90)</f>
        <v>12</v>
      </c>
      <c r="V9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13:07:08-0600',mode:absolute,to:'2016-07-07 13:51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0" s="106" t="str">
        <f t="shared" si="22"/>
        <v>N</v>
      </c>
      <c r="X90" s="106">
        <f t="shared" si="23"/>
        <v>1</v>
      </c>
      <c r="Y90" s="106">
        <f t="shared" si="24"/>
        <v>4.58E-2</v>
      </c>
      <c r="Z90" s="106">
        <f t="shared" si="25"/>
        <v>23.3291</v>
      </c>
      <c r="AA90" s="106">
        <f t="shared" si="26"/>
        <v>23.283300000000001</v>
      </c>
      <c r="AB90" s="107" t="e">
        <f>VLOOKUP(A90,Enforcements!$C$7:$J$27,8,0)</f>
        <v>#N/A</v>
      </c>
      <c r="AC90" s="107" t="e">
        <f>VLOOKUP(A90,Enforcements!$C$7:$E$27,3,0)</f>
        <v>#N/A</v>
      </c>
      <c r="AD90" s="108" t="str">
        <f t="shared" si="27"/>
        <v>0177-07</v>
      </c>
      <c r="AE90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90" s="108" t="str">
        <f t="shared" si="29"/>
        <v>"C:\Program Files (x86)\AstroGrep\AstroGrep.exe" /spath="C:\Users\stu\Documents\Analysis\2016-02-23 RTDC Observations" /stypes="*4018*20160707*" /stext=" 19:.+((prompt.+disp)|(slice.+state.+chan)|(ment ac)|(system.+state.+chan)|(\|lc)|(penalty)|(\[timeout))" /e /r /s</v>
      </c>
    </row>
    <row r="91" spans="1:32" s="1" customFormat="1" x14ac:dyDescent="0.25">
      <c r="A91" s="62" t="s">
        <v>483</v>
      </c>
      <c r="B91" s="34">
        <v>4017</v>
      </c>
      <c r="C91" s="34" t="s">
        <v>60</v>
      </c>
      <c r="D91" s="34" t="s">
        <v>239</v>
      </c>
      <c r="E91" s="20">
        <v>42558.587881944448</v>
      </c>
      <c r="F91" s="20">
        <v>42558.588692129626</v>
      </c>
      <c r="G91" s="23">
        <v>1</v>
      </c>
      <c r="H91" s="20" t="s">
        <v>170</v>
      </c>
      <c r="I91" s="20">
        <v>42558.61922453704</v>
      </c>
      <c r="J91" s="34">
        <v>0</v>
      </c>
      <c r="K91" s="34" t="str">
        <f t="shared" si="16"/>
        <v>4017/4018</v>
      </c>
      <c r="L91" s="34" t="str">
        <f>VLOOKUP(A91,'Trips&amp;Operators'!$C$1:$E$10000,3,FALSE)</f>
        <v>STAMBAUGH</v>
      </c>
      <c r="M91" s="6">
        <f t="shared" si="17"/>
        <v>3.0532407414284535E-2</v>
      </c>
      <c r="N91" s="7">
        <f t="shared" si="18"/>
        <v>43.96666667656973</v>
      </c>
      <c r="O91" s="7"/>
      <c r="P91" s="7"/>
      <c r="Q91" s="35"/>
      <c r="R91" s="35"/>
      <c r="S91" s="54">
        <f t="shared" si="19"/>
        <v>1</v>
      </c>
      <c r="T91" s="98" t="str">
        <f t="shared" si="20"/>
        <v>Southbound</v>
      </c>
      <c r="U91" s="98">
        <f>COUNTIFS(Variables!$M$2:$M$19,IF(T91="NorthBound","&gt;=","&lt;=")&amp;Y91,Variables!$M$2:$M$19,IF(T91="NorthBound","&lt;=","&gt;=")&amp;Z91)</f>
        <v>12</v>
      </c>
      <c r="V9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14:05:33-0600',mode:absolute,to:'2016-07-07 14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1" s="106" t="str">
        <f t="shared" si="22"/>
        <v>N</v>
      </c>
      <c r="X91" s="106">
        <f t="shared" si="23"/>
        <v>1</v>
      </c>
      <c r="Y91" s="106">
        <f t="shared" si="24"/>
        <v>23.2971</v>
      </c>
      <c r="Z91" s="106">
        <f t="shared" si="25"/>
        <v>1.41E-2</v>
      </c>
      <c r="AA91" s="106">
        <f t="shared" si="26"/>
        <v>23.283000000000001</v>
      </c>
      <c r="AB91" s="107" t="e">
        <f>VLOOKUP(A91,Enforcements!$C$7:$J$27,8,0)</f>
        <v>#N/A</v>
      </c>
      <c r="AC91" s="107" t="e">
        <f>VLOOKUP(A91,Enforcements!$C$7:$E$27,3,0)</f>
        <v>#N/A</v>
      </c>
      <c r="AD91" s="108" t="str">
        <f t="shared" si="27"/>
        <v>0178-07</v>
      </c>
      <c r="AE91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91" s="108" t="str">
        <f t="shared" si="29"/>
        <v>"C:\Program Files (x86)\AstroGrep\AstroGrep.exe" /spath="C:\Users\stu\Documents\Analysis\2016-02-23 RTDC Observations" /stypes="*4017*20160707*" /stext=" 20:.+((prompt.+disp)|(slice.+state.+chan)|(ment ac)|(system.+state.+chan)|(\|lc)|(penalty)|(\[timeout))" /e /r /s</v>
      </c>
    </row>
    <row r="92" spans="1:32" s="1" customFormat="1" x14ac:dyDescent="0.25">
      <c r="A92" s="62" t="s">
        <v>484</v>
      </c>
      <c r="B92" s="34">
        <v>4011</v>
      </c>
      <c r="C92" s="34" t="s">
        <v>60</v>
      </c>
      <c r="D92" s="34" t="s">
        <v>485</v>
      </c>
      <c r="E92" s="20">
        <v>42558.557071759256</v>
      </c>
      <c r="F92" s="20">
        <v>42558.557893518519</v>
      </c>
      <c r="G92" s="20">
        <v>1</v>
      </c>
      <c r="H92" s="20" t="s">
        <v>325</v>
      </c>
      <c r="I92" s="20">
        <v>42558.587245370371</v>
      </c>
      <c r="J92" s="34">
        <v>0</v>
      </c>
      <c r="K92" s="34" t="str">
        <f t="shared" si="16"/>
        <v>4011/4012</v>
      </c>
      <c r="L92" s="34" t="str">
        <f>VLOOKUP(A92,'Trips&amp;Operators'!$C$1:$E$10000,3,FALSE)</f>
        <v>COOLAHAN</v>
      </c>
      <c r="M92" s="6">
        <f t="shared" si="17"/>
        <v>2.9351851851970423E-2</v>
      </c>
      <c r="N92" s="7">
        <f t="shared" si="18"/>
        <v>42.266666666837409</v>
      </c>
      <c r="O92" s="7"/>
      <c r="P92" s="7"/>
      <c r="Q92" s="35"/>
      <c r="R92" s="35"/>
      <c r="S92" s="54">
        <f t="shared" si="19"/>
        <v>1</v>
      </c>
      <c r="T92" s="98" t="str">
        <f t="shared" si="20"/>
        <v>NorthBound</v>
      </c>
      <c r="U92" s="98">
        <f>COUNTIFS(Variables!$M$2:$M$19,IF(T92="NorthBound","&gt;=","&lt;=")&amp;Y92,Variables!$M$2:$M$19,IF(T92="NorthBound","&lt;=","&gt;=")&amp;Z92)</f>
        <v>12</v>
      </c>
      <c r="V9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13:21:11-0600',mode:absolute,to:'2016-07-07 14:06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92" s="106" t="str">
        <f t="shared" si="22"/>
        <v>N</v>
      </c>
      <c r="X92" s="106">
        <f t="shared" si="23"/>
        <v>1</v>
      </c>
      <c r="Y92" s="106">
        <f t="shared" si="24"/>
        <v>5.2900000000000003E-2</v>
      </c>
      <c r="Z92" s="106">
        <f t="shared" si="25"/>
        <v>23.330400000000001</v>
      </c>
      <c r="AA92" s="106">
        <f t="shared" si="26"/>
        <v>23.2775</v>
      </c>
      <c r="AB92" s="107" t="e">
        <f>VLOOKUP(A92,Enforcements!$C$7:$J$27,8,0)</f>
        <v>#N/A</v>
      </c>
      <c r="AC92" s="107" t="e">
        <f>VLOOKUP(A92,Enforcements!$C$7:$E$27,3,0)</f>
        <v>#N/A</v>
      </c>
      <c r="AD92" s="108" t="str">
        <f t="shared" si="27"/>
        <v>0179-07</v>
      </c>
      <c r="AE92" s="108" t="str">
        <f t="shared" si="28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92" s="108" t="str">
        <f t="shared" si="29"/>
        <v>"C:\Program Files (x86)\AstroGrep\AstroGrep.exe" /spath="C:\Users\stu\Documents\Analysis\2016-02-23 RTDC Observations" /stypes="*4011*20160707*" /stext=" 19:.+((prompt.+disp)|(slice.+state.+chan)|(ment ac)|(system.+state.+chan)|(\|lc)|(penalty)|(\[timeout))" /e /r /s</v>
      </c>
    </row>
    <row r="93" spans="1:32" s="1" customFormat="1" x14ac:dyDescent="0.25">
      <c r="A93" s="34" t="s">
        <v>486</v>
      </c>
      <c r="B93" s="34">
        <v>4012</v>
      </c>
      <c r="C93" s="34" t="s">
        <v>60</v>
      </c>
      <c r="D93" s="34" t="s">
        <v>487</v>
      </c>
      <c r="E93" s="20">
        <v>42558.609861111108</v>
      </c>
      <c r="F93" s="20">
        <v>42558.610462962963</v>
      </c>
      <c r="G93" s="20">
        <v>0</v>
      </c>
      <c r="H93" s="20" t="s">
        <v>398</v>
      </c>
      <c r="I93" s="20">
        <v>42558.63181712963</v>
      </c>
      <c r="J93" s="34">
        <v>1</v>
      </c>
      <c r="K93" s="34" t="str">
        <f t="shared" si="16"/>
        <v>4011/4012</v>
      </c>
      <c r="L93" s="34" t="str">
        <f>VLOOKUP(A93,'Trips&amp;Operators'!$C$1:$E$10000,3,FALSE)</f>
        <v>COOLAHAN</v>
      </c>
      <c r="M93" s="6">
        <f t="shared" si="17"/>
        <v>2.1354166667151731E-2</v>
      </c>
      <c r="N93" s="7"/>
      <c r="O93" s="7"/>
      <c r="P93" s="7">
        <f>24*60*SUM($M93:$M94)</f>
        <v>40.983333337353542</v>
      </c>
      <c r="Q93" s="35"/>
      <c r="R93" s="35" t="s">
        <v>735</v>
      </c>
      <c r="S93" s="54">
        <f t="shared" si="19"/>
        <v>1</v>
      </c>
      <c r="T93" s="98" t="str">
        <f t="shared" si="20"/>
        <v>Southbound</v>
      </c>
      <c r="U93" s="98">
        <f>COUNTIFS(Variables!$M$2:$M$19,IF(T93="NorthBound","&gt;=","&lt;=")&amp;Y93,Variables!$M$2:$M$19,IF(T93="NorthBound","&lt;=","&gt;=")&amp;Z93)</f>
        <v>12</v>
      </c>
      <c r="V9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3" s="106" t="str">
        <f t="shared" si="22"/>
        <v>Y</v>
      </c>
      <c r="X93" s="106">
        <f t="shared" si="23"/>
        <v>1</v>
      </c>
      <c r="Y93" s="106">
        <f t="shared" si="24"/>
        <v>15.395300000000001</v>
      </c>
      <c r="Z93" s="106">
        <f t="shared" si="25"/>
        <v>1.67E-2</v>
      </c>
      <c r="AA93" s="106">
        <f t="shared" si="26"/>
        <v>15.3786</v>
      </c>
      <c r="AB93" s="107" t="e">
        <f>VLOOKUP(A93,Enforcements!$C$7:$J$27,8,0)</f>
        <v>#N/A</v>
      </c>
      <c r="AC93" s="107" t="e">
        <f>VLOOKUP(A93,Enforcements!$C$7:$E$27,3,0)</f>
        <v>#N/A</v>
      </c>
      <c r="AD93" s="108" t="str">
        <f t="shared" si="27"/>
        <v>0180-07</v>
      </c>
      <c r="AE93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93" s="108" t="str">
        <f t="shared" si="29"/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</row>
    <row r="94" spans="1:32" s="1" customFormat="1" x14ac:dyDescent="0.25">
      <c r="A94" s="34" t="s">
        <v>486</v>
      </c>
      <c r="B94" s="64">
        <v>4012</v>
      </c>
      <c r="C94" s="64" t="s">
        <v>60</v>
      </c>
      <c r="D94" s="64" t="s">
        <v>233</v>
      </c>
      <c r="E94" s="70">
        <v>42558.598668981482</v>
      </c>
      <c r="F94" s="70">
        <v>42558.599537037036</v>
      </c>
      <c r="G94" s="71">
        <v>1</v>
      </c>
      <c r="H94" s="70" t="s">
        <v>488</v>
      </c>
      <c r="I94" s="70">
        <v>42558.60664351852</v>
      </c>
      <c r="J94" s="64">
        <v>1</v>
      </c>
      <c r="K94" s="34" t="str">
        <f t="shared" si="16"/>
        <v>4011/4012</v>
      </c>
      <c r="L94" s="34" t="str">
        <f>VLOOKUP(A94,'Trips&amp;Operators'!$C$1:$E$10000,3,FALSE)</f>
        <v>COOLAHAN</v>
      </c>
      <c r="M94" s="6">
        <f t="shared" si="17"/>
        <v>7.1064814837882295E-3</v>
      </c>
      <c r="N94" s="7"/>
      <c r="O94" s="7"/>
      <c r="P94" s="7"/>
      <c r="Q94" s="35"/>
      <c r="R94" s="35"/>
      <c r="S94" s="54"/>
      <c r="T94" s="98" t="str">
        <f t="shared" si="20"/>
        <v>Southbound</v>
      </c>
      <c r="U94" s="98">
        <f>COUNTIFS(Variables!$M$2:$M$19,IF(T94="NorthBound","&gt;=","&lt;=")&amp;Y94,Variables!$M$2:$M$19,IF(T94="NorthBound","&lt;=","&gt;=")&amp;Z94)</f>
        <v>0</v>
      </c>
      <c r="V9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14:21:05-0600',mode:absolute,to:'2016-07-07 14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94" s="106" t="str">
        <f t="shared" si="22"/>
        <v>Y</v>
      </c>
      <c r="X94" s="106">
        <f t="shared" si="23"/>
        <v>0</v>
      </c>
      <c r="Y94" s="106">
        <f t="shared" si="24"/>
        <v>23.297599999999999</v>
      </c>
      <c r="Z94" s="106">
        <f t="shared" si="25"/>
        <v>19.153199999999998</v>
      </c>
      <c r="AA94" s="106">
        <f t="shared" si="26"/>
        <v>4.144400000000001</v>
      </c>
      <c r="AB94" s="107" t="e">
        <f>VLOOKUP(A94,Enforcements!$C$7:$J$27,8,0)</f>
        <v>#N/A</v>
      </c>
      <c r="AC94" s="107" t="e">
        <f>VLOOKUP(A94,Enforcements!$C$7:$E$27,3,0)</f>
        <v>#N/A</v>
      </c>
      <c r="AD94" s="108" t="str">
        <f t="shared" si="27"/>
        <v>0180-07</v>
      </c>
      <c r="AE94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94" s="108" t="str">
        <f t="shared" si="29"/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</row>
    <row r="95" spans="1:32" s="1" customFormat="1" x14ac:dyDescent="0.25">
      <c r="A95" s="34" t="s">
        <v>489</v>
      </c>
      <c r="B95" s="64">
        <v>4014</v>
      </c>
      <c r="C95" s="64" t="s">
        <v>60</v>
      </c>
      <c r="D95" s="64" t="s">
        <v>72</v>
      </c>
      <c r="E95" s="70">
        <v>42558.572824074072</v>
      </c>
      <c r="F95" s="70">
        <v>42558.573518518519</v>
      </c>
      <c r="G95" s="71">
        <v>1</v>
      </c>
      <c r="H95" s="70" t="s">
        <v>240</v>
      </c>
      <c r="I95" s="70">
        <v>42558.597025462965</v>
      </c>
      <c r="J95" s="64">
        <v>0</v>
      </c>
      <c r="K95" s="34" t="str">
        <f t="shared" si="16"/>
        <v>4013/4014</v>
      </c>
      <c r="L95" s="34" t="str">
        <f>VLOOKUP(A95,'Trips&amp;Operators'!$C$1:$E$10000,3,FALSE)</f>
        <v>ROCHA</v>
      </c>
      <c r="M95" s="6">
        <f t="shared" si="17"/>
        <v>2.3506944446125999E-2</v>
      </c>
      <c r="N95" s="7">
        <f t="shared" si="18"/>
        <v>33.850000002421439</v>
      </c>
      <c r="O95" s="7"/>
      <c r="P95" s="7"/>
      <c r="Q95" s="35"/>
      <c r="R95" s="35"/>
      <c r="S95" s="54">
        <f t="shared" si="19"/>
        <v>1</v>
      </c>
      <c r="T95" s="98" t="str">
        <f t="shared" si="20"/>
        <v>NorthBound</v>
      </c>
      <c r="U95" s="98">
        <f>COUNTIFS(Variables!$M$2:$M$19,IF(T95="NorthBound","&gt;=","&lt;=")&amp;Y95,Variables!$M$2:$M$19,IF(T95="NorthBound","&lt;=","&gt;=")&amp;Z95)</f>
        <v>12</v>
      </c>
      <c r="V9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13:43:52-0600',mode:absolute,to:'2016-07-07 14:20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5" s="106" t="str">
        <f t="shared" si="22"/>
        <v>N</v>
      </c>
      <c r="X95" s="106">
        <f t="shared" si="23"/>
        <v>1</v>
      </c>
      <c r="Y95" s="106">
        <f t="shared" si="24"/>
        <v>4.5699999999999998E-2</v>
      </c>
      <c r="Z95" s="106">
        <f t="shared" si="25"/>
        <v>23.329699999999999</v>
      </c>
      <c r="AA95" s="106">
        <f t="shared" si="26"/>
        <v>23.283999999999999</v>
      </c>
      <c r="AB95" s="107" t="e">
        <f>VLOOKUP(A95,Enforcements!$C$7:$J$27,8,0)</f>
        <v>#N/A</v>
      </c>
      <c r="AC95" s="107" t="e">
        <f>VLOOKUP(A95,Enforcements!$C$7:$E$27,3,0)</f>
        <v>#N/A</v>
      </c>
      <c r="AD95" s="108" t="str">
        <f t="shared" si="27"/>
        <v>0181-07</v>
      </c>
      <c r="AE95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95" s="108" t="str">
        <f t="shared" si="29"/>
        <v>"C:\Program Files (x86)\AstroGrep\AstroGrep.exe" /spath="C:\Users\stu\Documents\Analysis\2016-02-23 RTDC Observations" /stypes="*4014*20160707*" /stext=" 19:.+((prompt.+disp)|(slice.+state.+chan)|(ment ac)|(system.+state.+chan)|(\|lc)|(penalty)|(\[timeout))" /e /r /s</v>
      </c>
    </row>
    <row r="96" spans="1:32" s="1" customFormat="1" x14ac:dyDescent="0.25">
      <c r="A96" s="34" t="s">
        <v>490</v>
      </c>
      <c r="B96" s="64">
        <v>4013</v>
      </c>
      <c r="C96" s="64" t="s">
        <v>60</v>
      </c>
      <c r="D96" s="64" t="s">
        <v>167</v>
      </c>
      <c r="E96" s="70">
        <v>42558.611122685186</v>
      </c>
      <c r="F96" s="70">
        <v>42558.612083333333</v>
      </c>
      <c r="G96" s="71">
        <v>1</v>
      </c>
      <c r="H96" s="70" t="s">
        <v>128</v>
      </c>
      <c r="I96" s="70">
        <v>42558.639317129629</v>
      </c>
      <c r="J96" s="64">
        <v>1</v>
      </c>
      <c r="K96" s="34" t="str">
        <f t="shared" si="16"/>
        <v>4013/4014</v>
      </c>
      <c r="L96" s="34" t="str">
        <f>VLOOKUP(A96,'Trips&amp;Operators'!$C$1:$E$10000,3,FALSE)</f>
        <v>ROCHA</v>
      </c>
      <c r="M96" s="6">
        <f t="shared" si="17"/>
        <v>2.7233796296059154E-2</v>
      </c>
      <c r="N96" s="7">
        <f t="shared" si="18"/>
        <v>39.216666666325182</v>
      </c>
      <c r="O96" s="7"/>
      <c r="P96" s="7"/>
      <c r="Q96" s="35"/>
      <c r="R96" s="35"/>
      <c r="S96" s="54">
        <f t="shared" si="19"/>
        <v>1</v>
      </c>
      <c r="T96" s="98" t="str">
        <f t="shared" si="20"/>
        <v>Southbound</v>
      </c>
      <c r="U96" s="98">
        <f>COUNTIFS(Variables!$M$2:$M$19,IF(T96="NorthBound","&gt;=","&lt;=")&amp;Y96,Variables!$M$2:$M$19,IF(T96="NorthBound","&lt;=","&gt;=")&amp;Z96)</f>
        <v>12</v>
      </c>
      <c r="V9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14:39:01-0600',mode:absolute,to:'2016-07-07 15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106" t="str">
        <f t="shared" si="22"/>
        <v>N</v>
      </c>
      <c r="X96" s="106">
        <f t="shared" si="23"/>
        <v>1</v>
      </c>
      <c r="Y96" s="106">
        <f t="shared" si="24"/>
        <v>23.2973</v>
      </c>
      <c r="Z96" s="106">
        <f t="shared" si="25"/>
        <v>1.54E-2</v>
      </c>
      <c r="AA96" s="106">
        <f t="shared" si="26"/>
        <v>23.2819</v>
      </c>
      <c r="AB96" s="107">
        <f>VLOOKUP(A96,Enforcements!$C$7:$J$27,8,0)</f>
        <v>53277</v>
      </c>
      <c r="AC96" s="107" t="str">
        <f>VLOOKUP(A96,Enforcements!$C$7:$E$27,3,0)</f>
        <v>GRADE CROSSING</v>
      </c>
      <c r="AD96" s="108" t="str">
        <f t="shared" si="27"/>
        <v>0182-07</v>
      </c>
      <c r="AE96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96" s="108" t="str">
        <f t="shared" si="29"/>
        <v>"C:\Program Files (x86)\AstroGrep\AstroGrep.exe" /spath="C:\Users\stu\Documents\Analysis\2016-02-23 RTDC Observations" /stypes="*4013*20160707*" /stext=" 20:.+((prompt.+disp)|(slice.+state.+chan)|(ment ac)|(system.+state.+chan)|(\|lc)|(penalty)|(\[timeout))" /e /r /s</v>
      </c>
    </row>
    <row r="97" spans="1:32" s="1" customFormat="1" x14ac:dyDescent="0.25">
      <c r="A97" s="34" t="s">
        <v>491</v>
      </c>
      <c r="B97" s="64">
        <v>4044</v>
      </c>
      <c r="C97" s="64" t="s">
        <v>60</v>
      </c>
      <c r="D97" s="64" t="s">
        <v>492</v>
      </c>
      <c r="E97" s="70">
        <v>42558.577627314815</v>
      </c>
      <c r="F97" s="70">
        <v>42558.578472222223</v>
      </c>
      <c r="G97" s="71">
        <v>1</v>
      </c>
      <c r="H97" s="70" t="s">
        <v>230</v>
      </c>
      <c r="I97" s="70">
        <v>42558.608252314814</v>
      </c>
      <c r="J97" s="64">
        <v>0</v>
      </c>
      <c r="K97" s="34" t="str">
        <f t="shared" si="16"/>
        <v>4043/4044</v>
      </c>
      <c r="L97" s="34" t="str">
        <f>VLOOKUP(A97,'Trips&amp;Operators'!$C$1:$E$10000,3,FALSE)</f>
        <v>BEAM</v>
      </c>
      <c r="M97" s="6">
        <f t="shared" si="17"/>
        <v>2.9780092590954155E-2</v>
      </c>
      <c r="N97" s="7">
        <f t="shared" si="18"/>
        <v>42.883333330973983</v>
      </c>
      <c r="O97" s="7"/>
      <c r="P97" s="7"/>
      <c r="Q97" s="35"/>
      <c r="R97" s="35"/>
      <c r="S97" s="54">
        <f t="shared" si="19"/>
        <v>1</v>
      </c>
      <c r="T97" s="98" t="str">
        <f t="shared" si="20"/>
        <v>NorthBound</v>
      </c>
      <c r="U97" s="98">
        <f>COUNTIFS(Variables!$M$2:$M$19,IF(T97="NorthBound","&gt;=","&lt;=")&amp;Y97,Variables!$M$2:$M$19,IF(T97="NorthBound","&lt;=","&gt;=")&amp;Z97)</f>
        <v>12</v>
      </c>
      <c r="V9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13:50:47-0600',mode:absolute,to:'2016-07-07 14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7" s="106" t="str">
        <f t="shared" si="22"/>
        <v>N</v>
      </c>
      <c r="X97" s="106">
        <f t="shared" si="23"/>
        <v>1</v>
      </c>
      <c r="Y97" s="106">
        <f t="shared" si="24"/>
        <v>5.7299999999999997E-2</v>
      </c>
      <c r="Z97" s="106">
        <f t="shared" si="25"/>
        <v>23.331700000000001</v>
      </c>
      <c r="AA97" s="106">
        <f t="shared" si="26"/>
        <v>23.2744</v>
      </c>
      <c r="AB97" s="107" t="e">
        <f>VLOOKUP(A97,Enforcements!$C$7:$J$27,8,0)</f>
        <v>#N/A</v>
      </c>
      <c r="AC97" s="107" t="e">
        <f>VLOOKUP(A97,Enforcements!$C$7:$E$27,3,0)</f>
        <v>#N/A</v>
      </c>
      <c r="AD97" s="108" t="str">
        <f t="shared" si="27"/>
        <v>0183-07</v>
      </c>
      <c r="AE97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97" s="108" t="str">
        <f t="shared" si="29"/>
        <v>"C:\Program Files (x86)\AstroGrep\AstroGrep.exe" /spath="C:\Users\stu\Documents\Analysis\2016-02-23 RTDC Observations" /stypes="*4044*20160707*" /stext=" 19:.+((prompt.+disp)|(slice.+state.+chan)|(ment ac)|(system.+state.+chan)|(\|lc)|(penalty)|(\[timeout))" /e /r /s</v>
      </c>
    </row>
    <row r="98" spans="1:32" s="1" customFormat="1" x14ac:dyDescent="0.25">
      <c r="A98" s="34" t="s">
        <v>493</v>
      </c>
      <c r="B98" s="64">
        <v>4043</v>
      </c>
      <c r="C98" s="64" t="s">
        <v>60</v>
      </c>
      <c r="D98" s="64" t="s">
        <v>327</v>
      </c>
      <c r="E98" s="70">
        <v>42558.617581018516</v>
      </c>
      <c r="F98" s="70">
        <v>42558.618449074071</v>
      </c>
      <c r="G98" s="71">
        <v>1</v>
      </c>
      <c r="H98" s="70" t="s">
        <v>494</v>
      </c>
      <c r="I98" s="70">
        <v>42558.649398148147</v>
      </c>
      <c r="J98" s="64">
        <v>0</v>
      </c>
      <c r="K98" s="34" t="str">
        <f t="shared" si="16"/>
        <v>4043/4044</v>
      </c>
      <c r="L98" s="34" t="str">
        <f>VLOOKUP(A98,'Trips&amp;Operators'!$C$1:$E$10000,3,FALSE)</f>
        <v>BEAM</v>
      </c>
      <c r="M98" s="6">
        <f t="shared" si="17"/>
        <v>3.0949074076488614E-2</v>
      </c>
      <c r="N98" s="7">
        <f t="shared" si="18"/>
        <v>44.566666670143604</v>
      </c>
      <c r="O98" s="7"/>
      <c r="P98" s="7"/>
      <c r="Q98" s="35"/>
      <c r="R98" s="35"/>
      <c r="S98" s="54">
        <f t="shared" si="19"/>
        <v>1</v>
      </c>
      <c r="T98" s="98" t="str">
        <f t="shared" si="20"/>
        <v>Southbound</v>
      </c>
      <c r="U98" s="98">
        <f>COUNTIFS(Variables!$M$2:$M$19,IF(T98="NorthBound","&gt;=","&lt;=")&amp;Y98,Variables!$M$2:$M$19,IF(T98="NorthBound","&lt;=","&gt;=")&amp;Z98)</f>
        <v>12</v>
      </c>
      <c r="V9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14:48:19-0600',mode:absolute,to:'2016-07-07 15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8" s="106" t="str">
        <f t="shared" si="22"/>
        <v>N</v>
      </c>
      <c r="X98" s="106">
        <f t="shared" si="23"/>
        <v>1</v>
      </c>
      <c r="Y98" s="106">
        <f t="shared" si="24"/>
        <v>23.299600000000002</v>
      </c>
      <c r="Z98" s="106">
        <f t="shared" si="25"/>
        <v>0.04</v>
      </c>
      <c r="AA98" s="106">
        <f t="shared" si="26"/>
        <v>23.259600000000002</v>
      </c>
      <c r="AB98" s="107" t="e">
        <f>VLOOKUP(A98,Enforcements!$C$7:$J$27,8,0)</f>
        <v>#N/A</v>
      </c>
      <c r="AC98" s="107" t="e">
        <f>VLOOKUP(A98,Enforcements!$C$7:$E$27,3,0)</f>
        <v>#N/A</v>
      </c>
      <c r="AD98" s="108" t="str">
        <f t="shared" si="27"/>
        <v>0184-07</v>
      </c>
      <c r="AE98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98" s="108" t="str">
        <f t="shared" si="29"/>
        <v>"C:\Program Files (x86)\AstroGrep\AstroGrep.exe" /spath="C:\Users\stu\Documents\Analysis\2016-02-23 RTDC Observations" /stypes="*4043*20160707*" /stext=" 20:.+((prompt.+disp)|(slice.+state.+chan)|(ment ac)|(system.+state.+chan)|(\|lc)|(penalty)|(\[timeout))" /e /r /s</v>
      </c>
    </row>
    <row r="99" spans="1:32" s="1" customFormat="1" x14ac:dyDescent="0.25">
      <c r="A99" s="34" t="s">
        <v>495</v>
      </c>
      <c r="B99" s="64">
        <v>4031</v>
      </c>
      <c r="C99" s="64" t="s">
        <v>60</v>
      </c>
      <c r="D99" s="64" t="s">
        <v>496</v>
      </c>
      <c r="E99" s="70">
        <v>42558.589016203703</v>
      </c>
      <c r="F99" s="70">
        <v>42558.589872685188</v>
      </c>
      <c r="G99" s="71">
        <v>1</v>
      </c>
      <c r="H99" s="70" t="s">
        <v>497</v>
      </c>
      <c r="I99" s="70">
        <v>42558.618761574071</v>
      </c>
      <c r="J99" s="64">
        <v>0</v>
      </c>
      <c r="K99" s="34" t="str">
        <f t="shared" si="16"/>
        <v>4031/4032</v>
      </c>
      <c r="L99" s="34" t="str">
        <f>VLOOKUP(A99,'Trips&amp;Operators'!$C$1:$E$10000,3,FALSE)</f>
        <v>STEWART</v>
      </c>
      <c r="M99" s="6">
        <f t="shared" si="17"/>
        <v>2.8888888882647734E-2</v>
      </c>
      <c r="N99" s="7">
        <f t="shared" si="18"/>
        <v>41.599999991012737</v>
      </c>
      <c r="O99" s="7"/>
      <c r="P99" s="7"/>
      <c r="Q99" s="35"/>
      <c r="R99" s="35"/>
      <c r="S99" s="54">
        <f t="shared" si="19"/>
        <v>1</v>
      </c>
      <c r="T99" s="98" t="str">
        <f t="shared" si="20"/>
        <v>NorthBound</v>
      </c>
      <c r="U99" s="98">
        <f>COUNTIFS(Variables!$M$2:$M$19,IF(T99="NorthBound","&gt;=","&lt;=")&amp;Y99,Variables!$M$2:$M$19,IF(T99="NorthBound","&lt;=","&gt;=")&amp;Z99)</f>
        <v>12</v>
      </c>
      <c r="V9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14:07:11-0600',mode:absolute,to:'2016-07-07 14:52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99" s="106" t="str">
        <f t="shared" si="22"/>
        <v>N</v>
      </c>
      <c r="X99" s="106">
        <f t="shared" si="23"/>
        <v>1</v>
      </c>
      <c r="Y99" s="106">
        <f t="shared" si="24"/>
        <v>4.8800000000000003E-2</v>
      </c>
      <c r="Z99" s="106">
        <f t="shared" si="25"/>
        <v>23.331099999999999</v>
      </c>
      <c r="AA99" s="106">
        <f t="shared" si="26"/>
        <v>23.282299999999999</v>
      </c>
      <c r="AB99" s="107" t="e">
        <f>VLOOKUP(A99,Enforcements!$C$7:$J$27,8,0)</f>
        <v>#N/A</v>
      </c>
      <c r="AC99" s="107" t="e">
        <f>VLOOKUP(A99,Enforcements!$C$7:$E$27,3,0)</f>
        <v>#N/A</v>
      </c>
      <c r="AD99" s="108" t="str">
        <f t="shared" si="27"/>
        <v>0185-07</v>
      </c>
      <c r="AE99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99" s="108" t="str">
        <f t="shared" si="29"/>
        <v>"C:\Program Files (x86)\AstroGrep\AstroGrep.exe" /spath="C:\Users\stu\Documents\Analysis\2016-02-23 RTDC Observations" /stypes="*4031*20160707*" /stext=" 20:.+((prompt.+disp)|(slice.+state.+chan)|(ment ac)|(system.+state.+chan)|(\|lc)|(penalty)|(\[timeout))" /e /r /s</v>
      </c>
    </row>
    <row r="100" spans="1:32" s="1" customFormat="1" x14ac:dyDescent="0.25">
      <c r="A100" s="34" t="s">
        <v>498</v>
      </c>
      <c r="B100" s="64">
        <v>4032</v>
      </c>
      <c r="C100" s="64" t="s">
        <v>60</v>
      </c>
      <c r="D100" s="64" t="s">
        <v>499</v>
      </c>
      <c r="E100" s="70">
        <v>42558.625648148147</v>
      </c>
      <c r="F100" s="70">
        <v>42558.626516203702</v>
      </c>
      <c r="G100" s="71">
        <v>1</v>
      </c>
      <c r="H100" s="70" t="s">
        <v>116</v>
      </c>
      <c r="I100" s="70">
        <v>42558.660752314812</v>
      </c>
      <c r="J100" s="64">
        <v>0</v>
      </c>
      <c r="K100" s="34" t="str">
        <f t="shared" si="16"/>
        <v>4031/4032</v>
      </c>
      <c r="L100" s="34" t="str">
        <f>VLOOKUP(A100,'Trips&amp;Operators'!$C$1:$E$10000,3,FALSE)</f>
        <v>STEWART</v>
      </c>
      <c r="M100" s="6">
        <f t="shared" si="17"/>
        <v>3.4236111110658385E-2</v>
      </c>
      <c r="N100" s="7">
        <f t="shared" si="18"/>
        <v>49.299999999348074</v>
      </c>
      <c r="O100" s="7"/>
      <c r="P100" s="7"/>
      <c r="Q100" s="35"/>
      <c r="R100" s="35"/>
      <c r="S100" s="54">
        <f t="shared" si="19"/>
        <v>1</v>
      </c>
      <c r="T100" s="98" t="str">
        <f t="shared" si="20"/>
        <v>Southbound</v>
      </c>
      <c r="U100" s="98">
        <f>COUNTIFS(Variables!$M$2:$M$19,IF(T100="NorthBound","&gt;=","&lt;=")&amp;Y100,Variables!$M$2:$M$19,IF(T100="NorthBound","&lt;=","&gt;=")&amp;Z100)</f>
        <v>12</v>
      </c>
      <c r="V10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14:59:56-0600',mode:absolute,to:'2016-07-07 15:52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0" s="106" t="str">
        <f t="shared" si="22"/>
        <v>N</v>
      </c>
      <c r="X100" s="106">
        <f t="shared" si="23"/>
        <v>1</v>
      </c>
      <c r="Y100" s="106">
        <f t="shared" si="24"/>
        <v>23.3001</v>
      </c>
      <c r="Z100" s="106">
        <f t="shared" si="25"/>
        <v>1.43E-2</v>
      </c>
      <c r="AA100" s="106">
        <f t="shared" si="26"/>
        <v>23.285800000000002</v>
      </c>
      <c r="AB100" s="107" t="e">
        <f>VLOOKUP(A100,Enforcements!$C$7:$J$27,8,0)</f>
        <v>#N/A</v>
      </c>
      <c r="AC100" s="107" t="e">
        <f>VLOOKUP(A100,Enforcements!$C$7:$E$27,3,0)</f>
        <v>#N/A</v>
      </c>
      <c r="AD100" s="108" t="str">
        <f t="shared" si="27"/>
        <v>0186-07</v>
      </c>
      <c r="AE100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00" s="108" t="str">
        <f t="shared" si="29"/>
        <v>"C:\Program Files (x86)\AstroGrep\AstroGrep.exe" /spath="C:\Users\stu\Documents\Analysis\2016-02-23 RTDC Observations" /stypes="*4032*20160707*" /stext=" 21:.+((prompt.+disp)|(slice.+state.+chan)|(ment ac)|(system.+state.+chan)|(\|lc)|(penalty)|(\[timeout))" /e /r /s</v>
      </c>
    </row>
    <row r="101" spans="1:32" s="1" customFormat="1" x14ac:dyDescent="0.25">
      <c r="A101" s="34" t="s">
        <v>500</v>
      </c>
      <c r="B101" s="64">
        <v>4027</v>
      </c>
      <c r="C101" s="64" t="s">
        <v>60</v>
      </c>
      <c r="D101" s="64" t="s">
        <v>501</v>
      </c>
      <c r="E101" s="70">
        <v>42558.598391203705</v>
      </c>
      <c r="F101" s="70">
        <v>42558.599548611113</v>
      </c>
      <c r="G101" s="71">
        <v>1</v>
      </c>
      <c r="H101" s="70" t="s">
        <v>325</v>
      </c>
      <c r="I101" s="70">
        <v>42558.631932870368</v>
      </c>
      <c r="J101" s="64">
        <v>0</v>
      </c>
      <c r="K101" s="34" t="str">
        <f t="shared" si="16"/>
        <v>4027/4028</v>
      </c>
      <c r="L101" s="34" t="str">
        <f>VLOOKUP(A101,'Trips&amp;Operators'!$C$1:$E$10000,3,FALSE)</f>
        <v>BARTLETT</v>
      </c>
      <c r="M101" s="6">
        <f t="shared" si="17"/>
        <v>3.2384259255195502E-2</v>
      </c>
      <c r="N101" s="7">
        <f t="shared" si="18"/>
        <v>46.633333327481523</v>
      </c>
      <c r="O101" s="7"/>
      <c r="P101" s="7"/>
      <c r="Q101" s="35"/>
      <c r="R101" s="35"/>
      <c r="S101" s="54">
        <f t="shared" si="19"/>
        <v>1</v>
      </c>
      <c r="T101" s="98" t="str">
        <f t="shared" si="20"/>
        <v>NorthBound</v>
      </c>
      <c r="U101" s="98">
        <f>COUNTIFS(Variables!$M$2:$M$19,IF(T101="NorthBound","&gt;=","&lt;=")&amp;Y101,Variables!$M$2:$M$19,IF(T101="NorthBound","&lt;=","&gt;=")&amp;Z101)</f>
        <v>12</v>
      </c>
      <c r="V10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14:20:41-0600',mode:absolute,to:'2016-07-07 15:10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1" s="106" t="str">
        <f t="shared" si="22"/>
        <v>N</v>
      </c>
      <c r="X101" s="106">
        <f t="shared" si="23"/>
        <v>1</v>
      </c>
      <c r="Y101" s="106">
        <f t="shared" si="24"/>
        <v>4.53E-2</v>
      </c>
      <c r="Z101" s="106">
        <f t="shared" si="25"/>
        <v>23.330400000000001</v>
      </c>
      <c r="AA101" s="106">
        <f t="shared" si="26"/>
        <v>23.2851</v>
      </c>
      <c r="AB101" s="107" t="e">
        <f>VLOOKUP(A101,Enforcements!$C$7:$J$27,8,0)</f>
        <v>#N/A</v>
      </c>
      <c r="AC101" s="107" t="e">
        <f>VLOOKUP(A101,Enforcements!$C$7:$E$27,3,0)</f>
        <v>#N/A</v>
      </c>
      <c r="AD101" s="108" t="str">
        <f t="shared" si="27"/>
        <v>0187-07</v>
      </c>
      <c r="AE101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101" s="108" t="str">
        <f t="shared" si="29"/>
        <v>"C:\Program Files (x86)\AstroGrep\AstroGrep.exe" /spath="C:\Users\stu\Documents\Analysis\2016-02-23 RTDC Observations" /stypes="*4027*20160707*" /stext=" 20:.+((prompt.+disp)|(slice.+state.+chan)|(ment ac)|(system.+state.+chan)|(\|lc)|(penalty)|(\[timeout))" /e /r /s</v>
      </c>
    </row>
    <row r="102" spans="1:32" s="1" customFormat="1" x14ac:dyDescent="0.25">
      <c r="A102" s="34" t="s">
        <v>502</v>
      </c>
      <c r="B102" s="64">
        <v>4028</v>
      </c>
      <c r="C102" s="64" t="s">
        <v>60</v>
      </c>
      <c r="D102" s="64" t="s">
        <v>503</v>
      </c>
      <c r="E102" s="70">
        <v>42558.637881944444</v>
      </c>
      <c r="F102" s="70">
        <v>42558.640497685185</v>
      </c>
      <c r="G102" s="71">
        <v>3</v>
      </c>
      <c r="H102" s="70" t="s">
        <v>342</v>
      </c>
      <c r="I102" s="70">
        <v>42558.6715625</v>
      </c>
      <c r="J102" s="64">
        <v>1</v>
      </c>
      <c r="K102" s="34" t="str">
        <f t="shared" si="16"/>
        <v>4027/4028</v>
      </c>
      <c r="L102" s="34" t="str">
        <f>VLOOKUP(A102,'Trips&amp;Operators'!$C$1:$E$10000,3,FALSE)</f>
        <v>BARTLETT</v>
      </c>
      <c r="M102" s="6">
        <f t="shared" si="17"/>
        <v>3.1064814815181307E-2</v>
      </c>
      <c r="N102" s="7">
        <f t="shared" si="18"/>
        <v>44.733333333861083</v>
      </c>
      <c r="O102" s="7"/>
      <c r="P102" s="7"/>
      <c r="Q102" s="35"/>
      <c r="R102" s="35"/>
      <c r="S102" s="54">
        <f t="shared" si="19"/>
        <v>1</v>
      </c>
      <c r="T102" s="98" t="str">
        <f t="shared" si="20"/>
        <v>Southbound</v>
      </c>
      <c r="U102" s="98">
        <f>COUNTIFS(Variables!$M$2:$M$19,IF(T102="NorthBound","&gt;=","&lt;=")&amp;Y102,Variables!$M$2:$M$19,IF(T102="NorthBound","&lt;=","&gt;=")&amp;Z102)</f>
        <v>12</v>
      </c>
      <c r="V10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15:17:33-0600',mode:absolute,to:'2016-07-07 16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02" s="106" t="str">
        <f t="shared" si="22"/>
        <v>N</v>
      </c>
      <c r="X102" s="106">
        <f t="shared" si="23"/>
        <v>1</v>
      </c>
      <c r="Y102" s="106">
        <f t="shared" si="24"/>
        <v>23.298500000000001</v>
      </c>
      <c r="Z102" s="106">
        <f t="shared" si="25"/>
        <v>1.7000000000000001E-2</v>
      </c>
      <c r="AA102" s="106">
        <f t="shared" si="26"/>
        <v>23.281500000000001</v>
      </c>
      <c r="AB102" s="107" t="e">
        <f>VLOOKUP(A102,Enforcements!$C$7:$J$27,8,0)</f>
        <v>#N/A</v>
      </c>
      <c r="AC102" s="107" t="e">
        <f>VLOOKUP(A102,Enforcements!$C$7:$E$27,3,0)</f>
        <v>#N/A</v>
      </c>
      <c r="AD102" s="108" t="str">
        <f t="shared" si="27"/>
        <v>0188-07</v>
      </c>
      <c r="AE102" s="108" t="str">
        <f t="shared" si="28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102" s="108" t="str">
        <f t="shared" si="29"/>
        <v>"C:\Program Files (x86)\AstroGrep\AstroGrep.exe" /spath="C:\Users\stu\Documents\Analysis\2016-02-23 RTDC Observations" /stypes="*4028*20160707*" /stext=" 21:.+((prompt.+disp)|(slice.+state.+chan)|(ment ac)|(system.+state.+chan)|(\|lc)|(penalty)|(\[timeout))" /e /r /s</v>
      </c>
    </row>
    <row r="103" spans="1:32" s="1" customFormat="1" x14ac:dyDescent="0.25">
      <c r="A103" s="34" t="s">
        <v>504</v>
      </c>
      <c r="B103" s="64">
        <v>4038</v>
      </c>
      <c r="C103" s="64" t="s">
        <v>60</v>
      </c>
      <c r="D103" s="64" t="s">
        <v>235</v>
      </c>
      <c r="E103" s="70">
        <v>42558.608749999999</v>
      </c>
      <c r="F103" s="70">
        <v>42558.609976851854</v>
      </c>
      <c r="G103" s="71">
        <v>1</v>
      </c>
      <c r="H103" s="70" t="s">
        <v>151</v>
      </c>
      <c r="I103" s="70">
        <v>42558.640347222223</v>
      </c>
      <c r="J103" s="64">
        <v>1</v>
      </c>
      <c r="K103" s="34" t="str">
        <f t="shared" si="16"/>
        <v>4037/4038</v>
      </c>
      <c r="L103" s="34" t="str">
        <f>VLOOKUP(A103,'Trips&amp;Operators'!$C$1:$E$10000,3,FALSE)</f>
        <v>SPECTOR</v>
      </c>
      <c r="M103" s="6">
        <f t="shared" si="17"/>
        <v>3.0370370368473232E-2</v>
      </c>
      <c r="N103" s="7">
        <f t="shared" si="18"/>
        <v>43.733333330601454</v>
      </c>
      <c r="O103" s="7"/>
      <c r="P103" s="7"/>
      <c r="Q103" s="35"/>
      <c r="R103" s="35"/>
      <c r="S103" s="54">
        <f t="shared" si="19"/>
        <v>1</v>
      </c>
      <c r="T103" s="98" t="str">
        <f t="shared" si="20"/>
        <v>NorthBound</v>
      </c>
      <c r="U103" s="98">
        <f>COUNTIFS(Variables!$M$2:$M$19,IF(T103="NorthBound","&gt;=","&lt;=")&amp;Y103,Variables!$M$2:$M$19,IF(T103="NorthBound","&lt;=","&gt;=")&amp;Z103)</f>
        <v>12</v>
      </c>
      <c r="V10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14:35:36-0600',mode:absolute,to:'2016-07-07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3" s="106" t="str">
        <f t="shared" si="22"/>
        <v>N</v>
      </c>
      <c r="X103" s="106">
        <f t="shared" si="23"/>
        <v>1</v>
      </c>
      <c r="Y103" s="106">
        <f t="shared" si="24"/>
        <v>4.3799999999999999E-2</v>
      </c>
      <c r="Z103" s="106">
        <f t="shared" si="25"/>
        <v>23.3309</v>
      </c>
      <c r="AA103" s="106">
        <f t="shared" si="26"/>
        <v>23.287099999999999</v>
      </c>
      <c r="AB103" s="107" t="e">
        <f>VLOOKUP(A103,Enforcements!$C$7:$J$27,8,0)</f>
        <v>#N/A</v>
      </c>
      <c r="AC103" s="107" t="e">
        <f>VLOOKUP(A103,Enforcements!$C$7:$E$27,3,0)</f>
        <v>#N/A</v>
      </c>
      <c r="AD103" s="108" t="str">
        <f t="shared" si="27"/>
        <v>0189-07</v>
      </c>
      <c r="AE103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03" s="108" t="str">
        <f t="shared" si="29"/>
        <v>"C:\Program Files (x86)\AstroGrep\AstroGrep.exe" /spath="C:\Users\stu\Documents\Analysis\2016-02-23 RTDC Observations" /stypes="*4038*20160707*" /stext=" 20:.+((prompt.+disp)|(slice.+state.+chan)|(ment ac)|(system.+state.+chan)|(\|lc)|(penalty)|(\[timeout))" /e /r /s</v>
      </c>
    </row>
    <row r="104" spans="1:32" s="1" customFormat="1" x14ac:dyDescent="0.25">
      <c r="A104" s="34" t="s">
        <v>505</v>
      </c>
      <c r="B104" s="64">
        <v>4037</v>
      </c>
      <c r="C104" s="64" t="s">
        <v>60</v>
      </c>
      <c r="D104" s="64" t="s">
        <v>506</v>
      </c>
      <c r="E104" s="70">
        <v>42558.647615740738</v>
      </c>
      <c r="F104" s="70">
        <v>42558.648425925923</v>
      </c>
      <c r="G104" s="71">
        <v>1</v>
      </c>
      <c r="H104" s="70" t="s">
        <v>392</v>
      </c>
      <c r="I104" s="70">
        <v>42558.681145833332</v>
      </c>
      <c r="J104" s="64">
        <v>2</v>
      </c>
      <c r="K104" s="34" t="str">
        <f t="shared" si="16"/>
        <v>4037/4038</v>
      </c>
      <c r="L104" s="34" t="str">
        <f>VLOOKUP(A104,'Trips&amp;Operators'!$C$1:$E$10000,3,FALSE)</f>
        <v>SPECTOR</v>
      </c>
      <c r="M104" s="6">
        <f t="shared" si="17"/>
        <v>3.2719907409045845E-2</v>
      </c>
      <c r="N104" s="7">
        <f t="shared" si="18"/>
        <v>47.116666669026017</v>
      </c>
      <c r="O104" s="7"/>
      <c r="P104" s="7"/>
      <c r="Q104" s="35"/>
      <c r="R104" s="35"/>
      <c r="S104" s="54">
        <f t="shared" si="19"/>
        <v>1</v>
      </c>
      <c r="T104" s="98" t="str">
        <f t="shared" si="20"/>
        <v>Southbound</v>
      </c>
      <c r="U104" s="98">
        <f>COUNTIFS(Variables!$M$2:$M$19,IF(T104="NorthBound","&gt;=","&lt;=")&amp;Y104,Variables!$M$2:$M$19,IF(T104="NorthBound","&lt;=","&gt;=")&amp;Z104)</f>
        <v>12</v>
      </c>
      <c r="V10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15:31:34-0600',mode:absolute,to:'2016-07-07 16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4" s="106" t="str">
        <f t="shared" si="22"/>
        <v>N</v>
      </c>
      <c r="X104" s="106">
        <f t="shared" si="23"/>
        <v>1</v>
      </c>
      <c r="Y104" s="106">
        <f t="shared" si="24"/>
        <v>23.297999999999998</v>
      </c>
      <c r="Z104" s="106">
        <v>0.01</v>
      </c>
      <c r="AA104" s="106">
        <f t="shared" si="26"/>
        <v>23.287999999999997</v>
      </c>
      <c r="AB104" s="107">
        <f>VLOOKUP(A104,Enforcements!$C$7:$J$27,8,0)</f>
        <v>53155</v>
      </c>
      <c r="AC104" s="107" t="str">
        <f>VLOOKUP(A104,Enforcements!$C$7:$E$27,3,0)</f>
        <v>GRADE CROSSING</v>
      </c>
      <c r="AD104" s="108" t="str">
        <f t="shared" si="27"/>
        <v>0190-07</v>
      </c>
      <c r="AE104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04" s="108" t="str">
        <f t="shared" si="29"/>
        <v>"C:\Program Files (x86)\AstroGrep\AstroGrep.exe" /spath="C:\Users\stu\Documents\Analysis\2016-02-23 RTDC Observations" /stypes="*4037*20160707*" /stext=" 21:.+((prompt.+disp)|(slice.+state.+chan)|(ment ac)|(system.+state.+chan)|(\|lc)|(penalty)|(\[timeout))" /e /r /s</v>
      </c>
    </row>
    <row r="105" spans="1:32" s="1" customFormat="1" x14ac:dyDescent="0.25">
      <c r="A105" s="34" t="s">
        <v>507</v>
      </c>
      <c r="B105" s="64">
        <v>4018</v>
      </c>
      <c r="C105" s="64" t="s">
        <v>60</v>
      </c>
      <c r="D105" s="64" t="s">
        <v>173</v>
      </c>
      <c r="E105" s="70">
        <v>42558.622395833336</v>
      </c>
      <c r="F105" s="70">
        <v>42558.623692129629</v>
      </c>
      <c r="G105" s="71">
        <v>1</v>
      </c>
      <c r="H105" s="70" t="s">
        <v>232</v>
      </c>
      <c r="I105" s="70">
        <v>42558.650185185186</v>
      </c>
      <c r="J105" s="64">
        <v>0</v>
      </c>
      <c r="K105" s="34" t="str">
        <f t="shared" si="16"/>
        <v>4017/4018</v>
      </c>
      <c r="L105" s="34" t="str">
        <f>VLOOKUP(A105,'Trips&amp;Operators'!$C$1:$E$10000,3,FALSE)</f>
        <v>STAMBAUGH</v>
      </c>
      <c r="M105" s="6">
        <f t="shared" si="17"/>
        <v>2.6493055556784384E-2</v>
      </c>
      <c r="N105" s="7">
        <f t="shared" si="18"/>
        <v>38.150000001769513</v>
      </c>
      <c r="O105" s="7"/>
      <c r="P105" s="7"/>
      <c r="Q105" s="35"/>
      <c r="R105" s="35"/>
      <c r="S105" s="54">
        <f t="shared" si="19"/>
        <v>1</v>
      </c>
      <c r="T105" s="98" t="str">
        <f t="shared" si="20"/>
        <v>NorthBound</v>
      </c>
      <c r="U105" s="98">
        <f>COUNTIFS(Variables!$M$2:$M$19,IF(T105="NorthBound","&gt;=","&lt;=")&amp;Y105,Variables!$M$2:$M$19,IF(T105="NorthBound","&lt;=","&gt;=")&amp;Z105)</f>
        <v>12</v>
      </c>
      <c r="V10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14:55:15-0600',mode:absolute,to:'2016-07-07 15:37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5" s="106" t="str">
        <f t="shared" si="22"/>
        <v>N</v>
      </c>
      <c r="X105" s="106">
        <f t="shared" si="23"/>
        <v>1</v>
      </c>
      <c r="Y105" s="106">
        <f t="shared" si="24"/>
        <v>4.4900000000000002E-2</v>
      </c>
      <c r="Z105" s="106">
        <f t="shared" si="25"/>
        <v>23.331499999999998</v>
      </c>
      <c r="AA105" s="106">
        <f t="shared" si="26"/>
        <v>23.2866</v>
      </c>
      <c r="AB105" s="107" t="e">
        <f>VLOOKUP(A105,Enforcements!$C$7:$J$27,8,0)</f>
        <v>#N/A</v>
      </c>
      <c r="AC105" s="107" t="e">
        <f>VLOOKUP(A105,Enforcements!$C$7:$E$27,3,0)</f>
        <v>#N/A</v>
      </c>
      <c r="AD105" s="108" t="str">
        <f t="shared" si="27"/>
        <v>0191-07</v>
      </c>
      <c r="AE105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05" s="108" t="str">
        <f t="shared" si="29"/>
        <v>"C:\Program Files (x86)\AstroGrep\AstroGrep.exe" /spath="C:\Users\stu\Documents\Analysis\2016-02-23 RTDC Observations" /stypes="*4018*20160707*" /stext=" 20:.+((prompt.+disp)|(slice.+state.+chan)|(ment ac)|(system.+state.+chan)|(\|lc)|(penalty)|(\[timeout))" /e /r /s</v>
      </c>
    </row>
    <row r="106" spans="1:32" s="1" customFormat="1" x14ac:dyDescent="0.25">
      <c r="A106" s="34" t="s">
        <v>508</v>
      </c>
      <c r="B106" s="64">
        <v>4017</v>
      </c>
      <c r="C106" s="64" t="s">
        <v>60</v>
      </c>
      <c r="D106" s="64" t="s">
        <v>228</v>
      </c>
      <c r="E106" s="70">
        <v>42558.661180555559</v>
      </c>
      <c r="F106" s="70">
        <v>42558.6640625</v>
      </c>
      <c r="G106" s="71">
        <v>4</v>
      </c>
      <c r="H106" s="70" t="s">
        <v>62</v>
      </c>
      <c r="I106" s="70">
        <v>42558.689363425925</v>
      </c>
      <c r="J106" s="64">
        <v>0</v>
      </c>
      <c r="K106" s="34" t="str">
        <f t="shared" si="16"/>
        <v>4017/4018</v>
      </c>
      <c r="L106" s="34" t="str">
        <f>VLOOKUP(A106,'Trips&amp;Operators'!$C$1:$E$10000,3,FALSE)</f>
        <v>STAMBAUGH</v>
      </c>
      <c r="M106" s="6">
        <f t="shared" si="17"/>
        <v>2.5300925924966577E-2</v>
      </c>
      <c r="N106" s="7">
        <f t="shared" si="18"/>
        <v>36.433333331951872</v>
      </c>
      <c r="O106" s="7"/>
      <c r="P106" s="7"/>
      <c r="Q106" s="35"/>
      <c r="R106" s="35"/>
      <c r="S106" s="54">
        <f t="shared" si="19"/>
        <v>1</v>
      </c>
      <c r="T106" s="98" t="str">
        <f t="shared" si="20"/>
        <v>Southbound</v>
      </c>
      <c r="U106" s="98">
        <f>COUNTIFS(Variables!$M$2:$M$19,IF(T106="NorthBound","&gt;=","&lt;=")&amp;Y106,Variables!$M$2:$M$19,IF(T106="NorthBound","&lt;=","&gt;=")&amp;Z106)</f>
        <v>12</v>
      </c>
      <c r="V10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15:51:06-0600',mode:absolute,to:'2016-07-07 16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6" s="106" t="str">
        <f t="shared" si="22"/>
        <v>N</v>
      </c>
      <c r="X106" s="106">
        <f t="shared" si="23"/>
        <v>1</v>
      </c>
      <c r="Y106" s="106">
        <f t="shared" si="24"/>
        <v>23.2989</v>
      </c>
      <c r="Z106" s="106">
        <f t="shared" si="25"/>
        <v>1.52E-2</v>
      </c>
      <c r="AA106" s="106">
        <f t="shared" si="26"/>
        <v>23.2837</v>
      </c>
      <c r="AB106" s="107" t="e">
        <f>VLOOKUP(A106,Enforcements!$C$7:$J$27,8,0)</f>
        <v>#N/A</v>
      </c>
      <c r="AC106" s="107" t="e">
        <f>VLOOKUP(A106,Enforcements!$C$7:$E$27,3,0)</f>
        <v>#N/A</v>
      </c>
      <c r="AD106" s="108" t="str">
        <f t="shared" si="27"/>
        <v>0192-07</v>
      </c>
      <c r="AE106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06" s="108" t="str">
        <f t="shared" si="29"/>
        <v>"C:\Program Files (x86)\AstroGrep\AstroGrep.exe" /spath="C:\Users\stu\Documents\Analysis\2016-02-23 RTDC Observations" /stypes="*4017*20160707*" /stext=" 21:.+((prompt.+disp)|(slice.+state.+chan)|(ment ac)|(system.+state.+chan)|(\|lc)|(penalty)|(\[timeout))" /e /r /s</v>
      </c>
    </row>
    <row r="107" spans="1:32" s="1" customFormat="1" x14ac:dyDescent="0.25">
      <c r="A107" s="34" t="s">
        <v>509</v>
      </c>
      <c r="B107" s="64">
        <v>4011</v>
      </c>
      <c r="C107" s="64" t="s">
        <v>60</v>
      </c>
      <c r="D107" s="64" t="s">
        <v>72</v>
      </c>
      <c r="E107" s="70">
        <v>42558.633171296293</v>
      </c>
      <c r="F107" s="70">
        <v>42558.634525462963</v>
      </c>
      <c r="G107" s="71">
        <v>1</v>
      </c>
      <c r="H107" s="70" t="s">
        <v>510</v>
      </c>
      <c r="I107" s="70">
        <v>42558.661203703705</v>
      </c>
      <c r="J107" s="64">
        <v>1</v>
      </c>
      <c r="K107" s="34" t="str">
        <f t="shared" si="16"/>
        <v>4011/4012</v>
      </c>
      <c r="L107" s="34" t="str">
        <f>VLOOKUP(A107,'Trips&amp;Operators'!$C$1:$E$10000,3,FALSE)</f>
        <v>COOLAHAN</v>
      </c>
      <c r="M107" s="6">
        <f t="shared" si="17"/>
        <v>2.6678240741603076E-2</v>
      </c>
      <c r="N107" s="7">
        <f t="shared" si="18"/>
        <v>38.41666666790843</v>
      </c>
      <c r="O107" s="7"/>
      <c r="P107" s="7"/>
      <c r="Q107" s="35"/>
      <c r="R107" s="35"/>
      <c r="S107" s="54">
        <f t="shared" si="19"/>
        <v>1</v>
      </c>
      <c r="T107" s="98" t="str">
        <f t="shared" si="20"/>
        <v>NorthBound</v>
      </c>
      <c r="U107" s="98">
        <f>COUNTIFS(Variables!$M$2:$M$19,IF(T107="NorthBound","&gt;=","&lt;=")&amp;Y107,Variables!$M$2:$M$19,IF(T107="NorthBound","&lt;=","&gt;=")&amp;Z107)</f>
        <v>12</v>
      </c>
      <c r="V10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15:10:46-0600',mode:absolute,to:'2016-07-07 15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7" s="106" t="str">
        <f t="shared" si="22"/>
        <v>N</v>
      </c>
      <c r="X107" s="106">
        <f t="shared" si="23"/>
        <v>1</v>
      </c>
      <c r="Y107" s="106">
        <f t="shared" si="24"/>
        <v>4.5699999999999998E-2</v>
      </c>
      <c r="Z107" s="106">
        <f t="shared" si="25"/>
        <v>23.3264</v>
      </c>
      <c r="AA107" s="106">
        <f t="shared" si="26"/>
        <v>23.2807</v>
      </c>
      <c r="AB107" s="107" t="e">
        <f>VLOOKUP(A107,Enforcements!$C$7:$J$27,8,0)</f>
        <v>#N/A</v>
      </c>
      <c r="AC107" s="107" t="e">
        <f>VLOOKUP(A107,Enforcements!$C$7:$E$27,3,0)</f>
        <v>#N/A</v>
      </c>
      <c r="AD107" s="108" t="str">
        <f t="shared" si="27"/>
        <v>0193-07</v>
      </c>
      <c r="AE107" s="108" t="str">
        <f t="shared" si="28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107" s="108" t="str">
        <f t="shared" si="29"/>
        <v>"C:\Program Files (x86)\AstroGrep\AstroGrep.exe" /spath="C:\Users\stu\Documents\Analysis\2016-02-23 RTDC Observations" /stypes="*4011*20160707*" /stext=" 21:.+((prompt.+disp)|(slice.+state.+chan)|(ment ac)|(system.+state.+chan)|(\|lc)|(penalty)|(\[timeout))" /e /r /s</v>
      </c>
    </row>
    <row r="108" spans="1:32" s="1" customFormat="1" x14ac:dyDescent="0.25">
      <c r="A108" s="34" t="s">
        <v>511</v>
      </c>
      <c r="B108" s="64">
        <v>4012</v>
      </c>
      <c r="C108" s="64" t="s">
        <v>60</v>
      </c>
      <c r="D108" s="64" t="s">
        <v>512</v>
      </c>
      <c r="E108" s="70">
        <v>42558.671296296299</v>
      </c>
      <c r="F108" s="70">
        <v>42558.672222222223</v>
      </c>
      <c r="G108" s="71">
        <v>1</v>
      </c>
      <c r="H108" s="70" t="s">
        <v>128</v>
      </c>
      <c r="I108" s="70">
        <v>42558.701215277775</v>
      </c>
      <c r="J108" s="64">
        <v>0</v>
      </c>
      <c r="K108" s="34" t="str">
        <f t="shared" si="16"/>
        <v>4011/4012</v>
      </c>
      <c r="L108" s="34" t="str">
        <f>VLOOKUP(A108,'Trips&amp;Operators'!$C$1:$E$10000,3,FALSE)</f>
        <v>COOLAHAN</v>
      </c>
      <c r="M108" s="6">
        <f t="shared" si="17"/>
        <v>2.8993055551836733E-2</v>
      </c>
      <c r="N108" s="7">
        <f t="shared" si="18"/>
        <v>41.749999994644895</v>
      </c>
      <c r="O108" s="7"/>
      <c r="P108" s="7"/>
      <c r="Q108" s="35"/>
      <c r="R108" s="35"/>
      <c r="S108" s="54">
        <f t="shared" si="19"/>
        <v>1</v>
      </c>
      <c r="T108" s="98" t="str">
        <f t="shared" si="20"/>
        <v>Southbound</v>
      </c>
      <c r="U108" s="98">
        <f>COUNTIFS(Variables!$M$2:$M$19,IF(T108="NorthBound","&gt;=","&lt;=")&amp;Y108,Variables!$M$2:$M$19,IF(T108="NorthBound","&lt;=","&gt;=")&amp;Z108)</f>
        <v>12</v>
      </c>
      <c r="V10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16:05:40-0600',mode:absolute,to:'2016-07-07 16:50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08" s="106" t="str">
        <f t="shared" si="22"/>
        <v>N</v>
      </c>
      <c r="X108" s="106">
        <f t="shared" si="23"/>
        <v>1</v>
      </c>
      <c r="Y108" s="106">
        <f t="shared" si="24"/>
        <v>23.293800000000001</v>
      </c>
      <c r="Z108" s="106">
        <f t="shared" si="25"/>
        <v>1.54E-2</v>
      </c>
      <c r="AA108" s="106">
        <f t="shared" si="26"/>
        <v>23.278400000000001</v>
      </c>
      <c r="AB108" s="107" t="e">
        <f>VLOOKUP(A108,Enforcements!$C$7:$J$27,8,0)</f>
        <v>#N/A</v>
      </c>
      <c r="AC108" s="107" t="e">
        <f>VLOOKUP(A108,Enforcements!$C$7:$E$27,3,0)</f>
        <v>#N/A</v>
      </c>
      <c r="AD108" s="108" t="str">
        <f t="shared" si="27"/>
        <v>0194-07</v>
      </c>
      <c r="AE108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108" s="108" t="str">
        <f t="shared" si="29"/>
        <v>"C:\Program Files (x86)\AstroGrep\AstroGrep.exe" /spath="C:\Users\stu\Documents\Analysis\2016-02-23 RTDC Observations" /stypes="*4012*20160707*" /stext=" 22:.+((prompt.+disp)|(slice.+state.+chan)|(ment ac)|(system.+state.+chan)|(\|lc)|(penalty)|(\[timeout))" /e /r /s</v>
      </c>
    </row>
    <row r="109" spans="1:32" x14ac:dyDescent="0.25">
      <c r="A109" s="34" t="s">
        <v>513</v>
      </c>
      <c r="B109" s="64">
        <v>4014</v>
      </c>
      <c r="C109" s="64" t="s">
        <v>60</v>
      </c>
      <c r="D109" s="64" t="s">
        <v>414</v>
      </c>
      <c r="E109" s="70">
        <v>42558.645057870373</v>
      </c>
      <c r="F109" s="70">
        <v>42558.645740740743</v>
      </c>
      <c r="G109" s="71">
        <v>0</v>
      </c>
      <c r="H109" s="70" t="s">
        <v>240</v>
      </c>
      <c r="I109" s="70">
        <v>42558.672592592593</v>
      </c>
      <c r="J109" s="64">
        <v>1</v>
      </c>
      <c r="K109" s="34" t="str">
        <f t="shared" si="16"/>
        <v>4013/4014</v>
      </c>
      <c r="L109" s="34" t="str">
        <f>VLOOKUP(A109,'Trips&amp;Operators'!$C$1:$E$10000,3,FALSE)</f>
        <v>ROCHA</v>
      </c>
      <c r="M109" s="6">
        <f t="shared" si="17"/>
        <v>2.6851851849642117E-2</v>
      </c>
      <c r="N109" s="7">
        <f t="shared" si="18"/>
        <v>38.666666663484648</v>
      </c>
      <c r="O109" s="7"/>
      <c r="P109" s="7"/>
      <c r="Q109" s="35"/>
      <c r="R109" s="35"/>
      <c r="S109" s="54">
        <f t="shared" si="19"/>
        <v>1</v>
      </c>
      <c r="T109" s="98" t="str">
        <f t="shared" si="20"/>
        <v>NorthBound</v>
      </c>
      <c r="U109" s="98">
        <f>COUNTIFS(Variables!$M$2:$M$19,IF(T109="NorthBound","&gt;=","&lt;=")&amp;Y109,Variables!$M$2:$M$19,IF(T109="NorthBound","&lt;=","&gt;=")&amp;Z109)</f>
        <v>12</v>
      </c>
      <c r="V10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15:27:53-0600',mode:absolute,to:'2016-07-07 16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9" s="106" t="str">
        <f t="shared" si="22"/>
        <v>N</v>
      </c>
      <c r="X109" s="106">
        <f t="shared" si="23"/>
        <v>1</v>
      </c>
      <c r="Y109" s="106">
        <f t="shared" si="24"/>
        <v>4.4699999999999997E-2</v>
      </c>
      <c r="Z109" s="106">
        <f t="shared" si="25"/>
        <v>23.329699999999999</v>
      </c>
      <c r="AA109" s="106">
        <f t="shared" si="26"/>
        <v>23.285</v>
      </c>
      <c r="AB109" s="107" t="e">
        <f>VLOOKUP(A109,Enforcements!$C$7:$J$27,8,0)</f>
        <v>#N/A</v>
      </c>
      <c r="AC109" s="107" t="e">
        <f>VLOOKUP(A109,Enforcements!$C$7:$E$27,3,0)</f>
        <v>#N/A</v>
      </c>
      <c r="AD109" s="108" t="str">
        <f t="shared" si="27"/>
        <v>0195-07</v>
      </c>
      <c r="AE109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09" s="108" t="str">
        <f t="shared" si="29"/>
        <v>"C:\Program Files (x86)\AstroGrep\AstroGrep.exe" /spath="C:\Users\stu\Documents\Analysis\2016-02-23 RTDC Observations" /stypes="*4014*20160707*" /stext=" 21:.+((prompt.+disp)|(slice.+state.+chan)|(ment ac)|(system.+state.+chan)|(\|lc)|(penalty)|(\[timeout))" /e /r /s</v>
      </c>
    </row>
    <row r="110" spans="1:32" x14ac:dyDescent="0.25">
      <c r="A110" s="34" t="s">
        <v>514</v>
      </c>
      <c r="B110" s="64">
        <v>4013</v>
      </c>
      <c r="C110" s="64" t="s">
        <v>60</v>
      </c>
      <c r="D110" s="64" t="s">
        <v>515</v>
      </c>
      <c r="E110" s="70">
        <v>42558.693182870367</v>
      </c>
      <c r="F110" s="70">
        <v>42558.694166666668</v>
      </c>
      <c r="G110" s="71">
        <v>1</v>
      </c>
      <c r="H110" s="70" t="s">
        <v>229</v>
      </c>
      <c r="I110" s="70">
        <v>42558.712905092594</v>
      </c>
      <c r="J110" s="64">
        <v>2</v>
      </c>
      <c r="K110" s="34" t="str">
        <f t="shared" si="16"/>
        <v>4013/4014</v>
      </c>
      <c r="L110" s="34" t="str">
        <f>VLOOKUP(A110,'Trips&amp;Operators'!$C$1:$E$10000,3,FALSE)</f>
        <v>ROCHA</v>
      </c>
      <c r="M110" s="6">
        <f t="shared" si="17"/>
        <v>1.8738425926130731E-2</v>
      </c>
      <c r="N110" s="7"/>
      <c r="O110" s="7"/>
      <c r="P110" s="7">
        <f t="shared" si="18"/>
        <v>26.983333333628252</v>
      </c>
      <c r="Q110" s="35"/>
      <c r="R110" s="35" t="s">
        <v>735</v>
      </c>
      <c r="S110" s="54">
        <f t="shared" si="19"/>
        <v>1</v>
      </c>
      <c r="T110" s="98" t="str">
        <f t="shared" si="20"/>
        <v>Southbound</v>
      </c>
      <c r="U110" s="98">
        <f>COUNTIFS(Variables!$M$2:$M$19,IF(T110="NorthBound","&gt;=","&lt;=")&amp;Y110,Variables!$M$2:$M$19,IF(T110="NorthBound","&lt;=","&gt;=")&amp;Z110)</f>
        <v>12</v>
      </c>
      <c r="V11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16:37:11-0600',mode:absolute,to:'2016-07-07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0" s="106" t="str">
        <f t="shared" si="22"/>
        <v>Y</v>
      </c>
      <c r="X110" s="106">
        <f t="shared" si="23"/>
        <v>1</v>
      </c>
      <c r="Y110" s="106">
        <f t="shared" si="24"/>
        <v>15.4016</v>
      </c>
      <c r="Z110" s="106">
        <f t="shared" si="25"/>
        <v>1.3899999999999999E-2</v>
      </c>
      <c r="AA110" s="106">
        <f t="shared" si="26"/>
        <v>15.387700000000001</v>
      </c>
      <c r="AB110" s="107" t="e">
        <f>VLOOKUP(A110,Enforcements!$C$7:$J$27,8,0)</f>
        <v>#N/A</v>
      </c>
      <c r="AC110" s="107" t="e">
        <f>VLOOKUP(A110,Enforcements!$C$7:$E$27,3,0)</f>
        <v>#N/A</v>
      </c>
      <c r="AD110" s="108" t="str">
        <f t="shared" si="27"/>
        <v>0196-07</v>
      </c>
      <c r="AE110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10" s="108" t="str">
        <f t="shared" si="29"/>
        <v>"C:\Program Files (x86)\AstroGrep\AstroGrep.exe" /spath="C:\Users\stu\Documents\Analysis\2016-02-23 RTDC Observations" /stypes="*4013*20160707*" /stext=" 22:.+((prompt.+disp)|(slice.+state.+chan)|(ment ac)|(system.+state.+chan)|(\|lc)|(penalty)|(\[timeout))" /e /r /s</v>
      </c>
    </row>
    <row r="111" spans="1:32" s="1" customFormat="1" x14ac:dyDescent="0.25">
      <c r="A111" s="34" t="s">
        <v>516</v>
      </c>
      <c r="B111" s="64">
        <v>4044</v>
      </c>
      <c r="C111" s="64" t="s">
        <v>60</v>
      </c>
      <c r="D111" s="64" t="s">
        <v>517</v>
      </c>
      <c r="E111" s="70">
        <v>42558.653900462959</v>
      </c>
      <c r="F111" s="70">
        <v>42558.655023148145</v>
      </c>
      <c r="G111" s="71">
        <v>1</v>
      </c>
      <c r="H111" s="70" t="s">
        <v>518</v>
      </c>
      <c r="I111" s="70">
        <v>42558.683263888888</v>
      </c>
      <c r="J111" s="64">
        <v>1</v>
      </c>
      <c r="K111" s="34" t="str">
        <f t="shared" si="16"/>
        <v>4043/4044</v>
      </c>
      <c r="L111" s="34" t="str">
        <f>VLOOKUP(A111,'Trips&amp;Operators'!$C$1:$E$10000,3,FALSE)</f>
        <v>STORY</v>
      </c>
      <c r="M111" s="6">
        <f t="shared" si="17"/>
        <v>2.8240740743058268E-2</v>
      </c>
      <c r="N111" s="7">
        <f t="shared" si="18"/>
        <v>40.666666670003906</v>
      </c>
      <c r="O111" s="7"/>
      <c r="P111" s="7"/>
      <c r="Q111" s="35"/>
      <c r="R111" s="35"/>
      <c r="S111" s="54">
        <f t="shared" si="19"/>
        <v>1</v>
      </c>
      <c r="T111" s="98" t="str">
        <f t="shared" si="20"/>
        <v>NorthBound</v>
      </c>
      <c r="U111" s="98">
        <f>COUNTIFS(Variables!$M$2:$M$19,IF(T111="NorthBound","&gt;=","&lt;=")&amp;Y111,Variables!$M$2:$M$19,IF(T111="NorthBound","&lt;=","&gt;=")&amp;Z111)</f>
        <v>12</v>
      </c>
      <c r="V11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15:40:37-0600',mode:absolute,to:'2016-07-07 16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1" s="106" t="str">
        <f t="shared" si="22"/>
        <v>N</v>
      </c>
      <c r="X111" s="106">
        <f t="shared" si="23"/>
        <v>1</v>
      </c>
      <c r="Y111" s="106">
        <f t="shared" si="24"/>
        <v>5.3100000000000001E-2</v>
      </c>
      <c r="Z111" s="106">
        <f t="shared" si="25"/>
        <v>23.332799999999999</v>
      </c>
      <c r="AA111" s="106">
        <f t="shared" si="26"/>
        <v>23.279699999999998</v>
      </c>
      <c r="AB111" s="107">
        <f>VLOOKUP(A111,Enforcements!$C$7:$J$27,8,0)</f>
        <v>53155</v>
      </c>
      <c r="AC111" s="107" t="str">
        <f>VLOOKUP(A111,Enforcements!$C$7:$E$27,3,0)</f>
        <v>GRADE CROSSING</v>
      </c>
      <c r="AD111" s="108" t="str">
        <f t="shared" si="27"/>
        <v>0197-07</v>
      </c>
      <c r="AE111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111" s="108" t="str">
        <f t="shared" si="29"/>
        <v>"C:\Program Files (x86)\AstroGrep\AstroGrep.exe" /spath="C:\Users\stu\Documents\Analysis\2016-02-23 RTDC Observations" /stypes="*4044*20160707*" /stext=" 21:.+((prompt.+disp)|(slice.+state.+chan)|(ment ac)|(system.+state.+chan)|(\|lc)|(penalty)|(\[timeout))" /e /r /s</v>
      </c>
    </row>
    <row r="112" spans="1:32" x14ac:dyDescent="0.25">
      <c r="A112" s="34" t="s">
        <v>519</v>
      </c>
      <c r="B112" s="64">
        <v>4043</v>
      </c>
      <c r="C112" s="64" t="s">
        <v>60</v>
      </c>
      <c r="D112" s="64" t="s">
        <v>520</v>
      </c>
      <c r="E112" s="70">
        <v>42558.69295138889</v>
      </c>
      <c r="F112" s="70">
        <v>42558.694212962961</v>
      </c>
      <c r="G112" s="71">
        <v>1</v>
      </c>
      <c r="H112" s="70" t="s">
        <v>173</v>
      </c>
      <c r="I112" s="70">
        <v>42558.721319444441</v>
      </c>
      <c r="J112" s="64">
        <v>2</v>
      </c>
      <c r="K112" s="34" t="str">
        <f t="shared" si="16"/>
        <v>4043/4044</v>
      </c>
      <c r="L112" s="34" t="str">
        <f>VLOOKUP(A112,'Trips&amp;Operators'!$C$1:$E$10000,3,FALSE)</f>
        <v>STORY</v>
      </c>
      <c r="M112" s="6">
        <f t="shared" si="17"/>
        <v>2.7106481480586808E-2</v>
      </c>
      <c r="N112" s="7">
        <f t="shared" si="18"/>
        <v>39.033333332045004</v>
      </c>
      <c r="O112" s="7"/>
      <c r="P112" s="7"/>
      <c r="Q112" s="35"/>
      <c r="R112" s="35"/>
      <c r="S112" s="54">
        <f t="shared" si="19"/>
        <v>1</v>
      </c>
      <c r="T112" s="98" t="str">
        <f t="shared" si="20"/>
        <v>Southbound</v>
      </c>
      <c r="U112" s="98">
        <f>COUNTIFS(Variables!$M$2:$M$19,IF(T112="NorthBound","&gt;=","&lt;=")&amp;Y112,Variables!$M$2:$M$19,IF(T112="NorthBound","&lt;=","&gt;=")&amp;Z112)</f>
        <v>12</v>
      </c>
      <c r="V11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16:36:51-0600',mode:absolute,to:'2016-07-07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2" s="106" t="str">
        <f t="shared" si="22"/>
        <v>N</v>
      </c>
      <c r="X112" s="106">
        <f t="shared" si="23"/>
        <v>1</v>
      </c>
      <c r="Y112" s="106">
        <f t="shared" si="24"/>
        <v>23.304400000000001</v>
      </c>
      <c r="Z112" s="106">
        <f t="shared" si="25"/>
        <v>4.4900000000000002E-2</v>
      </c>
      <c r="AA112" s="106">
        <f t="shared" si="26"/>
        <v>23.259500000000003</v>
      </c>
      <c r="AB112" s="107">
        <f>VLOOKUP(A112,Enforcements!$C$7:$J$27,8,0)</f>
        <v>4677</v>
      </c>
      <c r="AC112" s="107" t="str">
        <f>VLOOKUP(A112,Enforcements!$C$7:$E$27,3,0)</f>
        <v>PERMANENT SPEED RESTRICTION</v>
      </c>
      <c r="AD112" s="108" t="str">
        <f t="shared" si="27"/>
        <v>0198-07</v>
      </c>
      <c r="AE112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12" s="108" t="str">
        <f t="shared" si="29"/>
        <v>"C:\Program Files (x86)\AstroGrep\AstroGrep.exe" /spath="C:\Users\stu\Documents\Analysis\2016-02-23 RTDC Observations" /stypes="*4043*20160707*" /stext=" 22:.+((prompt.+disp)|(slice.+state.+chan)|(ment ac)|(system.+state.+chan)|(\|lc)|(penalty)|(\[timeout))" /e /r /s</v>
      </c>
    </row>
    <row r="113" spans="1:32" x14ac:dyDescent="0.25">
      <c r="A113" s="34" t="s">
        <v>521</v>
      </c>
      <c r="B113" s="64">
        <v>4031</v>
      </c>
      <c r="C113" s="64" t="s">
        <v>60</v>
      </c>
      <c r="D113" s="64" t="s">
        <v>78</v>
      </c>
      <c r="E113" s="70">
        <v>42558.663483796299</v>
      </c>
      <c r="F113" s="70">
        <v>42558.664560185185</v>
      </c>
      <c r="G113" s="71">
        <v>1</v>
      </c>
      <c r="H113" s="70" t="s">
        <v>522</v>
      </c>
      <c r="I113" s="70">
        <v>42558.693356481483</v>
      </c>
      <c r="J113" s="64">
        <v>0</v>
      </c>
      <c r="K113" s="34" t="str">
        <f t="shared" si="16"/>
        <v>4031/4032</v>
      </c>
      <c r="L113" s="34" t="str">
        <f>VLOOKUP(A113,'Trips&amp;Operators'!$C$1:$E$10000,3,FALSE)</f>
        <v>STEWART</v>
      </c>
      <c r="M113" s="6">
        <f t="shared" si="17"/>
        <v>2.8796296297514345E-2</v>
      </c>
      <c r="N113" s="7">
        <f t="shared" si="18"/>
        <v>41.466666668420658</v>
      </c>
      <c r="O113" s="7"/>
      <c r="P113" s="7"/>
      <c r="Q113" s="35"/>
      <c r="R113" s="35"/>
      <c r="S113" s="54">
        <f t="shared" si="19"/>
        <v>1</v>
      </c>
      <c r="T113" s="98" t="str">
        <f t="shared" si="20"/>
        <v>NorthBound</v>
      </c>
      <c r="U113" s="98">
        <f>COUNTIFS(Variables!$M$2:$M$19,IF(T113="NorthBound","&gt;=","&lt;=")&amp;Y113,Variables!$M$2:$M$19,IF(T113="NorthBound","&lt;=","&gt;=")&amp;Z113)</f>
        <v>12</v>
      </c>
      <c r="V11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15:54:25-0600',mode:absolute,to:'2016-07-07 16:39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106" t="str">
        <f t="shared" si="22"/>
        <v>N</v>
      </c>
      <c r="X113" s="106">
        <f t="shared" si="23"/>
        <v>1</v>
      </c>
      <c r="Y113" s="106">
        <f t="shared" si="24"/>
        <v>4.6399999999999997E-2</v>
      </c>
      <c r="Z113" s="106">
        <f t="shared" si="25"/>
        <v>23.334599999999998</v>
      </c>
      <c r="AA113" s="106">
        <f t="shared" si="26"/>
        <v>23.2882</v>
      </c>
      <c r="AB113" s="107" t="e">
        <f>VLOOKUP(A113,Enforcements!$C$7:$J$27,8,0)</f>
        <v>#N/A</v>
      </c>
      <c r="AC113" s="107" t="e">
        <f>VLOOKUP(A113,Enforcements!$C$7:$E$27,3,0)</f>
        <v>#N/A</v>
      </c>
      <c r="AD113" s="108" t="str">
        <f t="shared" si="27"/>
        <v>0199-07</v>
      </c>
      <c r="AE113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13" s="108" t="str">
        <f t="shared" si="29"/>
        <v>"C:\Program Files (x86)\AstroGrep\AstroGrep.exe" /spath="C:\Users\stu\Documents\Analysis\2016-02-23 RTDC Observations" /stypes="*4031*20160707*" /stext=" 21:.+((prompt.+disp)|(slice.+state.+chan)|(ment ac)|(system.+state.+chan)|(\|lc)|(penalty)|(\[timeout))" /e /r /s</v>
      </c>
    </row>
    <row r="114" spans="1:32" x14ac:dyDescent="0.25">
      <c r="A114" s="34" t="s">
        <v>523</v>
      </c>
      <c r="B114" s="64">
        <v>4032</v>
      </c>
      <c r="C114" s="64" t="s">
        <v>60</v>
      </c>
      <c r="D114" s="64" t="s">
        <v>524</v>
      </c>
      <c r="E114" s="70">
        <v>42558.703217592592</v>
      </c>
      <c r="F114" s="70">
        <v>42558.704085648147</v>
      </c>
      <c r="G114" s="71">
        <v>1</v>
      </c>
      <c r="H114" s="70" t="s">
        <v>229</v>
      </c>
      <c r="I114" s="70">
        <v>42558.732268518521</v>
      </c>
      <c r="J114" s="64">
        <v>0</v>
      </c>
      <c r="K114" s="34" t="str">
        <f t="shared" si="16"/>
        <v>4031/4032</v>
      </c>
      <c r="L114" s="34" t="str">
        <f>VLOOKUP(A114,'Trips&amp;Operators'!$C$1:$E$10000,3,FALSE)</f>
        <v>STEWART</v>
      </c>
      <c r="M114" s="6">
        <f t="shared" si="17"/>
        <v>2.8182870373711921E-2</v>
      </c>
      <c r="N114" s="7">
        <f t="shared" si="18"/>
        <v>40.583333338145167</v>
      </c>
      <c r="O114" s="7"/>
      <c r="P114" s="7"/>
      <c r="Q114" s="35"/>
      <c r="R114" s="35"/>
      <c r="S114" s="54">
        <f t="shared" si="19"/>
        <v>1</v>
      </c>
      <c r="T114" s="98" t="str">
        <f t="shared" si="20"/>
        <v>Southbound</v>
      </c>
      <c r="U114" s="98">
        <f>COUNTIFS(Variables!$M$2:$M$19,IF(T114="NorthBound","&gt;=","&lt;=")&amp;Y114,Variables!$M$2:$M$19,IF(T114="NorthBound","&lt;=","&gt;=")&amp;Z114)</f>
        <v>12</v>
      </c>
      <c r="V11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16:51:38-0600',mode:absolute,to:'2016-07-07 17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4" s="106" t="str">
        <f t="shared" si="22"/>
        <v>N</v>
      </c>
      <c r="X114" s="106">
        <f t="shared" si="23"/>
        <v>1</v>
      </c>
      <c r="Y114" s="106">
        <f t="shared" si="24"/>
        <v>23.303599999999999</v>
      </c>
      <c r="Z114" s="106">
        <f t="shared" si="25"/>
        <v>1.3899999999999999E-2</v>
      </c>
      <c r="AA114" s="106">
        <f t="shared" si="26"/>
        <v>23.2897</v>
      </c>
      <c r="AB114" s="107" t="e">
        <f>VLOOKUP(A114,Enforcements!$C$7:$J$27,8,0)</f>
        <v>#N/A</v>
      </c>
      <c r="AC114" s="107" t="e">
        <f>VLOOKUP(A114,Enforcements!$C$7:$E$27,3,0)</f>
        <v>#N/A</v>
      </c>
      <c r="AD114" s="108" t="str">
        <f t="shared" si="27"/>
        <v>0200-07</v>
      </c>
      <c r="AE114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14" s="108" t="str">
        <f t="shared" si="29"/>
        <v>"C:\Program Files (x86)\AstroGrep\AstroGrep.exe" /spath="C:\Users\stu\Documents\Analysis\2016-02-23 RTDC Observations" /stypes="*4032*20160707*" /stext=" 22:.+((prompt.+disp)|(slice.+state.+chan)|(ment ac)|(system.+state.+chan)|(\|lc)|(penalty)|(\[timeout))" /e /r /s</v>
      </c>
    </row>
    <row r="115" spans="1:32" x14ac:dyDescent="0.25">
      <c r="A115" s="34" t="s">
        <v>525</v>
      </c>
      <c r="B115" s="64">
        <v>4027</v>
      </c>
      <c r="C115" s="64" t="s">
        <v>60</v>
      </c>
      <c r="D115" s="64" t="s">
        <v>234</v>
      </c>
      <c r="E115" s="70">
        <v>42558.675162037034</v>
      </c>
      <c r="F115" s="70">
        <v>42558.676006944443</v>
      </c>
      <c r="G115" s="71">
        <v>1</v>
      </c>
      <c r="H115" s="70" t="s">
        <v>151</v>
      </c>
      <c r="I115" s="70">
        <v>42558.702893518515</v>
      </c>
      <c r="J115" s="64">
        <v>0</v>
      </c>
      <c r="K115" s="34" t="str">
        <f t="shared" si="16"/>
        <v>4027/4028</v>
      </c>
      <c r="L115" s="34" t="str">
        <f>VLOOKUP(A115,'Trips&amp;Operators'!$C$1:$E$10000,3,FALSE)</f>
        <v>BARTLETT</v>
      </c>
      <c r="M115" s="6">
        <f t="shared" si="17"/>
        <v>2.6886574072705116E-2</v>
      </c>
      <c r="N115" s="7">
        <f t="shared" si="18"/>
        <v>38.716666664695367</v>
      </c>
      <c r="O115" s="7"/>
      <c r="P115" s="7"/>
      <c r="Q115" s="35"/>
      <c r="R115" s="35"/>
      <c r="S115" s="54">
        <f t="shared" si="19"/>
        <v>1</v>
      </c>
      <c r="T115" s="98" t="str">
        <f t="shared" si="20"/>
        <v>NorthBound</v>
      </c>
      <c r="U115" s="98">
        <f>COUNTIFS(Variables!$M$2:$M$19,IF(T115="NorthBound","&gt;=","&lt;=")&amp;Y115,Variables!$M$2:$M$19,IF(T115="NorthBound","&lt;=","&gt;=")&amp;Z115)</f>
        <v>12</v>
      </c>
      <c r="V11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16:11:14-0600',mode:absolute,to:'2016-07-07 16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5" s="106" t="str">
        <f t="shared" si="22"/>
        <v>N</v>
      </c>
      <c r="X115" s="106">
        <f t="shared" si="23"/>
        <v>1</v>
      </c>
      <c r="Y115" s="106">
        <f t="shared" si="24"/>
        <v>4.82E-2</v>
      </c>
      <c r="Z115" s="106">
        <f t="shared" si="25"/>
        <v>23.3309</v>
      </c>
      <c r="AA115" s="106">
        <f t="shared" si="26"/>
        <v>23.282699999999998</v>
      </c>
      <c r="AB115" s="107" t="e">
        <f>VLOOKUP(A115,Enforcements!$C$7:$J$27,8,0)</f>
        <v>#N/A</v>
      </c>
      <c r="AC115" s="107" t="e">
        <f>VLOOKUP(A115,Enforcements!$C$7:$E$27,3,0)</f>
        <v>#N/A</v>
      </c>
      <c r="AD115" s="108" t="str">
        <f t="shared" si="27"/>
        <v>0201-07</v>
      </c>
      <c r="AE115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115" s="108" t="str">
        <f t="shared" si="29"/>
        <v>"C:\Program Files (x86)\AstroGrep\AstroGrep.exe" /spath="C:\Users\stu\Documents\Analysis\2016-02-23 RTDC Observations" /stypes="*4027*20160707*" /stext=" 22:.+((prompt.+disp)|(slice.+state.+chan)|(ment ac)|(system.+state.+chan)|(\|lc)|(penalty)|(\[timeout))" /e /r /s</v>
      </c>
    </row>
    <row r="116" spans="1:32" x14ac:dyDescent="0.25">
      <c r="A116" s="34" t="s">
        <v>526</v>
      </c>
      <c r="B116" s="64">
        <v>4038</v>
      </c>
      <c r="C116" s="64" t="s">
        <v>60</v>
      </c>
      <c r="D116" s="64" t="s">
        <v>72</v>
      </c>
      <c r="E116" s="70">
        <v>42558.684108796297</v>
      </c>
      <c r="F116" s="70">
        <v>42558.685335648152</v>
      </c>
      <c r="G116" s="71">
        <v>1</v>
      </c>
      <c r="H116" s="70" t="s">
        <v>211</v>
      </c>
      <c r="I116" s="70">
        <v>42558.712847222225</v>
      </c>
      <c r="J116" s="64">
        <v>0</v>
      </c>
      <c r="K116" s="34" t="str">
        <f t="shared" si="16"/>
        <v>4037/4038</v>
      </c>
      <c r="L116" s="34" t="str">
        <f>VLOOKUP(A116,'Trips&amp;Operators'!$C$1:$E$10000,3,FALSE)</f>
        <v>SPECTOR</v>
      </c>
      <c r="M116" s="6">
        <f t="shared" si="17"/>
        <v>2.7511574073287193E-2</v>
      </c>
      <c r="N116" s="7">
        <f t="shared" si="18"/>
        <v>39.616666665533558</v>
      </c>
      <c r="O116" s="7"/>
      <c r="P116" s="7"/>
      <c r="Q116" s="35"/>
      <c r="R116" s="35"/>
      <c r="S116" s="54">
        <f t="shared" si="19"/>
        <v>1</v>
      </c>
      <c r="T116" s="98" t="str">
        <f t="shared" si="20"/>
        <v>NorthBound</v>
      </c>
      <c r="U116" s="98">
        <f>COUNTIFS(Variables!$M$2:$M$19,IF(T116="NorthBound","&gt;=","&lt;=")&amp;Y116,Variables!$M$2:$M$19,IF(T116="NorthBound","&lt;=","&gt;=")&amp;Z116)</f>
        <v>12</v>
      </c>
      <c r="V11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16:24:07-0600',mode:absolute,to:'2016-07-07 17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6" s="106" t="str">
        <f t="shared" si="22"/>
        <v>N</v>
      </c>
      <c r="X116" s="106">
        <f t="shared" si="23"/>
        <v>2</v>
      </c>
      <c r="Y116" s="106">
        <f t="shared" si="24"/>
        <v>4.5699999999999998E-2</v>
      </c>
      <c r="Z116" s="106">
        <f t="shared" si="25"/>
        <v>23.3323</v>
      </c>
      <c r="AA116" s="106">
        <f t="shared" si="26"/>
        <v>23.2866</v>
      </c>
      <c r="AB116" s="107" t="e">
        <f>VLOOKUP(A116,Enforcements!$C$7:$J$27,8,0)</f>
        <v>#N/A</v>
      </c>
      <c r="AC116" s="107" t="e">
        <f>VLOOKUP(A116,Enforcements!$C$7:$E$27,3,0)</f>
        <v>#N/A</v>
      </c>
      <c r="AD116" s="108" t="str">
        <f t="shared" si="27"/>
        <v>0203-07</v>
      </c>
      <c r="AE116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16" s="108" t="str">
        <f t="shared" si="29"/>
        <v>"C:\Program Files (x86)\AstroGrep\AstroGrep.exe" /spath="C:\Users\stu\Documents\Analysis\2016-02-23 RTDC Observations" /stypes="*4038*20160707*" /stext=" 22:.+((prompt.+disp)|(slice.+state.+chan)|(ment ac)|(system.+state.+chan)|(\|lc)|(penalty)|(\[timeout))" /e /r /s</v>
      </c>
    </row>
    <row r="117" spans="1:32" x14ac:dyDescent="0.25">
      <c r="A117" s="34" t="s">
        <v>527</v>
      </c>
      <c r="B117" s="64">
        <v>4037</v>
      </c>
      <c r="C117" s="64" t="s">
        <v>60</v>
      </c>
      <c r="D117" s="64" t="s">
        <v>528</v>
      </c>
      <c r="E117" s="70">
        <v>42558.718993055554</v>
      </c>
      <c r="F117" s="70">
        <v>42558.720127314817</v>
      </c>
      <c r="G117" s="71">
        <v>1</v>
      </c>
      <c r="H117" s="70" t="s">
        <v>128</v>
      </c>
      <c r="I117" s="70">
        <v>42558.752824074072</v>
      </c>
      <c r="J117" s="64">
        <v>0</v>
      </c>
      <c r="K117" s="34" t="str">
        <f t="shared" si="16"/>
        <v>4037/4038</v>
      </c>
      <c r="L117" s="34" t="str">
        <f>VLOOKUP(A117,'Trips&amp;Operators'!$C$1:$E$10000,3,FALSE)</f>
        <v>SPECTOR</v>
      </c>
      <c r="M117" s="6">
        <f t="shared" si="17"/>
        <v>3.269675925548654E-2</v>
      </c>
      <c r="N117" s="7">
        <f t="shared" si="18"/>
        <v>47.083333327900618</v>
      </c>
      <c r="O117" s="7"/>
      <c r="P117" s="7"/>
      <c r="Q117" s="35"/>
      <c r="R117" s="35"/>
      <c r="S117" s="54">
        <f t="shared" si="19"/>
        <v>1</v>
      </c>
      <c r="T117" s="98" t="str">
        <f t="shared" si="20"/>
        <v>Southbound</v>
      </c>
      <c r="U117" s="98">
        <f>COUNTIFS(Variables!$M$2:$M$19,IF(T117="NorthBound","&gt;=","&lt;=")&amp;Y117,Variables!$M$2:$M$19,IF(T117="NorthBound","&lt;=","&gt;=")&amp;Z117)</f>
        <v>12</v>
      </c>
      <c r="V11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17:14:21-0600',mode:absolute,to:'2016-07-07 18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7" s="106" t="str">
        <f t="shared" si="22"/>
        <v>N</v>
      </c>
      <c r="X117" s="106">
        <f t="shared" si="23"/>
        <v>1</v>
      </c>
      <c r="Y117" s="106">
        <f t="shared" si="24"/>
        <v>23.300999999999998</v>
      </c>
      <c r="Z117" s="106">
        <f t="shared" si="25"/>
        <v>1.54E-2</v>
      </c>
      <c r="AA117" s="106">
        <f t="shared" si="26"/>
        <v>23.285599999999999</v>
      </c>
      <c r="AB117" s="107" t="e">
        <f>VLOOKUP(A117,Enforcements!$C$7:$J$27,8,0)</f>
        <v>#N/A</v>
      </c>
      <c r="AC117" s="107" t="e">
        <f>VLOOKUP(A117,Enforcements!$C$7:$E$27,3,0)</f>
        <v>#N/A</v>
      </c>
      <c r="AD117" s="108" t="str">
        <f t="shared" si="27"/>
        <v>0204-07</v>
      </c>
      <c r="AE117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17" s="108" t="str">
        <f t="shared" si="29"/>
        <v>"C:\Program Files (x86)\AstroGrep\AstroGrep.exe" /spath="C:\Users\stu\Documents\Analysis\2016-02-23 RTDC Observations" /stypes="*4037*20160707*" /stext=" 23:.+((prompt.+disp)|(slice.+state.+chan)|(ment ac)|(system.+state.+chan)|(\|lc)|(penalty)|(\[timeout))" /e /r /s</v>
      </c>
    </row>
    <row r="118" spans="1:32" x14ac:dyDescent="0.25">
      <c r="A118" s="34" t="s">
        <v>529</v>
      </c>
      <c r="B118" s="64">
        <v>4018</v>
      </c>
      <c r="C118" s="64" t="s">
        <v>60</v>
      </c>
      <c r="D118" s="64" t="s">
        <v>72</v>
      </c>
      <c r="E118" s="70">
        <v>42558.692395833335</v>
      </c>
      <c r="F118" s="70">
        <v>42558.69332175926</v>
      </c>
      <c r="G118" s="71">
        <v>1</v>
      </c>
      <c r="H118" s="70" t="s">
        <v>85</v>
      </c>
      <c r="I118" s="70">
        <v>42558.722060185188</v>
      </c>
      <c r="J118" s="64">
        <v>0</v>
      </c>
      <c r="K118" s="34" t="str">
        <f t="shared" si="16"/>
        <v>4017/4018</v>
      </c>
      <c r="L118" s="34" t="str">
        <f>VLOOKUP(A118,'Trips&amp;Operators'!$C$1:$E$10000,3,FALSE)</f>
        <v>STAMBAUGH</v>
      </c>
      <c r="M118" s="6">
        <f t="shared" si="17"/>
        <v>2.8738425928167999E-2</v>
      </c>
      <c r="N118" s="7">
        <f t="shared" si="18"/>
        <v>41.383333336561918</v>
      </c>
      <c r="O118" s="7"/>
      <c r="P118" s="7"/>
      <c r="Q118" s="35"/>
      <c r="R118" s="35"/>
      <c r="S118" s="54">
        <f t="shared" si="19"/>
        <v>1</v>
      </c>
      <c r="T118" s="98" t="str">
        <f t="shared" si="20"/>
        <v>NorthBound</v>
      </c>
      <c r="U118" s="98">
        <f>COUNTIFS(Variables!$M$2:$M$19,IF(T118="NorthBound","&gt;=","&lt;=")&amp;Y118,Variables!$M$2:$M$19,IF(T118="NorthBound","&lt;=","&gt;=")&amp;Z118)</f>
        <v>12</v>
      </c>
      <c r="V11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16:36:03-0600',mode:absolute,to:'2016-07-07 17:20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8" s="106" t="str">
        <f t="shared" si="22"/>
        <v>N</v>
      </c>
      <c r="X118" s="106">
        <f t="shared" si="23"/>
        <v>1</v>
      </c>
      <c r="Y118" s="106">
        <f t="shared" si="24"/>
        <v>4.5699999999999998E-2</v>
      </c>
      <c r="Z118" s="106">
        <f t="shared" si="25"/>
        <v>23.329499999999999</v>
      </c>
      <c r="AA118" s="106">
        <f t="shared" si="26"/>
        <v>23.283799999999999</v>
      </c>
      <c r="AB118" s="107" t="e">
        <f>VLOOKUP(A118,Enforcements!$C$7:$J$27,8,0)</f>
        <v>#N/A</v>
      </c>
      <c r="AC118" s="107" t="e">
        <f>VLOOKUP(A118,Enforcements!$C$7:$E$27,3,0)</f>
        <v>#N/A</v>
      </c>
      <c r="AD118" s="108" t="str">
        <f t="shared" si="27"/>
        <v>0205-07</v>
      </c>
      <c r="AE118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18" s="108" t="str">
        <f t="shared" si="29"/>
        <v>"C:\Program Files (x86)\AstroGrep\AstroGrep.exe" /spath="C:\Users\stu\Documents\Analysis\2016-02-23 RTDC Observations" /stypes="*4018*20160707*" /stext=" 22:.+((prompt.+disp)|(slice.+state.+chan)|(ment ac)|(system.+state.+chan)|(\|lc)|(penalty)|(\[timeout))" /e /r /s</v>
      </c>
    </row>
    <row r="119" spans="1:32" x14ac:dyDescent="0.25">
      <c r="A119" s="34" t="s">
        <v>530</v>
      </c>
      <c r="B119" s="64">
        <v>4017</v>
      </c>
      <c r="C119" s="64" t="s">
        <v>60</v>
      </c>
      <c r="D119" s="64" t="s">
        <v>154</v>
      </c>
      <c r="E119" s="70">
        <v>42558.733981481484</v>
      </c>
      <c r="F119" s="70">
        <v>42558.734988425924</v>
      </c>
      <c r="G119" s="71">
        <v>1</v>
      </c>
      <c r="H119" s="70" t="s">
        <v>61</v>
      </c>
      <c r="I119" s="70">
        <v>42558.762488425928</v>
      </c>
      <c r="J119" s="64">
        <v>0</v>
      </c>
      <c r="K119" s="34" t="str">
        <f t="shared" si="16"/>
        <v>4017/4018</v>
      </c>
      <c r="L119" s="34" t="str">
        <f>VLOOKUP(A119,'Trips&amp;Operators'!$C$1:$E$10000,3,FALSE)</f>
        <v>STAMBAUGH</v>
      </c>
      <c r="M119" s="6">
        <f t="shared" si="17"/>
        <v>2.7500000003783498E-2</v>
      </c>
      <c r="N119" s="7">
        <f t="shared" si="18"/>
        <v>39.600000005448237</v>
      </c>
      <c r="O119" s="7"/>
      <c r="P119" s="7"/>
      <c r="Q119" s="35"/>
      <c r="R119" s="35"/>
      <c r="S119" s="54">
        <f t="shared" si="19"/>
        <v>1</v>
      </c>
      <c r="T119" s="98" t="str">
        <f t="shared" si="20"/>
        <v>Southbound</v>
      </c>
      <c r="U119" s="98">
        <f>COUNTIFS(Variables!$M$2:$M$19,IF(T119="NorthBound","&gt;=","&lt;=")&amp;Y119,Variables!$M$2:$M$19,IF(T119="NorthBound","&lt;=","&gt;=")&amp;Z119)</f>
        <v>12</v>
      </c>
      <c r="V11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17:35:56-0600',mode:absolute,to:'2016-07-07 18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9" s="106" t="str">
        <f t="shared" si="22"/>
        <v>N</v>
      </c>
      <c r="X119" s="106">
        <f t="shared" si="23"/>
        <v>1</v>
      </c>
      <c r="Y119" s="106">
        <f t="shared" si="24"/>
        <v>23.296900000000001</v>
      </c>
      <c r="Z119" s="106">
        <f t="shared" si="25"/>
        <v>1.4500000000000001E-2</v>
      </c>
      <c r="AA119" s="106">
        <f t="shared" si="26"/>
        <v>23.282399999999999</v>
      </c>
      <c r="AB119" s="107" t="e">
        <f>VLOOKUP(A119,Enforcements!$C$7:$J$27,8,0)</f>
        <v>#N/A</v>
      </c>
      <c r="AC119" s="107" t="e">
        <f>VLOOKUP(A119,Enforcements!$C$7:$E$27,3,0)</f>
        <v>#N/A</v>
      </c>
      <c r="AD119" s="108" t="str">
        <f t="shared" si="27"/>
        <v>0206-07</v>
      </c>
      <c r="AE119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19" s="108" t="str">
        <f t="shared" si="29"/>
        <v>"C:\Program Files (x86)\AstroGrep\AstroGrep.exe" /spath="C:\Users\stu\Documents\Analysis\2016-02-23 RTDC Observations" /stypes="*4017*20160707*" /stext=" 23:.+((prompt.+disp)|(slice.+state.+chan)|(ment ac)|(system.+state.+chan)|(\|lc)|(penalty)|(\[timeout))" /e /r /s</v>
      </c>
    </row>
    <row r="120" spans="1:32" x14ac:dyDescent="0.25">
      <c r="A120" s="34" t="s">
        <v>531</v>
      </c>
      <c r="B120" s="64">
        <v>4011</v>
      </c>
      <c r="C120" s="64" t="s">
        <v>60</v>
      </c>
      <c r="D120" s="64" t="s">
        <v>127</v>
      </c>
      <c r="E120" s="70">
        <v>42558.703819444447</v>
      </c>
      <c r="F120" s="70">
        <v>42558.70815972222</v>
      </c>
      <c r="G120" s="71">
        <v>6</v>
      </c>
      <c r="H120" s="70" t="s">
        <v>240</v>
      </c>
      <c r="I120" s="70">
        <v>42558.733437499999</v>
      </c>
      <c r="J120" s="64">
        <v>0</v>
      </c>
      <c r="K120" s="34" t="str">
        <f t="shared" si="16"/>
        <v>4011/4012</v>
      </c>
      <c r="L120" s="34" t="str">
        <f>VLOOKUP(A120,'Trips&amp;Operators'!$C$1:$E$10000,3,FALSE)</f>
        <v>COOLAHAN</v>
      </c>
      <c r="M120" s="6">
        <f t="shared" si="17"/>
        <v>2.527777777868323E-2</v>
      </c>
      <c r="N120" s="7">
        <f t="shared" si="18"/>
        <v>36.400000001303852</v>
      </c>
      <c r="O120" s="7"/>
      <c r="P120" s="7"/>
      <c r="Q120" s="35"/>
      <c r="R120" s="35"/>
      <c r="S120" s="54">
        <f t="shared" si="19"/>
        <v>1</v>
      </c>
      <c r="T120" s="98" t="str">
        <f t="shared" si="20"/>
        <v>NorthBound</v>
      </c>
      <c r="U120" s="98">
        <f>COUNTIFS(Variables!$M$2:$M$19,IF(T120="NorthBound","&gt;=","&lt;=")&amp;Y120,Variables!$M$2:$M$19,IF(T120="NorthBound","&lt;=","&gt;=")&amp;Z120)</f>
        <v>12</v>
      </c>
      <c r="V12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16:52:30-0600',mode:absolute,to:'2016-07-07 17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20" s="106" t="str">
        <f t="shared" si="22"/>
        <v>N</v>
      </c>
      <c r="X120" s="106">
        <f t="shared" si="23"/>
        <v>1</v>
      </c>
      <c r="Y120" s="106">
        <f t="shared" si="24"/>
        <v>4.6600000000000003E-2</v>
      </c>
      <c r="Z120" s="106">
        <f t="shared" si="25"/>
        <v>23.329699999999999</v>
      </c>
      <c r="AA120" s="106">
        <f t="shared" si="26"/>
        <v>23.283099999999997</v>
      </c>
      <c r="AB120" s="107" t="e">
        <f>VLOOKUP(A120,Enforcements!$C$7:$J$27,8,0)</f>
        <v>#N/A</v>
      </c>
      <c r="AC120" s="107" t="e">
        <f>VLOOKUP(A120,Enforcements!$C$7:$E$27,3,0)</f>
        <v>#N/A</v>
      </c>
      <c r="AD120" s="108" t="str">
        <f t="shared" si="27"/>
        <v>0207-07</v>
      </c>
      <c r="AE120" s="108" t="str">
        <f t="shared" si="28"/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AF120" s="108" t="str">
        <f t="shared" si="29"/>
        <v>"C:\Program Files (x86)\AstroGrep\AstroGrep.exe" /spath="C:\Users\stu\Documents\Analysis\2016-02-23 RTDC Observations" /stypes="*4011*20160707*" /stext=" 22:.+((prompt.+disp)|(slice.+state.+chan)|(ment ac)|(system.+state.+chan)|(\|lc)|(penalty)|(\[timeout))" /e /r /s</v>
      </c>
    </row>
    <row r="121" spans="1:32" x14ac:dyDescent="0.25">
      <c r="A121" s="34" t="s">
        <v>532</v>
      </c>
      <c r="B121" s="64">
        <v>4012</v>
      </c>
      <c r="C121" s="64" t="s">
        <v>60</v>
      </c>
      <c r="D121" s="64" t="s">
        <v>533</v>
      </c>
      <c r="E121" s="70">
        <v>42558.743344907409</v>
      </c>
      <c r="F121" s="70">
        <v>42558.744513888887</v>
      </c>
      <c r="G121" s="71">
        <v>1</v>
      </c>
      <c r="H121" s="70" t="s">
        <v>534</v>
      </c>
      <c r="I121" s="70">
        <v>42558.775439814817</v>
      </c>
      <c r="J121" s="64">
        <v>2</v>
      </c>
      <c r="K121" s="34" t="str">
        <f t="shared" si="16"/>
        <v>4011/4012</v>
      </c>
      <c r="L121" s="34" t="str">
        <f>VLOOKUP(A121,'Trips&amp;Operators'!$C$1:$E$10000,3,FALSE)</f>
        <v>COOLAHAN</v>
      </c>
      <c r="M121" s="6">
        <f t="shared" si="17"/>
        <v>3.0925925930205267E-2</v>
      </c>
      <c r="N121" s="7">
        <f t="shared" si="18"/>
        <v>44.533333339495584</v>
      </c>
      <c r="O121" s="7"/>
      <c r="P121" s="7"/>
      <c r="Q121" s="35"/>
      <c r="R121" s="35"/>
      <c r="S121" s="54">
        <f t="shared" si="19"/>
        <v>1</v>
      </c>
      <c r="T121" s="98" t="str">
        <f t="shared" si="20"/>
        <v>Southbound</v>
      </c>
      <c r="U121" s="98">
        <f>COUNTIFS(Variables!$M$2:$M$19,IF(T121="NorthBound","&gt;=","&lt;=")&amp;Y121,Variables!$M$2:$M$19,IF(T121="NorthBound","&lt;=","&gt;=")&amp;Z121)</f>
        <v>12</v>
      </c>
      <c r="V12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17:49:25-0600',mode:absolute,to:'2016-07-07 18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21" s="106" t="str">
        <f t="shared" si="22"/>
        <v>N</v>
      </c>
      <c r="X121" s="106">
        <f t="shared" si="23"/>
        <v>1</v>
      </c>
      <c r="Y121" s="106">
        <f t="shared" si="24"/>
        <v>23.296199999999999</v>
      </c>
      <c r="Z121" s="106">
        <f t="shared" si="25"/>
        <v>2.0299999999999999E-2</v>
      </c>
      <c r="AA121" s="106">
        <f t="shared" si="26"/>
        <v>23.2759</v>
      </c>
      <c r="AB121" s="107">
        <f>VLOOKUP(A121,Enforcements!$C$7:$J$27,8,0)</f>
        <v>15167</v>
      </c>
      <c r="AC121" s="107" t="str">
        <f>VLOOKUP(A121,Enforcements!$C$7:$E$27,3,0)</f>
        <v>PERMANENT SPEED RESTRICTION</v>
      </c>
      <c r="AD121" s="108" t="str">
        <f t="shared" si="27"/>
        <v>0208-07</v>
      </c>
      <c r="AE121" s="108" t="str">
        <f t="shared" si="28"/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AF121" s="108" t="str">
        <f t="shared" si="29"/>
        <v>"C:\Program Files (x86)\AstroGrep\AstroGrep.exe" /spath="C:\Users\stu\Documents\Analysis\2016-02-23 RTDC Observations" /stypes="*4012*20160707*" /stext=" 23:.+((prompt.+disp)|(slice.+state.+chan)|(ment ac)|(system.+state.+chan)|(\|lc)|(penalty)|(\[timeout))" /e /r /s</v>
      </c>
    </row>
    <row r="122" spans="1:32" x14ac:dyDescent="0.25">
      <c r="A122" s="34" t="s">
        <v>535</v>
      </c>
      <c r="B122" s="64">
        <v>4014</v>
      </c>
      <c r="C122" s="64" t="s">
        <v>60</v>
      </c>
      <c r="D122" s="64" t="s">
        <v>127</v>
      </c>
      <c r="E122" s="70">
        <v>42558.717002314814</v>
      </c>
      <c r="F122" s="70">
        <v>42558.718171296299</v>
      </c>
      <c r="G122" s="71">
        <v>1</v>
      </c>
      <c r="H122" s="70" t="s">
        <v>536</v>
      </c>
      <c r="I122" s="70">
        <v>42558.744560185187</v>
      </c>
      <c r="J122" s="64">
        <v>0</v>
      </c>
      <c r="K122" s="34" t="str">
        <f t="shared" si="16"/>
        <v>4013/4014</v>
      </c>
      <c r="L122" s="34" t="str">
        <f>VLOOKUP(A122,'Trips&amp;Operators'!$C$1:$E$10000,3,FALSE)</f>
        <v>SHOOK</v>
      </c>
      <c r="M122" s="6">
        <f t="shared" si="17"/>
        <v>2.6388888887595385E-2</v>
      </c>
      <c r="N122" s="7">
        <f t="shared" si="18"/>
        <v>37.999999998137355</v>
      </c>
      <c r="O122" s="7"/>
      <c r="P122" s="7"/>
      <c r="Q122" s="35"/>
      <c r="R122" s="35"/>
      <c r="S122" s="54">
        <f t="shared" si="19"/>
        <v>1</v>
      </c>
      <c r="T122" s="98" t="str">
        <f t="shared" si="20"/>
        <v>NorthBound</v>
      </c>
      <c r="U122" s="98">
        <f>COUNTIFS(Variables!$M$2:$M$19,IF(T122="NorthBound","&gt;=","&lt;=")&amp;Y122,Variables!$M$2:$M$19,IF(T122="NorthBound","&lt;=","&gt;=")&amp;Z122)</f>
        <v>12</v>
      </c>
      <c r="V12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17:11:29-0600',mode:absolute,to:'2016-07-07 17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2" s="106" t="str">
        <f t="shared" si="22"/>
        <v>N</v>
      </c>
      <c r="X122" s="106">
        <f t="shared" si="23"/>
        <v>1</v>
      </c>
      <c r="Y122" s="106">
        <f t="shared" si="24"/>
        <v>4.6600000000000003E-2</v>
      </c>
      <c r="Z122" s="106">
        <f t="shared" si="25"/>
        <v>23.325299999999999</v>
      </c>
      <c r="AA122" s="106">
        <f t="shared" si="26"/>
        <v>23.278699999999997</v>
      </c>
      <c r="AB122" s="107" t="e">
        <f>VLOOKUP(A122,Enforcements!$C$7:$J$27,8,0)</f>
        <v>#N/A</v>
      </c>
      <c r="AC122" s="107" t="e">
        <f>VLOOKUP(A122,Enforcements!$C$7:$E$27,3,0)</f>
        <v>#N/A</v>
      </c>
      <c r="AD122" s="108" t="str">
        <f t="shared" si="27"/>
        <v>0209-07</v>
      </c>
      <c r="AE122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22" s="108" t="str">
        <f t="shared" si="29"/>
        <v>"C:\Program Files (x86)\AstroGrep\AstroGrep.exe" /spath="C:\Users\stu\Documents\Analysis\2016-02-23 RTDC Observations" /stypes="*4014*20160707*" /stext=" 23:.+((prompt.+disp)|(slice.+state.+chan)|(ment ac)|(system.+state.+chan)|(\|lc)|(penalty)|(\[timeout))" /e /r /s</v>
      </c>
    </row>
    <row r="123" spans="1:32" x14ac:dyDescent="0.25">
      <c r="A123" s="34" t="s">
        <v>537</v>
      </c>
      <c r="B123" s="64">
        <v>4013</v>
      </c>
      <c r="C123" s="64" t="s">
        <v>60</v>
      </c>
      <c r="D123" s="64" t="s">
        <v>538</v>
      </c>
      <c r="E123" s="70">
        <v>42558.756678240738</v>
      </c>
      <c r="F123" s="70">
        <v>42558.757777777777</v>
      </c>
      <c r="G123" s="71">
        <v>1</v>
      </c>
      <c r="H123" s="70" t="s">
        <v>539</v>
      </c>
      <c r="I123" s="70">
        <v>42558.784178240741</v>
      </c>
      <c r="J123" s="64">
        <v>0</v>
      </c>
      <c r="K123" s="34" t="str">
        <f t="shared" si="16"/>
        <v>4013/4014</v>
      </c>
      <c r="L123" s="34" t="str">
        <f>VLOOKUP(A123,'Trips&amp;Operators'!$C$1:$E$10000,3,FALSE)</f>
        <v>SHOOK</v>
      </c>
      <c r="M123" s="6">
        <f t="shared" si="17"/>
        <v>2.6400462964375038E-2</v>
      </c>
      <c r="N123" s="7">
        <f t="shared" si="18"/>
        <v>38.016666668700054</v>
      </c>
      <c r="O123" s="7"/>
      <c r="P123" s="7"/>
      <c r="Q123" s="35"/>
      <c r="R123" s="35"/>
      <c r="S123" s="54">
        <f t="shared" si="19"/>
        <v>1</v>
      </c>
      <c r="T123" s="98" t="str">
        <f t="shared" si="20"/>
        <v>Southbound</v>
      </c>
      <c r="U123" s="98">
        <f>COUNTIFS(Variables!$M$2:$M$19,IF(T123="NorthBound","&gt;=","&lt;=")&amp;Y123,Variables!$M$2:$M$19,IF(T123="NorthBound","&lt;=","&gt;=")&amp;Z123)</f>
        <v>12</v>
      </c>
      <c r="V12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18:08:37-0600',mode:absolute,to:'2016-07-07 18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3" s="106" t="str">
        <f t="shared" si="22"/>
        <v>N</v>
      </c>
      <c r="X123" s="106">
        <f t="shared" si="23"/>
        <v>1</v>
      </c>
      <c r="Y123" s="106">
        <f t="shared" si="24"/>
        <v>23.2944</v>
      </c>
      <c r="Z123" s="106">
        <f t="shared" si="25"/>
        <v>2.1999999999999999E-2</v>
      </c>
      <c r="AA123" s="106">
        <f t="shared" si="26"/>
        <v>23.272400000000001</v>
      </c>
      <c r="AB123" s="107" t="e">
        <f>VLOOKUP(A123,Enforcements!$C$7:$J$27,8,0)</f>
        <v>#N/A</v>
      </c>
      <c r="AC123" s="107" t="e">
        <f>VLOOKUP(A123,Enforcements!$C$7:$E$27,3,0)</f>
        <v>#N/A</v>
      </c>
      <c r="AD123" s="108" t="str">
        <f t="shared" si="27"/>
        <v>0210-07</v>
      </c>
      <c r="AE123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23" s="108" t="str">
        <f t="shared" si="29"/>
        <v>"C:\Program Files (x86)\AstroGrep\AstroGrep.exe" /spath="C:\Users\stu\Documents\Analysis\2016-02-23 RTDC Observations" /stypes="*4013*20160708*" /stext=" 00:.+((prompt.+disp)|(slice.+state.+chan)|(ment ac)|(system.+state.+chan)|(\|lc)|(penalty)|(\[timeout))" /e /r /s</v>
      </c>
    </row>
    <row r="124" spans="1:32" x14ac:dyDescent="0.25">
      <c r="A124" s="34" t="s">
        <v>540</v>
      </c>
      <c r="B124" s="64">
        <v>4044</v>
      </c>
      <c r="C124" s="64" t="s">
        <v>60</v>
      </c>
      <c r="D124" s="64" t="s">
        <v>541</v>
      </c>
      <c r="E124" s="70">
        <v>42558.72552083333</v>
      </c>
      <c r="F124" s="70">
        <v>42558.726782407408</v>
      </c>
      <c r="G124" s="71">
        <v>1</v>
      </c>
      <c r="H124" s="70" t="s">
        <v>335</v>
      </c>
      <c r="I124" s="70">
        <v>42558.754490740743</v>
      </c>
      <c r="J124" s="64">
        <v>0</v>
      </c>
      <c r="K124" s="34" t="str">
        <f t="shared" si="16"/>
        <v>4043/4044</v>
      </c>
      <c r="L124" s="34" t="str">
        <f>VLOOKUP(A124,'Trips&amp;Operators'!$C$1:$E$10000,3,FALSE)</f>
        <v>STORY</v>
      </c>
      <c r="M124" s="6">
        <f t="shared" si="17"/>
        <v>2.7708333334885538E-2</v>
      </c>
      <c r="N124" s="7">
        <f t="shared" si="18"/>
        <v>39.900000002235174</v>
      </c>
      <c r="O124" s="7"/>
      <c r="P124" s="7"/>
      <c r="Q124" s="35"/>
      <c r="R124" s="35"/>
      <c r="S124" s="54">
        <f t="shared" si="19"/>
        <v>1</v>
      </c>
      <c r="T124" s="98" t="str">
        <f t="shared" si="20"/>
        <v>NorthBound</v>
      </c>
      <c r="U124" s="98">
        <f>COUNTIFS(Variables!$M$2:$M$19,IF(T124="NorthBound","&gt;=","&lt;=")&amp;Y124,Variables!$M$2:$M$19,IF(T124="NorthBound","&lt;=","&gt;=")&amp;Z124)</f>
        <v>12</v>
      </c>
      <c r="V12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17:23:45-0600',mode:absolute,to:'2016-07-07 18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106" t="str">
        <f t="shared" si="22"/>
        <v>N</v>
      </c>
      <c r="X124" s="106">
        <f t="shared" si="23"/>
        <v>1</v>
      </c>
      <c r="Y124" s="106">
        <f t="shared" si="24"/>
        <v>6.1100000000000002E-2</v>
      </c>
      <c r="Z124" s="106">
        <f t="shared" si="25"/>
        <v>23.336099999999998</v>
      </c>
      <c r="AA124" s="106">
        <f t="shared" si="26"/>
        <v>23.274999999999999</v>
      </c>
      <c r="AB124" s="107" t="e">
        <f>VLOOKUP(A124,Enforcements!$C$7:$J$27,8,0)</f>
        <v>#N/A</v>
      </c>
      <c r="AC124" s="107" t="e">
        <f>VLOOKUP(A124,Enforcements!$C$7:$E$27,3,0)</f>
        <v>#N/A</v>
      </c>
      <c r="AD124" s="108" t="str">
        <f t="shared" si="27"/>
        <v>0211-07</v>
      </c>
      <c r="AE124" s="108" t="str">
        <f t="shared" si="28"/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AF124" s="108" t="str">
        <f t="shared" si="29"/>
        <v>"C:\Program Files (x86)\AstroGrep\AstroGrep.exe" /spath="C:\Users\stu\Documents\Analysis\2016-02-23 RTDC Observations" /stypes="*4044*20160707*" /stext=" 23:.+((prompt.+disp)|(slice.+state.+chan)|(ment ac)|(system.+state.+chan)|(\|lc)|(penalty)|(\[timeout))" /e /r /s</v>
      </c>
    </row>
    <row r="125" spans="1:32" x14ac:dyDescent="0.25">
      <c r="A125" s="62" t="s">
        <v>542</v>
      </c>
      <c r="B125" s="34">
        <v>4043</v>
      </c>
      <c r="C125" s="34" t="s">
        <v>60</v>
      </c>
      <c r="D125" s="34" t="s">
        <v>543</v>
      </c>
      <c r="E125" s="20">
        <v>42558.761099537034</v>
      </c>
      <c r="F125" s="20">
        <v>42558.762002314812</v>
      </c>
      <c r="G125" s="23">
        <v>1</v>
      </c>
      <c r="H125" s="20" t="s">
        <v>210</v>
      </c>
      <c r="I125" s="20">
        <v>42558.794317129628</v>
      </c>
      <c r="J125" s="34">
        <v>1</v>
      </c>
      <c r="K125" s="34" t="str">
        <f t="shared" si="16"/>
        <v>4043/4044</v>
      </c>
      <c r="L125" s="34" t="str">
        <f>VLOOKUP(A125,'Trips&amp;Operators'!$C$1:$E$10000,3,FALSE)</f>
        <v>STORY</v>
      </c>
      <c r="M125" s="6">
        <f t="shared" si="17"/>
        <v>3.2314814816345461E-2</v>
      </c>
      <c r="N125" s="7">
        <f t="shared" si="18"/>
        <v>46.533333335537463</v>
      </c>
      <c r="O125" s="7"/>
      <c r="P125" s="7"/>
      <c r="Q125" s="35"/>
      <c r="R125" s="35"/>
      <c r="S125" s="54">
        <f t="shared" si="19"/>
        <v>1</v>
      </c>
      <c r="T125" s="98" t="str">
        <f t="shared" si="20"/>
        <v>Southbound</v>
      </c>
      <c r="U125" s="98">
        <f>COUNTIFS(Variables!$M$2:$M$19,IF(T125="NorthBound","&gt;=","&lt;=")&amp;Y125,Variables!$M$2:$M$19,IF(T125="NorthBound","&lt;=","&gt;=")&amp;Z125)</f>
        <v>12</v>
      </c>
      <c r="V12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18:14:59-0600',mode:absolute,to:'2016-07-07 19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106" t="str">
        <f t="shared" si="22"/>
        <v>N</v>
      </c>
      <c r="X125" s="106">
        <f t="shared" si="23"/>
        <v>1</v>
      </c>
      <c r="Y125" s="106">
        <f t="shared" si="24"/>
        <v>23.306000000000001</v>
      </c>
      <c r="Z125" s="106">
        <f t="shared" si="25"/>
        <v>4.6199999999999998E-2</v>
      </c>
      <c r="AA125" s="106">
        <f t="shared" si="26"/>
        <v>23.259800000000002</v>
      </c>
      <c r="AB125" s="107" t="e">
        <f>VLOOKUP(A125,Enforcements!$C$7:$J$27,8,0)</f>
        <v>#N/A</v>
      </c>
      <c r="AC125" s="107" t="e">
        <f>VLOOKUP(A125,Enforcements!$C$7:$E$27,3,0)</f>
        <v>#N/A</v>
      </c>
      <c r="AD125" s="108" t="str">
        <f t="shared" si="27"/>
        <v>0212-07</v>
      </c>
      <c r="AE125" s="108" t="str">
        <f t="shared" si="28"/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AF125" s="108" t="str">
        <f t="shared" si="29"/>
        <v>"C:\Program Files (x86)\AstroGrep\AstroGrep.exe" /spath="C:\Users\stu\Documents\Analysis\2016-02-23 RTDC Observations" /stypes="*4043*20160708*" /stext=" 00:.+((prompt.+disp)|(slice.+state.+chan)|(ment ac)|(system.+state.+chan)|(\|lc)|(penalty)|(\[timeout))" /e /r /s</v>
      </c>
    </row>
    <row r="126" spans="1:32" x14ac:dyDescent="0.25">
      <c r="A126" s="62" t="s">
        <v>544</v>
      </c>
      <c r="B126" s="34">
        <v>4031</v>
      </c>
      <c r="C126" s="34" t="s">
        <v>60</v>
      </c>
      <c r="D126" s="34" t="s">
        <v>545</v>
      </c>
      <c r="E126" s="20">
        <v>42558.735023148147</v>
      </c>
      <c r="F126" s="20">
        <v>42558.73641203704</v>
      </c>
      <c r="G126" s="23">
        <v>2</v>
      </c>
      <c r="H126" s="20" t="s">
        <v>546</v>
      </c>
      <c r="I126" s="20">
        <v>42558.748182870368</v>
      </c>
      <c r="J126" s="34">
        <v>1</v>
      </c>
      <c r="K126" s="34" t="str">
        <f t="shared" si="16"/>
        <v>4031/4032</v>
      </c>
      <c r="L126" s="34" t="str">
        <f>VLOOKUP(A126,'Trips&amp;Operators'!$C$1:$E$10000,3,FALSE)</f>
        <v>DAVIS</v>
      </c>
      <c r="M126" s="6">
        <f t="shared" si="17"/>
        <v>1.1770833327318542E-2</v>
      </c>
      <c r="N126" s="7"/>
      <c r="O126" s="7"/>
      <c r="P126" s="7">
        <f t="shared" si="18"/>
        <v>16.9499999913387</v>
      </c>
      <c r="Q126" s="35"/>
      <c r="R126" s="35" t="s">
        <v>362</v>
      </c>
      <c r="S126" s="54">
        <f t="shared" si="19"/>
        <v>0.33333333333333331</v>
      </c>
      <c r="T126" s="98" t="str">
        <f t="shared" si="20"/>
        <v>NorthBound</v>
      </c>
      <c r="U126" s="98">
        <f>COUNTIFS(Variables!$M$2:$M$19,IF(T126="NorthBound","&gt;=","&lt;=")&amp;Y126,Variables!$M$2:$M$19,IF(T126="NorthBound","&lt;=","&gt;=")&amp;Z126)</f>
        <v>4</v>
      </c>
      <c r="V12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17:37:26-0600',mode:absolute,to:'2016-07-07 17:58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106" t="str">
        <f t="shared" si="22"/>
        <v>Y</v>
      </c>
      <c r="X126" s="106">
        <f t="shared" si="23"/>
        <v>1</v>
      </c>
      <c r="Y126" s="106">
        <f t="shared" si="24"/>
        <v>4.9099999999999998E-2</v>
      </c>
      <c r="Z126" s="106">
        <f t="shared" si="25"/>
        <v>4.3997999999999999</v>
      </c>
      <c r="AA126" s="106">
        <f t="shared" si="26"/>
        <v>4.3506999999999998</v>
      </c>
      <c r="AB126" s="107">
        <f>VLOOKUP(A126,Enforcements!$C$7:$J$27,8,0)</f>
        <v>42779</v>
      </c>
      <c r="AC126" s="107" t="str">
        <f>VLOOKUP(A126,Enforcements!$C$7:$E$27,3,0)</f>
        <v>GRADE CROSSING</v>
      </c>
      <c r="AD126" s="108" t="str">
        <f t="shared" si="27"/>
        <v>0213-07</v>
      </c>
      <c r="AE126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26" s="108" t="str">
        <f t="shared" si="29"/>
        <v>"C:\Program Files (x86)\AstroGrep\AstroGrep.exe" /spath="C:\Users\stu\Documents\Analysis\2016-02-23 RTDC Observations" /stypes="*4031*20160707*" /stext=" 23:.+((prompt.+disp)|(slice.+state.+chan)|(ment ac)|(system.+state.+chan)|(\|lc)|(penalty)|(\[timeout))" /e /r /s</v>
      </c>
    </row>
    <row r="127" spans="1:32" x14ac:dyDescent="0.25">
      <c r="A127" s="62" t="s">
        <v>547</v>
      </c>
      <c r="B127" s="34">
        <v>4032</v>
      </c>
      <c r="C127" s="34" t="s">
        <v>60</v>
      </c>
      <c r="D127" s="34" t="s">
        <v>343</v>
      </c>
      <c r="E127" s="20">
        <v>42558.775891203702</v>
      </c>
      <c r="F127" s="20">
        <v>42558.777824074074</v>
      </c>
      <c r="G127" s="23">
        <v>2</v>
      </c>
      <c r="H127" s="20" t="s">
        <v>342</v>
      </c>
      <c r="I127" s="20">
        <v>42558.804351851853</v>
      </c>
      <c r="J127" s="34">
        <v>0</v>
      </c>
      <c r="K127" s="34" t="str">
        <f t="shared" si="16"/>
        <v>4031/4032</v>
      </c>
      <c r="L127" s="34" t="str">
        <f>VLOOKUP(A127,'Trips&amp;Operators'!$C$1:$E$10000,3,FALSE)</f>
        <v>DAVIS</v>
      </c>
      <c r="M127" s="6">
        <f t="shared" si="17"/>
        <v>2.6527777779847383E-2</v>
      </c>
      <c r="N127" s="7">
        <f t="shared" si="18"/>
        <v>38.200000002980232</v>
      </c>
      <c r="O127" s="7"/>
      <c r="P127" s="7"/>
      <c r="Q127" s="35"/>
      <c r="R127" s="35"/>
      <c r="S127" s="54">
        <f t="shared" si="19"/>
        <v>1</v>
      </c>
      <c r="T127" s="98" t="str">
        <f t="shared" si="20"/>
        <v>Southbound</v>
      </c>
      <c r="U127" s="98">
        <f>COUNTIFS(Variables!$M$2:$M$19,IF(T127="NorthBound","&gt;=","&lt;=")&amp;Y127,Variables!$M$2:$M$19,IF(T127="NorthBound","&lt;=","&gt;=")&amp;Z127)</f>
        <v>12</v>
      </c>
      <c r="V12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18:36:17-0600',mode:absolute,to:'2016-07-07 19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7" s="106" t="str">
        <f t="shared" si="22"/>
        <v>N</v>
      </c>
      <c r="X127" s="106">
        <f t="shared" si="23"/>
        <v>1</v>
      </c>
      <c r="Y127" s="106">
        <f t="shared" si="24"/>
        <v>23.290700000000001</v>
      </c>
      <c r="Z127" s="106">
        <f t="shared" si="25"/>
        <v>1.7000000000000001E-2</v>
      </c>
      <c r="AA127" s="106">
        <f t="shared" si="26"/>
        <v>23.273700000000002</v>
      </c>
      <c r="AB127" s="107" t="e">
        <f>VLOOKUP(A127,Enforcements!$C$7:$J$27,8,0)</f>
        <v>#N/A</v>
      </c>
      <c r="AC127" s="107" t="e">
        <f>VLOOKUP(A127,Enforcements!$C$7:$E$27,3,0)</f>
        <v>#N/A</v>
      </c>
      <c r="AD127" s="108" t="str">
        <f t="shared" si="27"/>
        <v>0214-07</v>
      </c>
      <c r="AE127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27" s="108" t="str">
        <f t="shared" si="29"/>
        <v>"C:\Program Files (x86)\AstroGrep\AstroGrep.exe" /spath="C:\Users\stu\Documents\Analysis\2016-02-23 RTDC Observations" /stypes="*4032*20160708*" /stext=" 00:.+((prompt.+disp)|(slice.+state.+chan)|(ment ac)|(system.+state.+chan)|(\|lc)|(penalty)|(\[timeout))" /e /r /s</v>
      </c>
    </row>
    <row r="128" spans="1:32" x14ac:dyDescent="0.25">
      <c r="A128" s="62" t="s">
        <v>548</v>
      </c>
      <c r="B128" s="34">
        <v>4027</v>
      </c>
      <c r="C128" s="34" t="s">
        <v>60</v>
      </c>
      <c r="D128" s="34" t="s">
        <v>549</v>
      </c>
      <c r="E128" s="20">
        <v>42558.746527777781</v>
      </c>
      <c r="F128" s="20">
        <v>42558.747488425928</v>
      </c>
      <c r="G128" s="23">
        <v>1</v>
      </c>
      <c r="H128" s="20" t="s">
        <v>227</v>
      </c>
      <c r="I128" s="20">
        <v>42558.775636574072</v>
      </c>
      <c r="J128" s="34">
        <v>0</v>
      </c>
      <c r="K128" s="34" t="str">
        <f t="shared" si="16"/>
        <v>4027/4028</v>
      </c>
      <c r="L128" s="34" t="str">
        <f>VLOOKUP(A128,'Trips&amp;Operators'!$C$1:$E$10000,3,FALSE)</f>
        <v>BARTLETT</v>
      </c>
      <c r="M128" s="6">
        <f t="shared" si="17"/>
        <v>2.8148148143372964E-2</v>
      </c>
      <c r="N128" s="7">
        <f t="shared" si="18"/>
        <v>40.533333326457068</v>
      </c>
      <c r="O128" s="7"/>
      <c r="P128" s="7"/>
      <c r="Q128" s="35"/>
      <c r="R128" s="35"/>
      <c r="S128" s="54">
        <f t="shared" si="19"/>
        <v>1</v>
      </c>
      <c r="T128" s="98" t="str">
        <f t="shared" si="20"/>
        <v>NorthBound</v>
      </c>
      <c r="U128" s="98">
        <f>COUNTIFS(Variables!$M$2:$M$19,IF(T128="NorthBound","&gt;=","&lt;=")&amp;Y128,Variables!$M$2:$M$19,IF(T128="NorthBound","&lt;=","&gt;=")&amp;Z128)</f>
        <v>12</v>
      </c>
      <c r="V12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17:54:00-0600',mode:absolute,to:'2016-07-07 18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8" s="106" t="str">
        <f t="shared" si="22"/>
        <v>N</v>
      </c>
      <c r="X128" s="106">
        <f t="shared" si="23"/>
        <v>1</v>
      </c>
      <c r="Y128" s="106">
        <f t="shared" si="24"/>
        <v>4.7300000000000002E-2</v>
      </c>
      <c r="Z128" s="106">
        <f t="shared" si="25"/>
        <v>23.328299999999999</v>
      </c>
      <c r="AA128" s="106">
        <f t="shared" si="26"/>
        <v>23.280999999999999</v>
      </c>
      <c r="AB128" s="107" t="e">
        <f>VLOOKUP(A128,Enforcements!$C$7:$J$27,8,0)</f>
        <v>#N/A</v>
      </c>
      <c r="AC128" s="107" t="e">
        <f>VLOOKUP(A128,Enforcements!$C$7:$E$27,3,0)</f>
        <v>#N/A</v>
      </c>
      <c r="AD128" s="108" t="str">
        <f t="shared" si="27"/>
        <v>0215-07</v>
      </c>
      <c r="AE128" s="108" t="str">
        <f t="shared" si="28"/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AF128" s="108" t="str">
        <f t="shared" si="29"/>
        <v>"C:\Program Files (x86)\AstroGrep\AstroGrep.exe" /spath="C:\Users\stu\Documents\Analysis\2016-02-23 RTDC Observations" /stypes="*4027*20160707*" /stext=" 23:.+((prompt.+disp)|(slice.+state.+chan)|(ment ac)|(system.+state.+chan)|(\|lc)|(penalty)|(\[timeout))" /e /r /s</v>
      </c>
    </row>
    <row r="129" spans="1:32" x14ac:dyDescent="0.25">
      <c r="A129" s="62" t="s">
        <v>550</v>
      </c>
      <c r="B129" s="34">
        <v>4028</v>
      </c>
      <c r="C129" s="34" t="s">
        <v>60</v>
      </c>
      <c r="D129" s="34" t="s">
        <v>468</v>
      </c>
      <c r="E129" s="20">
        <v>42558.785277777781</v>
      </c>
      <c r="F129" s="20">
        <v>42558.786296296297</v>
      </c>
      <c r="G129" s="23">
        <v>1</v>
      </c>
      <c r="H129" s="20" t="s">
        <v>340</v>
      </c>
      <c r="I129" s="20">
        <v>42558.815092592595</v>
      </c>
      <c r="J129" s="34">
        <v>0</v>
      </c>
      <c r="K129" s="34" t="str">
        <f t="shared" si="16"/>
        <v>4027/4028</v>
      </c>
      <c r="L129" s="34" t="str">
        <f>VLOOKUP(A129,'Trips&amp;Operators'!$C$1:$E$10000,3,FALSE)</f>
        <v>BARTLETT</v>
      </c>
      <c r="M129" s="6">
        <f t="shared" si="17"/>
        <v>2.8796296297514345E-2</v>
      </c>
      <c r="N129" s="7">
        <f t="shared" si="18"/>
        <v>41.466666668420658</v>
      </c>
      <c r="O129" s="7"/>
      <c r="P129" s="7"/>
      <c r="Q129" s="35"/>
      <c r="R129" s="35"/>
      <c r="S129" s="54">
        <f t="shared" si="19"/>
        <v>1</v>
      </c>
      <c r="T129" s="98" t="str">
        <f t="shared" si="20"/>
        <v>Southbound</v>
      </c>
      <c r="U129" s="98">
        <f>COUNTIFS(Variables!$M$2:$M$19,IF(T129="NorthBound","&gt;=","&lt;=")&amp;Y129,Variables!$M$2:$M$19,IF(T129="NorthBound","&lt;=","&gt;=")&amp;Z129)</f>
        <v>12</v>
      </c>
      <c r="V12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18:49:48-0600',mode:absolute,to:'2016-07-07 19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9" s="106" t="str">
        <f t="shared" si="22"/>
        <v>N</v>
      </c>
      <c r="X129" s="106">
        <f t="shared" si="23"/>
        <v>1</v>
      </c>
      <c r="Y129" s="106">
        <f t="shared" si="24"/>
        <v>23.297000000000001</v>
      </c>
      <c r="Z129" s="106">
        <f t="shared" si="25"/>
        <v>1.6E-2</v>
      </c>
      <c r="AA129" s="106">
        <f t="shared" si="26"/>
        <v>23.281000000000002</v>
      </c>
      <c r="AB129" s="107" t="e">
        <f>VLOOKUP(A129,Enforcements!$C$7:$J$27,8,0)</f>
        <v>#N/A</v>
      </c>
      <c r="AC129" s="107" t="e">
        <f>VLOOKUP(A129,Enforcements!$C$7:$E$27,3,0)</f>
        <v>#N/A</v>
      </c>
      <c r="AD129" s="108" t="str">
        <f t="shared" si="27"/>
        <v>0216-07</v>
      </c>
      <c r="AE129" s="108" t="str">
        <f t="shared" si="28"/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AF129" s="108" t="str">
        <f t="shared" si="29"/>
        <v>"C:\Program Files (x86)\AstroGrep\AstroGrep.exe" /spath="C:\Users\stu\Documents\Analysis\2016-02-23 RTDC Observations" /stypes="*4028*20160708*" /stext=" 00:.+((prompt.+disp)|(slice.+state.+chan)|(ment ac)|(system.+state.+chan)|(\|lc)|(penalty)|(\[timeout))" /e /r /s</v>
      </c>
    </row>
    <row r="130" spans="1:32" x14ac:dyDescent="0.25">
      <c r="A130" s="62" t="s">
        <v>551</v>
      </c>
      <c r="B130" s="34">
        <v>4038</v>
      </c>
      <c r="C130" s="34" t="s">
        <v>60</v>
      </c>
      <c r="D130" s="34" t="s">
        <v>68</v>
      </c>
      <c r="E130" s="20">
        <v>42558.755300925928</v>
      </c>
      <c r="F130" s="20">
        <v>42558.756932870368</v>
      </c>
      <c r="G130" s="20">
        <v>2</v>
      </c>
      <c r="H130" s="20" t="s">
        <v>394</v>
      </c>
      <c r="I130" s="20">
        <v>42558.784930555557</v>
      </c>
      <c r="J130" s="34">
        <v>0</v>
      </c>
      <c r="K130" s="34" t="str">
        <f t="shared" si="16"/>
        <v>4037/4038</v>
      </c>
      <c r="L130" s="34" t="str">
        <f>VLOOKUP(A130,'Trips&amp;Operators'!$C$1:$E$10000,3,FALSE)</f>
        <v>ADANE</v>
      </c>
      <c r="M130" s="6">
        <f t="shared" si="17"/>
        <v>2.7997685188893229E-2</v>
      </c>
      <c r="N130" s="7">
        <f t="shared" si="18"/>
        <v>40.316666672006249</v>
      </c>
      <c r="O130" s="7"/>
      <c r="P130" s="7"/>
      <c r="Q130" s="35"/>
      <c r="R130" s="35"/>
      <c r="S130" s="54">
        <f t="shared" si="19"/>
        <v>1</v>
      </c>
      <c r="T130" s="98" t="str">
        <f t="shared" si="20"/>
        <v>NorthBound</v>
      </c>
      <c r="U130" s="98">
        <f>COUNTIFS(Variables!$M$2:$M$19,IF(T130="NorthBound","&gt;=","&lt;=")&amp;Y130,Variables!$M$2:$M$19,IF(T130="NorthBound","&lt;=","&gt;=")&amp;Z130)</f>
        <v>12</v>
      </c>
      <c r="V13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18:06:38-0600',mode:absolute,to:'2016-07-07 18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0" s="106" t="str">
        <f t="shared" si="22"/>
        <v>N</v>
      </c>
      <c r="X130" s="106">
        <f t="shared" si="23"/>
        <v>1</v>
      </c>
      <c r="Y130" s="106">
        <f t="shared" si="24"/>
        <v>4.5999999999999999E-2</v>
      </c>
      <c r="Z130" s="106">
        <f t="shared" si="25"/>
        <v>23.330300000000001</v>
      </c>
      <c r="AA130" s="106">
        <f t="shared" si="26"/>
        <v>23.284300000000002</v>
      </c>
      <c r="AB130" s="107" t="e">
        <f>VLOOKUP(A130,Enforcements!$C$7:$J$27,8,0)</f>
        <v>#N/A</v>
      </c>
      <c r="AC130" s="107" t="e">
        <f>VLOOKUP(A130,Enforcements!$C$7:$E$27,3,0)</f>
        <v>#N/A</v>
      </c>
      <c r="AD130" s="108" t="str">
        <f t="shared" si="27"/>
        <v>0217-07</v>
      </c>
      <c r="AE130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30" s="108" t="str">
        <f t="shared" si="29"/>
        <v>"C:\Program Files (x86)\AstroGrep\AstroGrep.exe" /spath="C:\Users\stu\Documents\Analysis\2016-02-23 RTDC Observations" /stypes="*4038*20160708*" /stext=" 00:.+((prompt.+disp)|(slice.+state.+chan)|(ment ac)|(system.+state.+chan)|(\|lc)|(penalty)|(\[timeout))" /e /r /s</v>
      </c>
    </row>
    <row r="131" spans="1:32" x14ac:dyDescent="0.25">
      <c r="A131" s="62" t="s">
        <v>552</v>
      </c>
      <c r="B131" s="34">
        <v>4037</v>
      </c>
      <c r="C131" s="34" t="s">
        <v>60</v>
      </c>
      <c r="D131" s="34" t="s">
        <v>328</v>
      </c>
      <c r="E131" s="20">
        <v>42558.7966087963</v>
      </c>
      <c r="F131" s="20">
        <v>42558.797881944447</v>
      </c>
      <c r="G131" s="20">
        <v>1</v>
      </c>
      <c r="H131" s="20" t="s">
        <v>334</v>
      </c>
      <c r="I131" s="20">
        <v>42558.826006944444</v>
      </c>
      <c r="J131" s="34">
        <v>3</v>
      </c>
      <c r="K131" s="34" t="str">
        <f t="shared" si="16"/>
        <v>4037/4038</v>
      </c>
      <c r="L131" s="34" t="str">
        <f>VLOOKUP(A131,'Trips&amp;Operators'!$C$1:$E$10000,3,FALSE)</f>
        <v>ADANE</v>
      </c>
      <c r="M131" s="6">
        <f t="shared" si="17"/>
        <v>2.8124999997089617E-2</v>
      </c>
      <c r="N131" s="7">
        <f t="shared" si="18"/>
        <v>40.499999995809048</v>
      </c>
      <c r="O131" s="7"/>
      <c r="P131" s="7"/>
      <c r="Q131" s="35"/>
      <c r="R131" s="35"/>
      <c r="S131" s="54">
        <f t="shared" si="19"/>
        <v>1</v>
      </c>
      <c r="T131" s="98" t="str">
        <f t="shared" si="20"/>
        <v>Southbound</v>
      </c>
      <c r="U131" s="98">
        <f>COUNTIFS(Variables!$M$2:$M$19,IF(T131="NorthBound","&gt;=","&lt;=")&amp;Y131,Variables!$M$2:$M$19,IF(T131="NorthBound","&lt;=","&gt;=")&amp;Z131)</f>
        <v>12</v>
      </c>
      <c r="V13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1" s="106" t="str">
        <f t="shared" si="22"/>
        <v>N</v>
      </c>
      <c r="X131" s="106">
        <f t="shared" si="23"/>
        <v>1</v>
      </c>
      <c r="Y131" s="106">
        <f t="shared" si="24"/>
        <v>23.2986</v>
      </c>
      <c r="Z131" s="106">
        <f t="shared" si="25"/>
        <v>1.34E-2</v>
      </c>
      <c r="AA131" s="106">
        <f t="shared" si="26"/>
        <v>23.2852</v>
      </c>
      <c r="AB131" s="107">
        <f>VLOOKUP(A131,Enforcements!$C$7:$J$27,8,0)</f>
        <v>15167</v>
      </c>
      <c r="AC131" s="107" t="str">
        <f>VLOOKUP(A131,Enforcements!$C$7:$E$27,3,0)</f>
        <v>PERMANENT SPEED RESTRICTION</v>
      </c>
      <c r="AD131" s="108" t="str">
        <f t="shared" si="27"/>
        <v>0218-07</v>
      </c>
      <c r="AE131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31" s="108" t="str">
        <f t="shared" si="29"/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</row>
    <row r="132" spans="1:32" x14ac:dyDescent="0.25">
      <c r="A132" s="62" t="s">
        <v>553</v>
      </c>
      <c r="B132" s="34">
        <v>4018</v>
      </c>
      <c r="C132" s="34" t="s">
        <v>60</v>
      </c>
      <c r="D132" s="34" t="s">
        <v>121</v>
      </c>
      <c r="E132" s="20">
        <v>42558.765185185184</v>
      </c>
      <c r="F132" s="20">
        <v>42558.766215277778</v>
      </c>
      <c r="G132" s="20">
        <v>1</v>
      </c>
      <c r="H132" s="20" t="s">
        <v>230</v>
      </c>
      <c r="I132" s="20">
        <v>42558.795601851853</v>
      </c>
      <c r="J132" s="34">
        <v>0</v>
      </c>
      <c r="K132" s="34" t="str">
        <f t="shared" si="16"/>
        <v>4017/4018</v>
      </c>
      <c r="L132" s="34" t="str">
        <f>VLOOKUP(A132,'Trips&amp;Operators'!$C$1:$E$10000,3,FALSE)</f>
        <v>GRASTON</v>
      </c>
      <c r="M132" s="6">
        <f t="shared" si="17"/>
        <v>2.9386574075033423E-2</v>
      </c>
      <c r="N132" s="7">
        <f t="shared" si="18"/>
        <v>42.316666668048128</v>
      </c>
      <c r="O132" s="7"/>
      <c r="P132" s="7"/>
      <c r="Q132" s="35"/>
      <c r="R132" s="35"/>
      <c r="S132" s="54">
        <f t="shared" si="19"/>
        <v>1</v>
      </c>
      <c r="T132" s="98" t="str">
        <f t="shared" si="20"/>
        <v>NorthBound</v>
      </c>
      <c r="U132" s="98">
        <f>COUNTIFS(Variables!$M$2:$M$19,IF(T132="NorthBound","&gt;=","&lt;=")&amp;Y132,Variables!$M$2:$M$19,IF(T132="NorthBound","&lt;=","&gt;=")&amp;Z132)</f>
        <v>12</v>
      </c>
      <c r="V13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18:20:52-0600',mode:absolute,to:'2016-07-07 19:06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2" s="106" t="str">
        <f t="shared" si="22"/>
        <v>N</v>
      </c>
      <c r="X132" s="106">
        <f t="shared" si="23"/>
        <v>1</v>
      </c>
      <c r="Y132" s="106">
        <f t="shared" si="24"/>
        <v>4.5100000000000001E-2</v>
      </c>
      <c r="Z132" s="106">
        <f t="shared" si="25"/>
        <v>23.331700000000001</v>
      </c>
      <c r="AA132" s="106">
        <f t="shared" si="26"/>
        <v>23.2866</v>
      </c>
      <c r="AB132" s="107" t="e">
        <f>VLOOKUP(A132,Enforcements!$C$7:$J$27,8,0)</f>
        <v>#N/A</v>
      </c>
      <c r="AC132" s="107" t="e">
        <f>VLOOKUP(A132,Enforcements!$C$7:$E$27,3,0)</f>
        <v>#N/A</v>
      </c>
      <c r="AD132" s="108" t="str">
        <f t="shared" si="27"/>
        <v>0219-07</v>
      </c>
      <c r="AE132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32" s="108" t="str">
        <f t="shared" si="29"/>
        <v>"C:\Program Files (x86)\AstroGrep\AstroGrep.exe" /spath="C:\Users\stu\Documents\Analysis\2016-02-23 RTDC Observations" /stypes="*4018*20160708*" /stext=" 00:.+((prompt.+disp)|(slice.+state.+chan)|(ment ac)|(system.+state.+chan)|(\|lc)|(penalty)|(\[timeout))" /e /r /s</v>
      </c>
    </row>
    <row r="133" spans="1:32" x14ac:dyDescent="0.25">
      <c r="A133" s="62" t="s">
        <v>554</v>
      </c>
      <c r="B133" s="34">
        <v>4017</v>
      </c>
      <c r="C133" s="34" t="s">
        <v>60</v>
      </c>
      <c r="D133" s="34" t="s">
        <v>392</v>
      </c>
      <c r="E133" s="20">
        <v>42558.806932870371</v>
      </c>
      <c r="F133" s="20">
        <v>42558.807789351849</v>
      </c>
      <c r="G133" s="20">
        <v>1</v>
      </c>
      <c r="H133" s="20" t="s">
        <v>140</v>
      </c>
      <c r="I133" s="20">
        <v>42558.835856481484</v>
      </c>
      <c r="J133" s="34">
        <v>0</v>
      </c>
      <c r="K133" s="34" t="str">
        <f t="shared" si="16"/>
        <v>4017/4018</v>
      </c>
      <c r="L133" s="34" t="str">
        <f>VLOOKUP(A133,'Trips&amp;Operators'!$C$1:$E$10000,3,FALSE)</f>
        <v>GRASTON</v>
      </c>
      <c r="M133" s="6">
        <f t="shared" si="17"/>
        <v>2.8067129635019228E-2</v>
      </c>
      <c r="N133" s="7">
        <f t="shared" si="18"/>
        <v>40.416666674427688</v>
      </c>
      <c r="O133" s="7"/>
      <c r="P133" s="7"/>
      <c r="Q133" s="35"/>
      <c r="R133" s="35"/>
      <c r="S133" s="54">
        <f t="shared" si="19"/>
        <v>1</v>
      </c>
      <c r="T133" s="98" t="str">
        <f t="shared" si="20"/>
        <v>Southbound</v>
      </c>
      <c r="U133" s="98">
        <f>COUNTIFS(Variables!$M$2:$M$19,IF(T133="NorthBound","&gt;=","&lt;=")&amp;Y133,Variables!$M$2:$M$19,IF(T133="NorthBound","&lt;=","&gt;=")&amp;Z133)</f>
        <v>12</v>
      </c>
      <c r="V133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19:20:59-0600',mode:absolute,to:'2016-07-07 20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3" s="106" t="str">
        <f t="shared" si="22"/>
        <v>N</v>
      </c>
      <c r="X133" s="106">
        <f t="shared" si="23"/>
        <v>1</v>
      </c>
      <c r="Y133" s="106">
        <f t="shared" si="24"/>
        <v>23.3002</v>
      </c>
      <c r="Z133" s="106">
        <f t="shared" si="25"/>
        <v>1.5599999999999999E-2</v>
      </c>
      <c r="AA133" s="106">
        <f t="shared" si="26"/>
        <v>23.284600000000001</v>
      </c>
      <c r="AB133" s="107" t="e">
        <f>VLOOKUP(A133,Enforcements!$C$7:$J$27,8,0)</f>
        <v>#N/A</v>
      </c>
      <c r="AC133" s="107" t="e">
        <f>VLOOKUP(A133,Enforcements!$C$7:$E$27,3,0)</f>
        <v>#N/A</v>
      </c>
      <c r="AD133" s="108" t="str">
        <f t="shared" si="27"/>
        <v>0220-07</v>
      </c>
      <c r="AE133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33" s="108" t="str">
        <f t="shared" si="29"/>
        <v>"C:\Program Files (x86)\AstroGrep\AstroGrep.exe" /spath="C:\Users\stu\Documents\Analysis\2016-02-23 RTDC Observations" /stypes="*4017*20160708*" /stext=" 01:.+((prompt.+disp)|(slice.+state.+chan)|(ment ac)|(system.+state.+chan)|(\|lc)|(penalty)|(\[timeout))" /e /r /s</v>
      </c>
    </row>
    <row r="134" spans="1:32" x14ac:dyDescent="0.25">
      <c r="A134" s="62" t="s">
        <v>555</v>
      </c>
      <c r="B134" s="34">
        <v>4014</v>
      </c>
      <c r="C134" s="34" t="s">
        <v>60</v>
      </c>
      <c r="D134" s="34" t="s">
        <v>517</v>
      </c>
      <c r="E134" s="20">
        <v>42558.785300925927</v>
      </c>
      <c r="F134" s="20">
        <v>42558.789641203701</v>
      </c>
      <c r="G134" s="20">
        <v>6</v>
      </c>
      <c r="H134" s="20" t="s">
        <v>345</v>
      </c>
      <c r="I134" s="20">
        <v>42558.816423611112</v>
      </c>
      <c r="J134" s="34">
        <v>0</v>
      </c>
      <c r="K134" s="34" t="str">
        <f t="shared" si="16"/>
        <v>4013/4014</v>
      </c>
      <c r="L134" s="34" t="str">
        <f>VLOOKUP(A134,'Trips&amp;Operators'!$C$1:$E$10000,3,FALSE)</f>
        <v>SHOOK</v>
      </c>
      <c r="M134" s="6">
        <f t="shared" si="17"/>
        <v>2.6782407410792075E-2</v>
      </c>
      <c r="N134" s="7">
        <f t="shared" si="18"/>
        <v>38.566666671540588</v>
      </c>
      <c r="O134" s="7"/>
      <c r="P134" s="7"/>
      <c r="Q134" s="35"/>
      <c r="R134" s="35"/>
      <c r="S134" s="54">
        <f t="shared" si="19"/>
        <v>1</v>
      </c>
      <c r="T134" s="98" t="str">
        <f t="shared" si="20"/>
        <v>NorthBound</v>
      </c>
      <c r="U134" s="98">
        <f>COUNTIFS(Variables!$M$2:$M$19,IF(T134="NorthBound","&gt;=","&lt;=")&amp;Y134,Variables!$M$2:$M$19,IF(T134="NorthBound","&lt;=","&gt;=")&amp;Z134)</f>
        <v>12</v>
      </c>
      <c r="V134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18:49:50-0600',mode:absolute,to:'2016-07-07 19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34" s="106" t="str">
        <f t="shared" si="22"/>
        <v>N</v>
      </c>
      <c r="X134" s="106">
        <f t="shared" si="23"/>
        <v>1</v>
      </c>
      <c r="Y134" s="106">
        <f t="shared" si="24"/>
        <v>5.3100000000000001E-2</v>
      </c>
      <c r="Z134" s="106">
        <f t="shared" si="25"/>
        <v>23.3263</v>
      </c>
      <c r="AA134" s="106">
        <f t="shared" si="26"/>
        <v>23.273199999999999</v>
      </c>
      <c r="AB134" s="107" t="e">
        <f>VLOOKUP(A134,Enforcements!$C$7:$J$27,8,0)</f>
        <v>#N/A</v>
      </c>
      <c r="AC134" s="107" t="e">
        <f>VLOOKUP(A134,Enforcements!$C$7:$E$27,3,0)</f>
        <v>#N/A</v>
      </c>
      <c r="AD134" s="108" t="str">
        <f t="shared" si="27"/>
        <v>0221-07</v>
      </c>
      <c r="AE134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34" s="108" t="str">
        <f t="shared" si="29"/>
        <v>"C:\Program Files (x86)\AstroGrep\AstroGrep.exe" /spath="C:\Users\stu\Documents\Analysis\2016-02-23 RTDC Observations" /stypes="*4014*20160708*" /stext=" 00:.+((prompt.+disp)|(slice.+state.+chan)|(ment ac)|(system.+state.+chan)|(\|lc)|(penalty)|(\[timeout))" /e /r /s</v>
      </c>
    </row>
    <row r="135" spans="1:32" x14ac:dyDescent="0.25">
      <c r="A135" s="62" t="s">
        <v>556</v>
      </c>
      <c r="B135" s="34">
        <v>4013</v>
      </c>
      <c r="C135" s="34" t="s">
        <v>60</v>
      </c>
      <c r="D135" s="34" t="s">
        <v>557</v>
      </c>
      <c r="E135" s="20">
        <v>42558.828379629631</v>
      </c>
      <c r="F135" s="20">
        <v>42558.829108796293</v>
      </c>
      <c r="G135" s="20">
        <v>1</v>
      </c>
      <c r="H135" s="20" t="s">
        <v>558</v>
      </c>
      <c r="I135" s="20">
        <v>42558.856666666667</v>
      </c>
      <c r="J135" s="34">
        <v>0</v>
      </c>
      <c r="K135" s="34" t="str">
        <f t="shared" si="16"/>
        <v>4013/4014</v>
      </c>
      <c r="L135" s="34" t="str">
        <f>VLOOKUP(A135,'Trips&amp;Operators'!$C$1:$E$10000,3,FALSE)</f>
        <v>SHOOK</v>
      </c>
      <c r="M135" s="6">
        <f t="shared" si="17"/>
        <v>2.7557870373129845E-2</v>
      </c>
      <c r="N135" s="7">
        <f t="shared" si="18"/>
        <v>39.683333337306976</v>
      </c>
      <c r="O135" s="7"/>
      <c r="P135" s="7"/>
      <c r="Q135" s="35"/>
      <c r="R135" s="35"/>
      <c r="S135" s="54">
        <f t="shared" si="19"/>
        <v>1</v>
      </c>
      <c r="T135" s="98" t="str">
        <f t="shared" si="20"/>
        <v>Southbound</v>
      </c>
      <c r="U135" s="98">
        <f>COUNTIFS(Variables!$M$2:$M$19,IF(T135="NorthBound","&gt;=","&lt;=")&amp;Y135,Variables!$M$2:$M$19,IF(T135="NorthBound","&lt;=","&gt;=")&amp;Z135)</f>
        <v>12</v>
      </c>
      <c r="V135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19:51:52-0600',mode:absolute,to:'2016-07-07 20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35" s="106" t="str">
        <f t="shared" si="22"/>
        <v>N</v>
      </c>
      <c r="X135" s="106">
        <f t="shared" si="23"/>
        <v>1</v>
      </c>
      <c r="Y135" s="106">
        <f t="shared" si="24"/>
        <v>23.2942</v>
      </c>
      <c r="Z135" s="106">
        <f t="shared" si="25"/>
        <v>2.3199999999999998E-2</v>
      </c>
      <c r="AA135" s="106">
        <f t="shared" si="26"/>
        <v>23.271000000000001</v>
      </c>
      <c r="AB135" s="107" t="e">
        <f>VLOOKUP(A135,Enforcements!$C$7:$J$27,8,0)</f>
        <v>#N/A</v>
      </c>
      <c r="AC135" s="107" t="e">
        <f>VLOOKUP(A135,Enforcements!$C$7:$E$27,3,0)</f>
        <v>#N/A</v>
      </c>
      <c r="AD135" s="108" t="str">
        <f t="shared" si="27"/>
        <v>0222-07</v>
      </c>
      <c r="AE135" s="108" t="str">
        <f t="shared" si="28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35" s="108" t="str">
        <f t="shared" si="29"/>
        <v>"C:\Program Files (x86)\AstroGrep\AstroGrep.exe" /spath="C:\Users\stu\Documents\Analysis\2016-02-23 RTDC Observations" /stypes="*4013*20160708*" /stext=" 01:.+((prompt.+disp)|(slice.+state.+chan)|(ment ac)|(system.+state.+chan)|(\|lc)|(penalty)|(\[timeout))" /e /r /s</v>
      </c>
    </row>
    <row r="136" spans="1:32" x14ac:dyDescent="0.25">
      <c r="A136" s="62" t="s">
        <v>559</v>
      </c>
      <c r="B136" s="34">
        <v>4031</v>
      </c>
      <c r="C136" s="34" t="s">
        <v>60</v>
      </c>
      <c r="D136" s="34" t="s">
        <v>332</v>
      </c>
      <c r="E136" s="20">
        <v>42558.805914351855</v>
      </c>
      <c r="F136" s="20">
        <v>42558.806898148148</v>
      </c>
      <c r="G136" s="20">
        <v>1</v>
      </c>
      <c r="H136" s="20" t="s">
        <v>560</v>
      </c>
      <c r="I136" s="20">
        <v>42558.837476851855</v>
      </c>
      <c r="J136" s="34">
        <v>0</v>
      </c>
      <c r="K136" s="34" t="str">
        <f t="shared" si="16"/>
        <v>4031/4032</v>
      </c>
      <c r="L136" s="34" t="str">
        <f>VLOOKUP(A136,'Trips&amp;Operators'!$C$1:$E$10000,3,FALSE)</f>
        <v>DAVIS</v>
      </c>
      <c r="M136" s="6">
        <f t="shared" si="17"/>
        <v>3.0578703706851229E-2</v>
      </c>
      <c r="N136" s="7">
        <f t="shared" si="18"/>
        <v>44.03333333786577</v>
      </c>
      <c r="O136" s="7"/>
      <c r="P136" s="7"/>
      <c r="Q136" s="35"/>
      <c r="R136" s="35"/>
      <c r="S136" s="54">
        <f t="shared" si="19"/>
        <v>1</v>
      </c>
      <c r="T136" s="98" t="str">
        <f t="shared" si="20"/>
        <v>NorthBound</v>
      </c>
      <c r="U136" s="98">
        <f>COUNTIFS(Variables!$M$2:$M$19,IF(T136="NorthBound","&gt;=","&lt;=")&amp;Y136,Variables!$M$2:$M$19,IF(T136="NorthBound","&lt;=","&gt;=")&amp;Z136)</f>
        <v>12</v>
      </c>
      <c r="V136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19:19:31-0600',mode:absolute,to:'2016-07-07 20:06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6" s="106" t="str">
        <f t="shared" si="22"/>
        <v>N</v>
      </c>
      <c r="X136" s="106">
        <f t="shared" si="23"/>
        <v>1</v>
      </c>
      <c r="Y136" s="106">
        <f t="shared" si="24"/>
        <v>4.8000000000000001E-2</v>
      </c>
      <c r="Z136" s="106">
        <f t="shared" si="25"/>
        <v>23.323399999999999</v>
      </c>
      <c r="AA136" s="106">
        <f t="shared" si="26"/>
        <v>23.275400000000001</v>
      </c>
      <c r="AB136" s="107" t="e">
        <f>VLOOKUP(A136,Enforcements!$C$7:$J$27,8,0)</f>
        <v>#N/A</v>
      </c>
      <c r="AC136" s="107" t="e">
        <f>VLOOKUP(A136,Enforcements!$C$7:$E$27,3,0)</f>
        <v>#N/A</v>
      </c>
      <c r="AD136" s="108" t="str">
        <f t="shared" si="27"/>
        <v>0223-07</v>
      </c>
      <c r="AE136" s="108" t="str">
        <f t="shared" si="28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36" s="108" t="str">
        <f t="shared" si="29"/>
        <v>"C:\Program Files (x86)\AstroGrep\AstroGrep.exe" /spath="C:\Users\stu\Documents\Analysis\2016-02-23 RTDC Observations" /stypes="*4031*20160708*" /stext=" 01:.+((prompt.+disp)|(slice.+state.+chan)|(ment ac)|(system.+state.+chan)|(\|lc)|(penalty)|(\[timeout))" /e /r /s</v>
      </c>
    </row>
    <row r="137" spans="1:32" x14ac:dyDescent="0.25">
      <c r="A137" s="62" t="s">
        <v>561</v>
      </c>
      <c r="B137" s="34">
        <v>4032</v>
      </c>
      <c r="C137" s="34" t="s">
        <v>60</v>
      </c>
      <c r="D137" s="34" t="s">
        <v>562</v>
      </c>
      <c r="E137" s="20">
        <v>42558.842581018522</v>
      </c>
      <c r="F137" s="20">
        <v>42558.843611111108</v>
      </c>
      <c r="G137" s="20">
        <v>1</v>
      </c>
      <c r="H137" s="20" t="s">
        <v>236</v>
      </c>
      <c r="I137" s="20">
        <v>42558.877986111111</v>
      </c>
      <c r="J137" s="34">
        <v>0</v>
      </c>
      <c r="K137" s="34" t="str">
        <f t="shared" si="16"/>
        <v>4031/4032</v>
      </c>
      <c r="L137" s="34" t="str">
        <f>VLOOKUP(A137,'Trips&amp;Operators'!$C$1:$E$10000,3,FALSE)</f>
        <v>DAVIS</v>
      </c>
      <c r="M137" s="6">
        <f t="shared" si="17"/>
        <v>3.4375000002910383E-2</v>
      </c>
      <c r="N137" s="7">
        <f t="shared" si="18"/>
        <v>49.500000004190952</v>
      </c>
      <c r="O137" s="7"/>
      <c r="P137" s="7"/>
      <c r="Q137" s="35"/>
      <c r="R137" s="35"/>
      <c r="S137" s="54">
        <f t="shared" si="19"/>
        <v>1</v>
      </c>
      <c r="T137" s="98" t="str">
        <f t="shared" si="20"/>
        <v>Southbound</v>
      </c>
      <c r="U137" s="98">
        <f>COUNTIFS(Variables!$M$2:$M$19,IF(T137="NorthBound","&gt;=","&lt;=")&amp;Y137,Variables!$M$2:$M$19,IF(T137="NorthBound","&lt;=","&gt;=")&amp;Z137)</f>
        <v>12</v>
      </c>
      <c r="V137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20:12:19-0600',mode:absolute,to:'2016-07-07 21:05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7" s="106" t="str">
        <f t="shared" si="22"/>
        <v>N</v>
      </c>
      <c r="X137" s="106">
        <f t="shared" si="23"/>
        <v>1</v>
      </c>
      <c r="Y137" s="106">
        <f t="shared" si="24"/>
        <v>23.292100000000001</v>
      </c>
      <c r="Z137" s="106">
        <f t="shared" si="25"/>
        <v>1.7600000000000001E-2</v>
      </c>
      <c r="AA137" s="106">
        <f t="shared" si="26"/>
        <v>23.2745</v>
      </c>
      <c r="AB137" s="107" t="e">
        <f>VLOOKUP(A137,Enforcements!$C$7:$J$27,8,0)</f>
        <v>#N/A</v>
      </c>
      <c r="AC137" s="107" t="e">
        <f>VLOOKUP(A137,Enforcements!$C$7:$E$27,3,0)</f>
        <v>#N/A</v>
      </c>
      <c r="AD137" s="108" t="str">
        <f t="shared" si="27"/>
        <v>0224-07</v>
      </c>
      <c r="AE137" s="108" t="str">
        <f t="shared" si="28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37" s="108" t="str">
        <f t="shared" si="29"/>
        <v>"C:\Program Files (x86)\AstroGrep\AstroGrep.exe" /spath="C:\Users\stu\Documents\Analysis\2016-02-23 RTDC Observations" /stypes="*4032*20160708*" /stext=" 02:.+((prompt.+disp)|(slice.+state.+chan)|(ment ac)|(system.+state.+chan)|(\|lc)|(penalty)|(\[timeout))" /e /r /s</v>
      </c>
    </row>
    <row r="138" spans="1:32" x14ac:dyDescent="0.25">
      <c r="A138" s="62" t="s">
        <v>563</v>
      </c>
      <c r="B138" s="34">
        <v>4038</v>
      </c>
      <c r="C138" s="34" t="s">
        <v>60</v>
      </c>
      <c r="D138" s="34" t="s">
        <v>564</v>
      </c>
      <c r="E138" s="20">
        <v>42558.829907407409</v>
      </c>
      <c r="F138" s="20">
        <v>42558.830752314818</v>
      </c>
      <c r="G138" s="20">
        <v>1</v>
      </c>
      <c r="H138" s="20" t="s">
        <v>397</v>
      </c>
      <c r="I138" s="20">
        <v>42558.857986111114</v>
      </c>
      <c r="J138" s="34">
        <v>0</v>
      </c>
      <c r="K138" s="34" t="str">
        <f t="shared" si="16"/>
        <v>4037/4038</v>
      </c>
      <c r="L138" s="34" t="str">
        <f>VLOOKUP(A138,'Trips&amp;Operators'!$C$1:$E$10000,3,FALSE)</f>
        <v>ADANE</v>
      </c>
      <c r="M138" s="6">
        <f t="shared" si="17"/>
        <v>2.7233796296059154E-2</v>
      </c>
      <c r="N138" s="7">
        <f t="shared" si="18"/>
        <v>39.216666666325182</v>
      </c>
      <c r="O138" s="7"/>
      <c r="P138" s="7"/>
      <c r="Q138" s="35"/>
      <c r="R138" s="35"/>
      <c r="S138" s="54">
        <f t="shared" si="19"/>
        <v>1</v>
      </c>
      <c r="T138" s="98" t="str">
        <f t="shared" si="20"/>
        <v>NorthBound</v>
      </c>
      <c r="U138" s="98">
        <f>COUNTIFS(Variables!$M$2:$M$19,IF(T138="NorthBound","&gt;=","&lt;=")&amp;Y138,Variables!$M$2:$M$19,IF(T138="NorthBound","&lt;=","&gt;=")&amp;Z138)</f>
        <v>12</v>
      </c>
      <c r="V138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19:54:04-0600',mode:absolute,to:'2016-07-07 20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8" s="106" t="str">
        <f t="shared" si="22"/>
        <v>N</v>
      </c>
      <c r="X138" s="106">
        <f t="shared" si="23"/>
        <v>1</v>
      </c>
      <c r="Y138" s="106">
        <f t="shared" si="24"/>
        <v>4.3099999999999999E-2</v>
      </c>
      <c r="Z138" s="106">
        <f t="shared" si="25"/>
        <v>23.3291</v>
      </c>
      <c r="AA138" s="106">
        <f t="shared" si="26"/>
        <v>23.286000000000001</v>
      </c>
      <c r="AB138" s="107" t="e">
        <f>VLOOKUP(A138,Enforcements!$C$7:$J$27,8,0)</f>
        <v>#N/A</v>
      </c>
      <c r="AC138" s="107" t="e">
        <f>VLOOKUP(A138,Enforcements!$C$7:$E$27,3,0)</f>
        <v>#N/A</v>
      </c>
      <c r="AD138" s="108" t="str">
        <f t="shared" si="27"/>
        <v>0225-07</v>
      </c>
      <c r="AE138" s="108" t="str">
        <f t="shared" si="28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38" s="108" t="str">
        <f t="shared" si="29"/>
        <v>"C:\Program Files (x86)\AstroGrep\AstroGrep.exe" /spath="C:\Users\stu\Documents\Analysis\2016-02-23 RTDC Observations" /stypes="*4038*20160708*" /stext=" 01:.+((prompt.+disp)|(slice.+state.+chan)|(ment ac)|(system.+state.+chan)|(\|lc)|(penalty)|(\[timeout))" /e /r /s</v>
      </c>
    </row>
    <row r="139" spans="1:32" x14ac:dyDescent="0.25">
      <c r="A139" s="62" t="s">
        <v>565</v>
      </c>
      <c r="B139" s="34">
        <v>4037</v>
      </c>
      <c r="C139" s="34" t="s">
        <v>60</v>
      </c>
      <c r="D139" s="34" t="s">
        <v>167</v>
      </c>
      <c r="E139" s="20">
        <v>42558.869004629632</v>
      </c>
      <c r="F139" s="20">
        <v>42558.871423611112</v>
      </c>
      <c r="G139" s="20">
        <v>3</v>
      </c>
      <c r="H139" s="20" t="s">
        <v>61</v>
      </c>
      <c r="I139" s="20">
        <v>42558.898553240739</v>
      </c>
      <c r="J139" s="34">
        <v>0</v>
      </c>
      <c r="K139" s="34" t="str">
        <f t="shared" si="16"/>
        <v>4037/4038</v>
      </c>
      <c r="L139" s="34" t="str">
        <f>VLOOKUP(A139,'Trips&amp;Operators'!$C$1:$E$10000,3,FALSE)</f>
        <v>ADANE</v>
      </c>
      <c r="M139" s="6">
        <f t="shared" si="17"/>
        <v>2.7129629626870155E-2</v>
      </c>
      <c r="N139" s="7">
        <f t="shared" si="18"/>
        <v>39.066666662693024</v>
      </c>
      <c r="O139" s="7"/>
      <c r="P139" s="7"/>
      <c r="Q139" s="35"/>
      <c r="R139" s="35"/>
      <c r="S139" s="54">
        <f t="shared" si="19"/>
        <v>1</v>
      </c>
      <c r="T139" s="98" t="str">
        <f t="shared" si="20"/>
        <v>Southbound</v>
      </c>
      <c r="U139" s="98">
        <f>COUNTIFS(Variables!$M$2:$M$19,IF(T139="NorthBound","&gt;=","&lt;=")&amp;Y139,Variables!$M$2:$M$19,IF(T139="NorthBound","&lt;=","&gt;=")&amp;Z139)</f>
        <v>12</v>
      </c>
      <c r="V139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20:50:22-0600',mode:absolute,to:'2016-07-07 21:34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9" s="106" t="str">
        <f t="shared" si="22"/>
        <v>N</v>
      </c>
      <c r="X139" s="106">
        <f t="shared" si="23"/>
        <v>1</v>
      </c>
      <c r="Y139" s="106">
        <f t="shared" si="24"/>
        <v>23.2973</v>
      </c>
      <c r="Z139" s="106">
        <f t="shared" si="25"/>
        <v>1.4500000000000001E-2</v>
      </c>
      <c r="AA139" s="106">
        <f t="shared" si="26"/>
        <v>23.282799999999998</v>
      </c>
      <c r="AB139" s="107" t="e">
        <f>VLOOKUP(A139,Enforcements!$C$7:$J$27,8,0)</f>
        <v>#N/A</v>
      </c>
      <c r="AC139" s="107" t="e">
        <f>VLOOKUP(A139,Enforcements!$C$7:$E$27,3,0)</f>
        <v>#N/A</v>
      </c>
      <c r="AD139" s="108" t="str">
        <f t="shared" si="27"/>
        <v>0226-07</v>
      </c>
      <c r="AE139" s="108" t="str">
        <f t="shared" si="28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39" s="108" t="str">
        <f t="shared" si="29"/>
        <v>"C:\Program Files (x86)\AstroGrep\AstroGrep.exe" /spath="C:\Users\stu\Documents\Analysis\2016-02-23 RTDC Observations" /stypes="*4037*20160708*" /stext=" 02:.+((prompt.+disp)|(slice.+state.+chan)|(ment ac)|(system.+state.+chan)|(\|lc)|(penalty)|(\[timeout))" /e /r /s</v>
      </c>
    </row>
    <row r="140" spans="1:32" x14ac:dyDescent="0.25">
      <c r="A140" s="62" t="s">
        <v>566</v>
      </c>
      <c r="B140" s="34">
        <v>4018</v>
      </c>
      <c r="C140" s="34" t="s">
        <v>60</v>
      </c>
      <c r="D140" s="34" t="s">
        <v>331</v>
      </c>
      <c r="E140" s="20">
        <v>42558.848425925928</v>
      </c>
      <c r="F140" s="20">
        <v>42558.849328703705</v>
      </c>
      <c r="G140" s="20">
        <v>1</v>
      </c>
      <c r="H140" s="20" t="s">
        <v>126</v>
      </c>
      <c r="I140" s="20">
        <v>42558.879317129627</v>
      </c>
      <c r="J140" s="34">
        <v>0</v>
      </c>
      <c r="K140" s="34" t="str">
        <f t="shared" si="16"/>
        <v>4017/4018</v>
      </c>
      <c r="L140" s="34" t="str">
        <f>VLOOKUP(A140,'Trips&amp;Operators'!$C$1:$E$10000,3,FALSE)</f>
        <v>GRASTON</v>
      </c>
      <c r="M140" s="6">
        <f t="shared" si="17"/>
        <v>2.9988425922056194E-2</v>
      </c>
      <c r="N140" s="7">
        <f t="shared" si="18"/>
        <v>43.18333332776092</v>
      </c>
      <c r="O140" s="7"/>
      <c r="P140" s="7"/>
      <c r="Q140" s="35"/>
      <c r="R140" s="35"/>
      <c r="S140" s="54">
        <f t="shared" si="19"/>
        <v>1</v>
      </c>
      <c r="T140" s="98" t="str">
        <f t="shared" si="20"/>
        <v>NorthBound</v>
      </c>
      <c r="U140" s="98">
        <f>COUNTIFS(Variables!$M$2:$M$19,IF(T140="NorthBound","&gt;=","&lt;=")&amp;Y140,Variables!$M$2:$M$19,IF(T140="NorthBound","&lt;=","&gt;=")&amp;Z140)</f>
        <v>12</v>
      </c>
      <c r="V140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20:20:44-0600',mode:absolute,to:'2016-07-07 21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0" s="106" t="str">
        <f t="shared" si="22"/>
        <v>N</v>
      </c>
      <c r="X140" s="106">
        <f t="shared" si="23"/>
        <v>1</v>
      </c>
      <c r="Y140" s="106">
        <f t="shared" si="24"/>
        <v>4.6699999999999998E-2</v>
      </c>
      <c r="Z140" s="106">
        <f t="shared" si="25"/>
        <v>23.331399999999999</v>
      </c>
      <c r="AA140" s="106">
        <f t="shared" si="26"/>
        <v>23.284699999999997</v>
      </c>
      <c r="AB140" s="107" t="e">
        <f>VLOOKUP(A140,Enforcements!$C$7:$J$27,8,0)</f>
        <v>#N/A</v>
      </c>
      <c r="AC140" s="107" t="e">
        <f>VLOOKUP(A140,Enforcements!$C$7:$E$27,3,0)</f>
        <v>#N/A</v>
      </c>
      <c r="AD140" s="108" t="str">
        <f t="shared" si="27"/>
        <v>0227-07</v>
      </c>
      <c r="AE140" s="108" t="str">
        <f t="shared" si="28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40" s="108" t="str">
        <f t="shared" si="29"/>
        <v>"C:\Program Files (x86)\AstroGrep\AstroGrep.exe" /spath="C:\Users\stu\Documents\Analysis\2016-02-23 RTDC Observations" /stypes="*4018*20160708*" /stext=" 02:.+((prompt.+disp)|(slice.+state.+chan)|(ment ac)|(system.+state.+chan)|(\|lc)|(penalty)|(\[timeout))" /e /r /s</v>
      </c>
    </row>
    <row r="141" spans="1:32" x14ac:dyDescent="0.25">
      <c r="A141" s="62" t="s">
        <v>567</v>
      </c>
      <c r="B141" s="34">
        <v>4017</v>
      </c>
      <c r="C141" s="34" t="s">
        <v>60</v>
      </c>
      <c r="D141" s="34" t="s">
        <v>327</v>
      </c>
      <c r="E141" s="20">
        <v>42558.891458333332</v>
      </c>
      <c r="F141" s="20">
        <v>42558.893182870372</v>
      </c>
      <c r="G141" s="20">
        <v>2</v>
      </c>
      <c r="H141" s="20" t="s">
        <v>140</v>
      </c>
      <c r="I141" s="20">
        <v>42558.918692129628</v>
      </c>
      <c r="J141" s="34">
        <v>0</v>
      </c>
      <c r="K141" s="34" t="str">
        <f t="shared" si="16"/>
        <v>4017/4018</v>
      </c>
      <c r="L141" s="34" t="str">
        <f>VLOOKUP(A141,'Trips&amp;Operators'!$C$1:$E$10000,3,FALSE)</f>
        <v>GRASTON</v>
      </c>
      <c r="M141" s="6">
        <f t="shared" si="17"/>
        <v>2.5509259256068617E-2</v>
      </c>
      <c r="N141" s="7">
        <f t="shared" si="18"/>
        <v>36.733333328738809</v>
      </c>
      <c r="O141" s="7"/>
      <c r="P141" s="7"/>
      <c r="Q141" s="35"/>
      <c r="R141" s="35"/>
      <c r="S141" s="54">
        <f t="shared" si="19"/>
        <v>1</v>
      </c>
      <c r="T141" s="98" t="str">
        <f t="shared" si="20"/>
        <v>Southbound</v>
      </c>
      <c r="U141" s="98">
        <f>COUNTIFS(Variables!$M$2:$M$19,IF(T141="NorthBound","&gt;=","&lt;=")&amp;Y141,Variables!$M$2:$M$19,IF(T141="NorthBound","&lt;=","&gt;=")&amp;Z141)</f>
        <v>12</v>
      </c>
      <c r="V141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21:22:42-0600',mode:absolute,to:'2016-07-07 22:03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1" s="106" t="str">
        <f t="shared" si="22"/>
        <v>N</v>
      </c>
      <c r="X141" s="106">
        <f t="shared" si="23"/>
        <v>1</v>
      </c>
      <c r="Y141" s="106">
        <f t="shared" si="24"/>
        <v>23.299600000000002</v>
      </c>
      <c r="Z141" s="106">
        <f t="shared" si="25"/>
        <v>1.5599999999999999E-2</v>
      </c>
      <c r="AA141" s="106">
        <f t="shared" si="26"/>
        <v>23.284000000000002</v>
      </c>
      <c r="AB141" s="107" t="e">
        <f>VLOOKUP(A141,Enforcements!$C$7:$J$27,8,0)</f>
        <v>#N/A</v>
      </c>
      <c r="AC141" s="107" t="e">
        <f>VLOOKUP(A141,Enforcements!$C$7:$E$27,3,0)</f>
        <v>#N/A</v>
      </c>
      <c r="AD141" s="108" t="str">
        <f t="shared" si="27"/>
        <v>0228-07</v>
      </c>
      <c r="AE141" s="108" t="str">
        <f t="shared" si="28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41" s="108" t="str">
        <f t="shared" si="29"/>
        <v>"C:\Program Files (x86)\AstroGrep\AstroGrep.exe" /spath="C:\Users\stu\Documents\Analysis\2016-02-23 RTDC Observations" /stypes="*4017*20160708*" /stext=" 03:.+((prompt.+disp)|(slice.+state.+chan)|(ment ac)|(system.+state.+chan)|(\|lc)|(penalty)|(\[timeout))" /e /r /s</v>
      </c>
    </row>
    <row r="142" spans="1:32" x14ac:dyDescent="0.25">
      <c r="A142" s="62" t="s">
        <v>568</v>
      </c>
      <c r="B142" s="34">
        <v>4014</v>
      </c>
      <c r="C142" s="34" t="s">
        <v>60</v>
      </c>
      <c r="D142" s="34" t="s">
        <v>485</v>
      </c>
      <c r="E142" s="20">
        <v>42558.869745370372</v>
      </c>
      <c r="F142" s="20">
        <v>42558.870787037034</v>
      </c>
      <c r="G142" s="20">
        <v>1</v>
      </c>
      <c r="H142" s="20" t="s">
        <v>569</v>
      </c>
      <c r="I142" s="20">
        <v>42558.900034722225</v>
      </c>
      <c r="J142" s="34">
        <v>0</v>
      </c>
      <c r="K142" s="34" t="str">
        <f t="shared" si="16"/>
        <v>4013/4014</v>
      </c>
      <c r="L142" s="34" t="str">
        <f>VLOOKUP(A142,'Trips&amp;Operators'!$C$1:$E$10000,3,FALSE)</f>
        <v>SHOOK</v>
      </c>
      <c r="M142" s="6">
        <f t="shared" si="17"/>
        <v>2.9247685190057382E-2</v>
      </c>
      <c r="N142" s="7">
        <f t="shared" si="18"/>
        <v>42.11666667368263</v>
      </c>
      <c r="O142" s="7"/>
      <c r="P142" s="7"/>
      <c r="Q142" s="35"/>
      <c r="R142" s="35"/>
      <c r="S142" s="54">
        <f t="shared" si="19"/>
        <v>1</v>
      </c>
      <c r="T142" s="98" t="str">
        <f t="shared" si="20"/>
        <v>NorthBound</v>
      </c>
      <c r="U142" s="98">
        <f>COUNTIFS(Variables!$M$2:$M$19,IF(T142="NorthBound","&gt;=","&lt;=")&amp;Y142,Variables!$M$2:$M$19,IF(T142="NorthBound","&lt;=","&gt;=")&amp;Z142)</f>
        <v>12</v>
      </c>
      <c r="V142" s="106" t="str">
        <f t="shared" si="21"/>
        <v>https://search-rtdc-monitor-bjffxe2xuh6vdkpspy63sjmuny.us-east-1.es.amazonaws.com/_plugin/kibana/#/discover/Steve-Slow-Train-Analysis-(2080s-and-2083s)?_g=(refreshInterval:(display:Off,section:0,value:0),time:(from:'2016-07-07 20:51:26-0600',mode:absolute,to:'2016-07-07 21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2" s="106" t="str">
        <f t="shared" si="22"/>
        <v>N</v>
      </c>
      <c r="X142" s="106">
        <f t="shared" si="23"/>
        <v>1</v>
      </c>
      <c r="Y142" s="106">
        <f t="shared" si="24"/>
        <v>5.2900000000000003E-2</v>
      </c>
      <c r="Z142" s="106">
        <f t="shared" si="25"/>
        <v>23.3261</v>
      </c>
      <c r="AA142" s="106">
        <f t="shared" si="26"/>
        <v>23.273199999999999</v>
      </c>
      <c r="AB142" s="107" t="e">
        <f>VLOOKUP(A142,Enforcements!$C$7:$J$27,8,0)</f>
        <v>#N/A</v>
      </c>
      <c r="AC142" s="107" t="e">
        <f>VLOOKUP(A142,Enforcements!$C$7:$E$27,3,0)</f>
        <v>#N/A</v>
      </c>
      <c r="AD142" s="108" t="str">
        <f t="shared" si="27"/>
        <v>0229-07</v>
      </c>
      <c r="AE142" s="108" t="str">
        <f t="shared" si="28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42" s="108" t="str">
        <f t="shared" si="29"/>
        <v>"C:\Program Files (x86)\AstroGrep\AstroGrep.exe" /spath="C:\Users\stu\Documents\Analysis\2016-02-23 RTDC Observations" /stypes="*4014*20160708*" /stext=" 02:.+((prompt.+disp)|(slice.+state.+chan)|(ment ac)|(system.+state.+chan)|(\|lc)|(penalty)|(\[timeout))" /e /r /s</v>
      </c>
    </row>
    <row r="143" spans="1:32" x14ac:dyDescent="0.25">
      <c r="A143" s="62" t="s">
        <v>570</v>
      </c>
      <c r="B143" s="34">
        <v>4013</v>
      </c>
      <c r="C143" s="34" t="s">
        <v>60</v>
      </c>
      <c r="D143" s="34" t="s">
        <v>571</v>
      </c>
      <c r="E143" s="20">
        <v>42558.91033564815</v>
      </c>
      <c r="F143" s="20">
        <v>42558.911238425928</v>
      </c>
      <c r="G143" s="20">
        <v>1</v>
      </c>
      <c r="H143" s="20" t="s">
        <v>572</v>
      </c>
      <c r="I143" s="20">
        <v>42558.940868055557</v>
      </c>
      <c r="J143" s="34">
        <v>0</v>
      </c>
      <c r="K143" s="34" t="str">
        <f t="shared" ref="K143:K157" si="30">IF(ISEVEN(B143),(B143-1)&amp;"/"&amp;B143,B143&amp;"/"&amp;(B143+1))</f>
        <v>4013/4014</v>
      </c>
      <c r="L143" s="34" t="str">
        <f>VLOOKUP(A143,'Trips&amp;Operators'!$C$1:$E$10000,3,FALSE)</f>
        <v>SHOOK</v>
      </c>
      <c r="M143" s="6">
        <f t="shared" ref="M143:M157" si="31">I143-F143</f>
        <v>2.9629629629198462E-2</v>
      </c>
      <c r="N143" s="7">
        <f t="shared" ref="N143:N157" si="32">24*60*SUM($M143:$M143)</f>
        <v>42.666666666045785</v>
      </c>
      <c r="O143" s="7"/>
      <c r="P143" s="7"/>
      <c r="Q143" s="35"/>
      <c r="R143" s="35"/>
      <c r="S143" s="54">
        <f t="shared" ref="S143:S157" si="33">SUM(U143:U143)/12</f>
        <v>1</v>
      </c>
      <c r="T143" s="98" t="str">
        <f t="shared" ref="T143:T157" si="34">IF(ISEVEN(LEFT(A143,3)),"Southbound","NorthBound")</f>
        <v>Southbound</v>
      </c>
      <c r="U143" s="98">
        <f>COUNTIFS(Variables!$M$2:$M$19,IF(T143="NorthBound","&gt;=","&lt;=")&amp;Y143,Variables!$M$2:$M$19,IF(T143="NorthBound","&lt;=","&gt;=")&amp;Z143)</f>
        <v>12</v>
      </c>
      <c r="V143" s="106" t="str">
        <f t="shared" ref="V143:V157" si="35"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https://search-rtdc-monitor-bjffxe2xuh6vdkpspy63sjmuny.us-east-1.es.amazonaws.com/_plugin/kibana/#/discover/Steve-Slow-Train-Analysis-(2080s-and-2083s)?_g=(refreshInterval:(display:Off,section:0,value:0),time:(from:'2016-07-07 21:49:53-0600',mode:absolute,to:'2016-07-07 22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3" s="106" t="str">
        <f t="shared" ref="W143:W157" si="36">IF(AA143&lt;23,"Y","N")</f>
        <v>N</v>
      </c>
      <c r="X143" s="106">
        <f t="shared" ref="X143:X157" si="37">VALUE(LEFT(A143,3))-VALUE(LEFT(A142,3))</f>
        <v>1</v>
      </c>
      <c r="Y143" s="106">
        <f t="shared" ref="Y143:Y157" si="38">RIGHT(D143,LEN(D143)-4)/10000</f>
        <v>23.292899999999999</v>
      </c>
      <c r="Z143" s="106">
        <f t="shared" ref="Z143:Z157" si="39">RIGHT(H143,LEN(H143)-4)/10000</f>
        <v>2.18E-2</v>
      </c>
      <c r="AA143" s="106">
        <f t="shared" ref="AA143:AA157" si="40">ABS(Z143-Y143)</f>
        <v>23.271100000000001</v>
      </c>
      <c r="AB143" s="107" t="e">
        <f>VLOOKUP(A143,Enforcements!$C$7:$J$27,8,0)</f>
        <v>#N/A</v>
      </c>
      <c r="AC143" s="107" t="e">
        <f>VLOOKUP(A143,Enforcements!$C$7:$E$27,3,0)</f>
        <v>#N/A</v>
      </c>
      <c r="AD143" s="108" t="str">
        <f t="shared" ref="AD143:AD157" si="41">IF(LEN(A143)=6,"0"&amp;A143,A143)</f>
        <v>0230-07</v>
      </c>
      <c r="AE143" s="108" t="str">
        <f t="shared" ref="AE143:AE157" si="42">"aws s3 cp "&amp;s3_bucket&amp;"/RTDC"&amp;B143&amp;"/"&amp;TEXT(F143,"YYYY-MM-DD")&amp;"/ "&amp;search_path&amp;"\RTDC"&amp;B143&amp;"\"&amp;TEXT(F143,"YYYY-MM-DD")&amp;" --recursive &amp; """&amp;walkandungz&amp;""" "&amp;search_path&amp;"\RTDC"&amp;B143&amp;"\"&amp;TEXT(F143,"YYYY-MM-DD")
&amp;" &amp; "&amp;"aws s3 cp "&amp;s3_bucket&amp;"/RTDC"&amp;B143&amp;"/"&amp;TEXT(F143+1,"YYYY-MM-DD")&amp;"/ "&amp;search_path&amp;"\RTDC"&amp;B143&amp;"\"&amp;TEXT(F143+1,"YYYY-MM-DD")&amp;" --recursive &amp; """&amp;walkandungz&amp;""" "&amp;search_path&amp;"\RTDC"&amp;B143&amp;"\"&amp;TEXT(F143+1,"YYYY-MM-DD")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43" s="108" t="str">
        <f t="shared" ref="AF143:AF157" si="43">astrogrep_path&amp;" /spath="&amp;search_path&amp;" /stypes=""*"&amp;B143&amp;"*"&amp;TEXT(F143-utc_offset/24,"YYYYMMDD")&amp;"*"" /stext="" "&amp;TEXT(F143-utc_offset/24,"HH")&amp;search_regexp&amp;""" /e /r /s"</f>
        <v>"C:\Program Files (x86)\AstroGrep\AstroGrep.exe" /spath="C:\Users\stu\Documents\Analysis\2016-02-23 RTDC Observations" /stypes="*4013*20160708*" /stext=" 03:.+((prompt.+disp)|(slice.+state.+chan)|(ment ac)|(system.+state.+chan)|(\|lc)|(penalty)|(\[timeout))" /e /r /s</v>
      </c>
    </row>
    <row r="144" spans="1:32" x14ac:dyDescent="0.25">
      <c r="A144" s="62" t="s">
        <v>573</v>
      </c>
      <c r="B144" s="34">
        <v>4031</v>
      </c>
      <c r="C144" s="34" t="s">
        <v>60</v>
      </c>
      <c r="D144" s="34" t="s">
        <v>336</v>
      </c>
      <c r="E144" s="20">
        <v>42558.890509259261</v>
      </c>
      <c r="F144" s="20">
        <v>42558.891504629632</v>
      </c>
      <c r="G144" s="20">
        <v>1</v>
      </c>
      <c r="H144" s="20" t="s">
        <v>574</v>
      </c>
      <c r="I144" s="20">
        <v>42558.921712962961</v>
      </c>
      <c r="J144" s="34">
        <v>0</v>
      </c>
      <c r="K144" s="34" t="str">
        <f t="shared" si="30"/>
        <v>4031/4032</v>
      </c>
      <c r="L144" s="34" t="str">
        <f>VLOOKUP(A144,'Trips&amp;Operators'!$C$1:$E$10000,3,FALSE)</f>
        <v>DAVIS</v>
      </c>
      <c r="M144" s="6">
        <f t="shared" si="31"/>
        <v>3.0208333329937886E-2</v>
      </c>
      <c r="N144" s="7">
        <f t="shared" si="32"/>
        <v>43.499999995110556</v>
      </c>
      <c r="O144" s="7"/>
      <c r="P144" s="7"/>
      <c r="Q144" s="35"/>
      <c r="R144" s="35"/>
      <c r="S144" s="54">
        <f t="shared" si="33"/>
        <v>1</v>
      </c>
      <c r="T144" s="98" t="str">
        <f t="shared" si="34"/>
        <v>NorthBound</v>
      </c>
      <c r="U144" s="98">
        <f>COUNTIFS(Variables!$M$2:$M$19,IF(T144="NorthBound","&gt;=","&lt;=")&amp;Y144,Variables!$M$2:$M$19,IF(T144="NorthBound","&lt;=","&gt;=")&amp;Z144)</f>
        <v>12</v>
      </c>
      <c r="V144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21:21:20-0600',mode:absolute,to:'2016-07-07 22:08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4" s="106" t="str">
        <f t="shared" si="36"/>
        <v>N</v>
      </c>
      <c r="X144" s="106">
        <f t="shared" si="37"/>
        <v>1</v>
      </c>
      <c r="Y144" s="106">
        <f t="shared" si="38"/>
        <v>4.7800000000000002E-2</v>
      </c>
      <c r="Z144" s="106">
        <f t="shared" si="39"/>
        <v>23.320699999999999</v>
      </c>
      <c r="AA144" s="106">
        <f t="shared" si="40"/>
        <v>23.2729</v>
      </c>
      <c r="AB144" s="107" t="e">
        <f>VLOOKUP(A144,Enforcements!$C$7:$J$27,8,0)</f>
        <v>#N/A</v>
      </c>
      <c r="AC144" s="107" t="e">
        <f>VLOOKUP(A144,Enforcements!$C$7:$E$27,3,0)</f>
        <v>#N/A</v>
      </c>
      <c r="AD144" s="108" t="str">
        <f t="shared" si="41"/>
        <v>0231-07</v>
      </c>
      <c r="AE144" s="108" t="str">
        <f t="shared" si="4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44" s="108" t="str">
        <f t="shared" si="43"/>
        <v>"C:\Program Files (x86)\AstroGrep\AstroGrep.exe" /spath="C:\Users\stu\Documents\Analysis\2016-02-23 RTDC Observations" /stypes="*4031*20160708*" /stext=" 03:.+((prompt.+disp)|(slice.+state.+chan)|(ment ac)|(system.+state.+chan)|(\|lc)|(penalty)|(\[timeout))" /e /r /s</v>
      </c>
    </row>
    <row r="145" spans="1:32" x14ac:dyDescent="0.25">
      <c r="A145" s="62" t="s">
        <v>575</v>
      </c>
      <c r="B145" s="34">
        <v>4032</v>
      </c>
      <c r="C145" s="34" t="s">
        <v>60</v>
      </c>
      <c r="D145" s="34" t="s">
        <v>576</v>
      </c>
      <c r="E145" s="20">
        <v>42558.929722222223</v>
      </c>
      <c r="F145" s="20">
        <v>42558.930659722224</v>
      </c>
      <c r="G145" s="20">
        <v>1</v>
      </c>
      <c r="H145" s="20" t="s">
        <v>577</v>
      </c>
      <c r="I145" s="20">
        <v>42558.961585648147</v>
      </c>
      <c r="J145" s="34">
        <v>1</v>
      </c>
      <c r="K145" s="34" t="str">
        <f t="shared" si="30"/>
        <v>4031/4032</v>
      </c>
      <c r="L145" s="34" t="str">
        <f>VLOOKUP(A145,'Trips&amp;Operators'!$C$1:$E$10000,3,FALSE)</f>
        <v>DAVIS</v>
      </c>
      <c r="M145" s="6">
        <f t="shared" si="31"/>
        <v>3.0925925922929309E-2</v>
      </c>
      <c r="N145" s="7">
        <f t="shared" si="32"/>
        <v>44.533333329018205</v>
      </c>
      <c r="O145" s="7"/>
      <c r="P145" s="7"/>
      <c r="Q145" s="35"/>
      <c r="R145" s="35"/>
      <c r="S145" s="54">
        <f t="shared" si="33"/>
        <v>1</v>
      </c>
      <c r="T145" s="98" t="str">
        <f t="shared" si="34"/>
        <v>Southbound</v>
      </c>
      <c r="U145" s="98">
        <f>COUNTIFS(Variables!$M$2:$M$19,IF(T145="NorthBound","&gt;=","&lt;=")&amp;Y145,Variables!$M$2:$M$19,IF(T145="NorthBound","&lt;=","&gt;=")&amp;Z145)</f>
        <v>12</v>
      </c>
      <c r="V145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22:17:48-0600',mode:absolute,to:'2016-07-07 23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5" s="106" t="str">
        <f t="shared" si="36"/>
        <v>N</v>
      </c>
      <c r="X145" s="106">
        <f t="shared" si="37"/>
        <v>1</v>
      </c>
      <c r="Y145" s="106">
        <f t="shared" si="38"/>
        <v>23.289000000000001</v>
      </c>
      <c r="Z145" s="106">
        <f t="shared" si="39"/>
        <v>2.8000000000000001E-2</v>
      </c>
      <c r="AA145" s="106">
        <f t="shared" si="40"/>
        <v>23.261000000000003</v>
      </c>
      <c r="AB145" s="107" t="e">
        <f>VLOOKUP(A145,Enforcements!$C$7:$J$27,8,0)</f>
        <v>#N/A</v>
      </c>
      <c r="AC145" s="107" t="e">
        <f>VLOOKUP(A145,Enforcements!$C$7:$E$27,3,0)</f>
        <v>#N/A</v>
      </c>
      <c r="AD145" s="108" t="str">
        <f t="shared" si="41"/>
        <v>0232-07</v>
      </c>
      <c r="AE145" s="108" t="str">
        <f t="shared" si="42"/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AF145" s="108" t="str">
        <f t="shared" si="43"/>
        <v>"C:\Program Files (x86)\AstroGrep\AstroGrep.exe" /spath="C:\Users\stu\Documents\Analysis\2016-02-23 RTDC Observations" /stypes="*4032*20160708*" /stext=" 04:.+((prompt.+disp)|(slice.+state.+chan)|(ment ac)|(system.+state.+chan)|(\|lc)|(penalty)|(\[timeout))" /e /r /s</v>
      </c>
    </row>
    <row r="146" spans="1:32" x14ac:dyDescent="0.25">
      <c r="A146" s="62" t="s">
        <v>578</v>
      </c>
      <c r="B146" s="34">
        <v>4038</v>
      </c>
      <c r="C146" s="34" t="s">
        <v>60</v>
      </c>
      <c r="D146" s="34" t="s">
        <v>336</v>
      </c>
      <c r="E146" s="20">
        <v>42558.912951388891</v>
      </c>
      <c r="F146" s="20">
        <v>42558.913680555554</v>
      </c>
      <c r="G146" s="20">
        <v>1</v>
      </c>
      <c r="H146" s="20" t="s">
        <v>237</v>
      </c>
      <c r="I146" s="20">
        <v>42558.942175925928</v>
      </c>
      <c r="J146" s="34">
        <v>0</v>
      </c>
      <c r="K146" s="34" t="str">
        <f t="shared" si="30"/>
        <v>4037/4038</v>
      </c>
      <c r="L146" s="34" t="str">
        <f>VLOOKUP(A146,'Trips&amp;Operators'!$C$1:$E$10000,3,FALSE)</f>
        <v>ADANE</v>
      </c>
      <c r="M146" s="6">
        <f t="shared" si="31"/>
        <v>2.849537037400296E-2</v>
      </c>
      <c r="N146" s="7">
        <f t="shared" si="32"/>
        <v>41.033333338564262</v>
      </c>
      <c r="O146" s="7"/>
      <c r="P146" s="7"/>
      <c r="Q146" s="35"/>
      <c r="R146" s="35"/>
      <c r="S146" s="54">
        <f t="shared" si="33"/>
        <v>1</v>
      </c>
      <c r="T146" s="98" t="str">
        <f t="shared" si="34"/>
        <v>NorthBound</v>
      </c>
      <c r="U146" s="98">
        <f>COUNTIFS(Variables!$M$2:$M$19,IF(T146="NorthBound","&gt;=","&lt;=")&amp;Y146,Variables!$M$2:$M$19,IF(T146="NorthBound","&lt;=","&gt;=")&amp;Z146)</f>
        <v>12</v>
      </c>
      <c r="V146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21:53:39-0600',mode:absolute,to:'2016-07-07 22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6" s="106" t="str">
        <f t="shared" si="36"/>
        <v>N</v>
      </c>
      <c r="X146" s="106">
        <f t="shared" si="37"/>
        <v>1</v>
      </c>
      <c r="Y146" s="106">
        <f t="shared" si="38"/>
        <v>4.7800000000000002E-2</v>
      </c>
      <c r="Z146" s="106">
        <f t="shared" si="39"/>
        <v>23.330500000000001</v>
      </c>
      <c r="AA146" s="106">
        <f t="shared" si="40"/>
        <v>23.282700000000002</v>
      </c>
      <c r="AB146" s="107" t="e">
        <f>VLOOKUP(A146,Enforcements!$C$7:$J$27,8,0)</f>
        <v>#N/A</v>
      </c>
      <c r="AC146" s="107" t="e">
        <f>VLOOKUP(A146,Enforcements!$C$7:$E$27,3,0)</f>
        <v>#N/A</v>
      </c>
      <c r="AD146" s="108" t="str">
        <f t="shared" si="41"/>
        <v>0233-07</v>
      </c>
      <c r="AE146" s="108" t="str">
        <f t="shared" si="4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46" s="108" t="str">
        <f t="shared" si="43"/>
        <v>"C:\Program Files (x86)\AstroGrep\AstroGrep.exe" /spath="C:\Users\stu\Documents\Analysis\2016-02-23 RTDC Observations" /stypes="*4038*20160708*" /stext=" 03:.+((prompt.+disp)|(slice.+state.+chan)|(ment ac)|(system.+state.+chan)|(\|lc)|(penalty)|(\[timeout))" /e /r /s</v>
      </c>
    </row>
    <row r="147" spans="1:32" x14ac:dyDescent="0.25">
      <c r="A147" s="62" t="s">
        <v>579</v>
      </c>
      <c r="B147" s="34">
        <v>4037</v>
      </c>
      <c r="C147" s="34" t="s">
        <v>60</v>
      </c>
      <c r="D147" s="34" t="s">
        <v>580</v>
      </c>
      <c r="E147" s="20">
        <v>42558.950682870367</v>
      </c>
      <c r="F147" s="20">
        <v>42558.951956018522</v>
      </c>
      <c r="G147" s="20">
        <v>1</v>
      </c>
      <c r="H147" s="20" t="s">
        <v>67</v>
      </c>
      <c r="I147" s="20">
        <v>42558.981469907405</v>
      </c>
      <c r="J147" s="34">
        <v>0</v>
      </c>
      <c r="K147" s="34" t="str">
        <f t="shared" si="30"/>
        <v>4037/4038</v>
      </c>
      <c r="L147" s="34" t="str">
        <f>VLOOKUP(A147,'Trips&amp;Operators'!$C$1:$E$10000,3,FALSE)</f>
        <v>ADANE</v>
      </c>
      <c r="M147" s="6">
        <f t="shared" si="31"/>
        <v>2.9513888883229811E-2</v>
      </c>
      <c r="N147" s="7">
        <f t="shared" si="32"/>
        <v>42.499999991850927</v>
      </c>
      <c r="O147" s="7"/>
      <c r="P147" s="7"/>
      <c r="Q147" s="35"/>
      <c r="R147" s="35"/>
      <c r="S147" s="54">
        <f t="shared" si="33"/>
        <v>1</v>
      </c>
      <c r="T147" s="98" t="str">
        <f t="shared" si="34"/>
        <v>Southbound</v>
      </c>
      <c r="U147" s="98">
        <f>COUNTIFS(Variables!$M$2:$M$19,IF(T147="NorthBound","&gt;=","&lt;=")&amp;Y147,Variables!$M$2:$M$19,IF(T147="NorthBound","&lt;=","&gt;=")&amp;Z147)</f>
        <v>12</v>
      </c>
      <c r="V147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22:47:59-0600',mode:absolute,to:'2016-07-07 23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7" s="106" t="str">
        <f t="shared" si="36"/>
        <v>N</v>
      </c>
      <c r="X147" s="106">
        <f t="shared" si="37"/>
        <v>1</v>
      </c>
      <c r="Y147" s="106">
        <f t="shared" si="38"/>
        <v>23.299199999999999</v>
      </c>
      <c r="Z147" s="106">
        <f t="shared" si="39"/>
        <v>1.47E-2</v>
      </c>
      <c r="AA147" s="106">
        <f t="shared" si="40"/>
        <v>23.284499999999998</v>
      </c>
      <c r="AB147" s="107" t="e">
        <f>VLOOKUP(A147,Enforcements!$C$7:$J$27,8,0)</f>
        <v>#N/A</v>
      </c>
      <c r="AC147" s="107" t="e">
        <f>VLOOKUP(A147,Enforcements!$C$7:$E$27,3,0)</f>
        <v>#N/A</v>
      </c>
      <c r="AD147" s="108" t="str">
        <f t="shared" si="41"/>
        <v>0234-07</v>
      </c>
      <c r="AE147" s="108" t="str">
        <f t="shared" si="42"/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AF147" s="108" t="str">
        <f t="shared" si="43"/>
        <v>"C:\Program Files (x86)\AstroGrep\AstroGrep.exe" /spath="C:\Users\stu\Documents\Analysis\2016-02-23 RTDC Observations" /stypes="*4037*20160708*" /stext=" 04:.+((prompt.+disp)|(slice.+state.+chan)|(ment ac)|(system.+state.+chan)|(\|lc)|(penalty)|(\[timeout))" /e /r /s</v>
      </c>
    </row>
    <row r="148" spans="1:32" x14ac:dyDescent="0.25">
      <c r="A148" s="62" t="s">
        <v>581</v>
      </c>
      <c r="B148" s="34">
        <v>4018</v>
      </c>
      <c r="C148" s="34" t="s">
        <v>60</v>
      </c>
      <c r="D148" s="34" t="s">
        <v>210</v>
      </c>
      <c r="E148" s="20">
        <v>42558.927256944444</v>
      </c>
      <c r="F148" s="20">
        <v>42558.928437499999</v>
      </c>
      <c r="G148" s="20">
        <v>1</v>
      </c>
      <c r="H148" s="20" t="s">
        <v>240</v>
      </c>
      <c r="I148" s="20">
        <v>42558.962233796294</v>
      </c>
      <c r="J148" s="34">
        <v>1</v>
      </c>
      <c r="K148" s="34" t="str">
        <f t="shared" si="30"/>
        <v>4017/4018</v>
      </c>
      <c r="L148" s="34" t="str">
        <f>VLOOKUP(A148,'Trips&amp;Operators'!$C$1:$E$10000,3,FALSE)</f>
        <v>GRASTON</v>
      </c>
      <c r="M148" s="6">
        <f t="shared" si="31"/>
        <v>3.3796296294895001E-2</v>
      </c>
      <c r="N148" s="7">
        <f t="shared" si="32"/>
        <v>48.666666664648801</v>
      </c>
      <c r="O148" s="7"/>
      <c r="P148" s="7"/>
      <c r="Q148" s="35"/>
      <c r="R148" s="35"/>
      <c r="S148" s="54">
        <f t="shared" si="33"/>
        <v>1</v>
      </c>
      <c r="T148" s="98" t="str">
        <f t="shared" si="34"/>
        <v>NorthBound</v>
      </c>
      <c r="U148" s="98">
        <f>COUNTIFS(Variables!$M$2:$M$19,IF(T148="NorthBound","&gt;=","&lt;=")&amp;Y148,Variables!$M$2:$M$19,IF(T148="NorthBound","&lt;=","&gt;=")&amp;Z148)</f>
        <v>12</v>
      </c>
      <c r="V148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22:14:15-0600',mode:absolute,to:'2016-07-07 23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8" s="106" t="str">
        <f t="shared" si="36"/>
        <v>N</v>
      </c>
      <c r="X148" s="106">
        <f t="shared" si="37"/>
        <v>1</v>
      </c>
      <c r="Y148" s="106">
        <f t="shared" si="38"/>
        <v>4.6199999999999998E-2</v>
      </c>
      <c r="Z148" s="106">
        <f t="shared" si="39"/>
        <v>23.329699999999999</v>
      </c>
      <c r="AA148" s="106">
        <f t="shared" si="40"/>
        <v>23.2835</v>
      </c>
      <c r="AB148" s="107" t="e">
        <f>VLOOKUP(A148,Enforcements!$C$7:$J$27,8,0)</f>
        <v>#N/A</v>
      </c>
      <c r="AC148" s="107" t="e">
        <f>VLOOKUP(A148,Enforcements!$C$7:$E$27,3,0)</f>
        <v>#N/A</v>
      </c>
      <c r="AD148" s="108" t="str">
        <f t="shared" si="41"/>
        <v>0235-07</v>
      </c>
      <c r="AE148" s="108" t="str">
        <f t="shared" si="42"/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AF148" s="108" t="str">
        <f t="shared" si="43"/>
        <v>"C:\Program Files (x86)\AstroGrep\AstroGrep.exe" /spath="C:\Users\stu\Documents\Analysis\2016-02-23 RTDC Observations" /stypes="*4018*20160708*" /stext=" 04:.+((prompt.+disp)|(slice.+state.+chan)|(ment ac)|(system.+state.+chan)|(\|lc)|(penalty)|(\[timeout))" /e /r /s</v>
      </c>
    </row>
    <row r="149" spans="1:32" x14ac:dyDescent="0.25">
      <c r="A149" s="34" t="s">
        <v>582</v>
      </c>
      <c r="B149" s="34">
        <v>4017</v>
      </c>
      <c r="C149" s="34" t="s">
        <v>60</v>
      </c>
      <c r="D149" s="34" t="s">
        <v>328</v>
      </c>
      <c r="E149" s="20">
        <v>42558.973738425928</v>
      </c>
      <c r="F149" s="20">
        <v>42558.974641203706</v>
      </c>
      <c r="G149" s="20">
        <v>1</v>
      </c>
      <c r="H149" s="20" t="s">
        <v>128</v>
      </c>
      <c r="I149" s="20">
        <v>42559.002106481479</v>
      </c>
      <c r="J149" s="34">
        <v>0</v>
      </c>
      <c r="K149" s="34" t="str">
        <f t="shared" si="30"/>
        <v>4017/4018</v>
      </c>
      <c r="L149" s="34" t="str">
        <f>VLOOKUP(A149,'Trips&amp;Operators'!$C$1:$E$10000,3,FALSE)</f>
        <v>GRASTON</v>
      </c>
      <c r="M149" s="6">
        <f t="shared" si="31"/>
        <v>2.7465277773444541E-2</v>
      </c>
      <c r="N149" s="7">
        <f t="shared" si="32"/>
        <v>39.549999993760139</v>
      </c>
      <c r="O149" s="7"/>
      <c r="P149" s="7"/>
      <c r="Q149" s="35"/>
      <c r="R149" s="35"/>
      <c r="S149" s="54">
        <f t="shared" si="33"/>
        <v>1</v>
      </c>
      <c r="T149" s="98" t="str">
        <f t="shared" si="34"/>
        <v>Southbound</v>
      </c>
      <c r="U149" s="98">
        <f>COUNTIFS(Variables!$M$2:$M$19,IF(T149="NorthBound","&gt;=","&lt;=")&amp;Y149,Variables!$M$2:$M$19,IF(T149="NorthBound","&lt;=","&gt;=")&amp;Z149)</f>
        <v>12</v>
      </c>
      <c r="V149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23:21:11-0600',mode:absolute,to:'2016-07-08 00:04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9" s="106" t="str">
        <f t="shared" si="36"/>
        <v>N</v>
      </c>
      <c r="X149" s="106">
        <f t="shared" si="37"/>
        <v>1</v>
      </c>
      <c r="Y149" s="106">
        <f t="shared" si="38"/>
        <v>23.2986</v>
      </c>
      <c r="Z149" s="106">
        <f t="shared" si="39"/>
        <v>1.54E-2</v>
      </c>
      <c r="AA149" s="106">
        <f t="shared" si="40"/>
        <v>23.283200000000001</v>
      </c>
      <c r="AB149" s="107" t="e">
        <f>VLOOKUP(A149,Enforcements!$C$7:$J$27,8,0)</f>
        <v>#N/A</v>
      </c>
      <c r="AC149" s="107" t="e">
        <f>VLOOKUP(A149,Enforcements!$C$7:$E$27,3,0)</f>
        <v>#N/A</v>
      </c>
      <c r="AD149" s="108" t="str">
        <f t="shared" si="41"/>
        <v>0236-07</v>
      </c>
      <c r="AE149" s="108" t="str">
        <f t="shared" si="42"/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AF149" s="108" t="str">
        <f t="shared" si="43"/>
        <v>"C:\Program Files (x86)\AstroGrep\AstroGrep.exe" /spath="C:\Users\stu\Documents\Analysis\2016-02-23 RTDC Observations" /stypes="*4017*20160708*" /stext=" 05:.+((prompt.+disp)|(slice.+state.+chan)|(ment ac)|(system.+state.+chan)|(\|lc)|(penalty)|(\[timeout))" /e /r /s</v>
      </c>
    </row>
    <row r="150" spans="1:32" x14ac:dyDescent="0.25">
      <c r="A150" s="34" t="s">
        <v>583</v>
      </c>
      <c r="B150" s="34">
        <v>4014</v>
      </c>
      <c r="C150" s="34" t="s">
        <v>60</v>
      </c>
      <c r="D150" s="34" t="s">
        <v>584</v>
      </c>
      <c r="E150" s="20">
        <v>42558.955138888887</v>
      </c>
      <c r="F150" s="20">
        <v>42558.956099537034</v>
      </c>
      <c r="G150" s="20">
        <v>1</v>
      </c>
      <c r="H150" s="20" t="s">
        <v>585</v>
      </c>
      <c r="I150" s="20">
        <v>42558.982777777775</v>
      </c>
      <c r="J150" s="34">
        <v>0</v>
      </c>
      <c r="K150" s="34" t="str">
        <f t="shared" si="30"/>
        <v>4013/4014</v>
      </c>
      <c r="L150" s="34" t="str">
        <f>VLOOKUP(A150,'Trips&amp;Operators'!$C$1:$E$10000,3,FALSE)</f>
        <v>SHOOK</v>
      </c>
      <c r="M150" s="6">
        <f t="shared" si="31"/>
        <v>2.6678240741603076E-2</v>
      </c>
      <c r="N150" s="7">
        <f t="shared" si="32"/>
        <v>38.41666666790843</v>
      </c>
      <c r="O150" s="7"/>
      <c r="P150" s="7"/>
      <c r="Q150" s="35"/>
      <c r="R150" s="35"/>
      <c r="S150" s="54">
        <f t="shared" si="33"/>
        <v>1</v>
      </c>
      <c r="T150" s="98" t="str">
        <f t="shared" si="34"/>
        <v>NorthBound</v>
      </c>
      <c r="U150" s="98">
        <f>COUNTIFS(Variables!$M$2:$M$19,IF(T150="NorthBound","&gt;=","&lt;=")&amp;Y150,Variables!$M$2:$M$19,IF(T150="NorthBound","&lt;=","&gt;=")&amp;Z150)</f>
        <v>12</v>
      </c>
      <c r="V150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22:54:24-0600',mode:absolute,to:'2016-07-07 23:36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0" s="106" t="str">
        <f t="shared" si="36"/>
        <v>N</v>
      </c>
      <c r="X150" s="106">
        <f t="shared" si="37"/>
        <v>1</v>
      </c>
      <c r="Y150" s="106">
        <f t="shared" si="38"/>
        <v>5.2200000000000003E-2</v>
      </c>
      <c r="Z150" s="106">
        <f t="shared" si="39"/>
        <v>23.325900000000001</v>
      </c>
      <c r="AA150" s="106">
        <f t="shared" si="40"/>
        <v>23.273700000000002</v>
      </c>
      <c r="AB150" s="107" t="e">
        <f>VLOOKUP(A150,Enforcements!$C$7:$J$27,8,0)</f>
        <v>#N/A</v>
      </c>
      <c r="AC150" s="107" t="e">
        <f>VLOOKUP(A150,Enforcements!$C$7:$E$27,3,0)</f>
        <v>#N/A</v>
      </c>
      <c r="AD150" s="108" t="str">
        <f t="shared" si="41"/>
        <v>0237-07</v>
      </c>
      <c r="AE150" s="108" t="str">
        <f t="shared" si="42"/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AF150" s="108" t="str">
        <f t="shared" si="43"/>
        <v>"C:\Program Files (x86)\AstroGrep\AstroGrep.exe" /spath="C:\Users\stu\Documents\Analysis\2016-02-23 RTDC Observations" /stypes="*4014*20160708*" /stext=" 04:.+((prompt.+disp)|(slice.+state.+chan)|(ment ac)|(system.+state.+chan)|(\|lc)|(penalty)|(\[timeout))" /e /r /s</v>
      </c>
    </row>
    <row r="151" spans="1:32" x14ac:dyDescent="0.25">
      <c r="A151" s="34" t="s">
        <v>586</v>
      </c>
      <c r="B151" s="34">
        <v>4013</v>
      </c>
      <c r="C151" s="34" t="s">
        <v>60</v>
      </c>
      <c r="D151" s="34" t="s">
        <v>538</v>
      </c>
      <c r="E151" s="20">
        <v>42558.993935185186</v>
      </c>
      <c r="F151" s="20">
        <v>42558.994791666664</v>
      </c>
      <c r="G151" s="20">
        <v>1</v>
      </c>
      <c r="H151" s="20" t="s">
        <v>90</v>
      </c>
      <c r="I151" s="20">
        <v>42559.023414351854</v>
      </c>
      <c r="J151" s="34">
        <v>0</v>
      </c>
      <c r="K151" s="34" t="str">
        <f t="shared" si="30"/>
        <v>4013/4014</v>
      </c>
      <c r="L151" s="34" t="str">
        <f>VLOOKUP(A151,'Trips&amp;Operators'!$C$1:$E$10000,3,FALSE)</f>
        <v>SHOOK</v>
      </c>
      <c r="M151" s="6">
        <f t="shared" si="31"/>
        <v>2.8622685189475305E-2</v>
      </c>
      <c r="N151" s="7">
        <f t="shared" si="32"/>
        <v>41.21666667284444</v>
      </c>
      <c r="O151" s="7"/>
      <c r="P151" s="7"/>
      <c r="Q151" s="35"/>
      <c r="R151" s="35"/>
      <c r="S151" s="54">
        <f t="shared" si="33"/>
        <v>1</v>
      </c>
      <c r="T151" s="98" t="str">
        <f t="shared" si="34"/>
        <v>Southbound</v>
      </c>
      <c r="U151" s="98">
        <f>COUNTIFS(Variables!$M$2:$M$19,IF(T151="NorthBound","&gt;=","&lt;=")&amp;Y151,Variables!$M$2:$M$19,IF(T151="NorthBound","&lt;=","&gt;=")&amp;Z151)</f>
        <v>12</v>
      </c>
      <c r="V151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23:50:16-0600',mode:absolute,to:'2016-07-08 00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1" s="106" t="str">
        <f t="shared" si="36"/>
        <v>N</v>
      </c>
      <c r="X151" s="106">
        <f t="shared" si="37"/>
        <v>1</v>
      </c>
      <c r="Y151" s="106">
        <f t="shared" si="38"/>
        <v>23.2944</v>
      </c>
      <c r="Z151" s="106">
        <f t="shared" si="39"/>
        <v>1.4999999999999999E-2</v>
      </c>
      <c r="AA151" s="106">
        <f t="shared" si="40"/>
        <v>23.279399999999999</v>
      </c>
      <c r="AB151" s="107" t="e">
        <f>VLOOKUP(A151,Enforcements!$C$7:$J$27,8,0)</f>
        <v>#N/A</v>
      </c>
      <c r="AC151" s="107" t="e">
        <f>VLOOKUP(A151,Enforcements!$C$7:$E$27,3,0)</f>
        <v>#N/A</v>
      </c>
      <c r="AD151" s="108" t="str">
        <f t="shared" si="41"/>
        <v>0238-07</v>
      </c>
      <c r="AE151" s="108" t="str">
        <f t="shared" si="42"/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AF151" s="108" t="str">
        <f t="shared" si="43"/>
        <v>"C:\Program Files (x86)\AstroGrep\AstroGrep.exe" /spath="C:\Users\stu\Documents\Analysis\2016-02-23 RTDC Observations" /stypes="*4013*20160708*" /stext=" 05:.+((prompt.+disp)|(slice.+state.+chan)|(ment ac)|(system.+state.+chan)|(\|lc)|(penalty)|(\[timeout))" /e /r /s</v>
      </c>
    </row>
    <row r="152" spans="1:32" x14ac:dyDescent="0.25">
      <c r="A152" s="34" t="s">
        <v>587</v>
      </c>
      <c r="B152" s="34">
        <v>4031</v>
      </c>
      <c r="C152" s="34" t="s">
        <v>60</v>
      </c>
      <c r="D152" s="34" t="s">
        <v>209</v>
      </c>
      <c r="E152" s="20">
        <v>42558.974907407406</v>
      </c>
      <c r="F152" s="20">
        <v>42558.975902777776</v>
      </c>
      <c r="G152" s="20">
        <v>1</v>
      </c>
      <c r="H152" s="20" t="s">
        <v>510</v>
      </c>
      <c r="I152" s="20">
        <v>42559.004791666666</v>
      </c>
      <c r="J152" s="34">
        <v>0</v>
      </c>
      <c r="K152" s="34" t="str">
        <f t="shared" si="30"/>
        <v>4031/4032</v>
      </c>
      <c r="L152" s="34" t="str">
        <f>VLOOKUP(A152,'Trips&amp;Operators'!$C$1:$E$10000,3,FALSE)</f>
        <v>DAVIS</v>
      </c>
      <c r="M152" s="6">
        <f t="shared" si="31"/>
        <v>2.8888888889923692E-2</v>
      </c>
      <c r="N152" s="7">
        <f t="shared" si="32"/>
        <v>41.600000001490116</v>
      </c>
      <c r="O152" s="7"/>
      <c r="P152" s="7"/>
      <c r="Q152" s="35"/>
      <c r="R152" s="35"/>
      <c r="S152" s="54">
        <f t="shared" si="33"/>
        <v>1</v>
      </c>
      <c r="T152" s="98" t="str">
        <f t="shared" si="34"/>
        <v>NorthBound</v>
      </c>
      <c r="U152" s="98">
        <f>COUNTIFS(Variables!$M$2:$M$19,IF(T152="NorthBound","&gt;=","&lt;=")&amp;Y152,Variables!$M$2:$M$19,IF(T152="NorthBound","&lt;=","&gt;=")&amp;Z152)</f>
        <v>12</v>
      </c>
      <c r="V152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23:22:52-0600',mode:absolute,to:'2016-07-08 00:07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52" s="106" t="str">
        <f t="shared" si="36"/>
        <v>N</v>
      </c>
      <c r="X152" s="106">
        <f t="shared" si="37"/>
        <v>1</v>
      </c>
      <c r="Y152" s="106">
        <f t="shared" si="38"/>
        <v>4.58E-2</v>
      </c>
      <c r="Z152" s="106">
        <f t="shared" si="39"/>
        <v>23.3264</v>
      </c>
      <c r="AA152" s="106">
        <f t="shared" si="40"/>
        <v>23.2806</v>
      </c>
      <c r="AB152" s="107" t="e">
        <f>VLOOKUP(A152,Enforcements!$C$7:$J$27,8,0)</f>
        <v>#N/A</v>
      </c>
      <c r="AC152" s="107" t="e">
        <f>VLOOKUP(A152,Enforcements!$C$7:$E$27,3,0)</f>
        <v>#N/A</v>
      </c>
      <c r="AD152" s="108" t="str">
        <f t="shared" si="41"/>
        <v>0239-07</v>
      </c>
      <c r="AE152" s="108" t="str">
        <f t="shared" si="42"/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AF152" s="108" t="str">
        <f t="shared" si="43"/>
        <v>"C:\Program Files (x86)\AstroGrep\AstroGrep.exe" /spath="C:\Users\stu\Documents\Analysis\2016-02-23 RTDC Observations" /stypes="*4031*20160708*" /stext=" 05:.+((prompt.+disp)|(slice.+state.+chan)|(ment ac)|(system.+state.+chan)|(\|lc)|(penalty)|(\[timeout))" /e /r /s</v>
      </c>
    </row>
    <row r="153" spans="1:32" x14ac:dyDescent="0.25">
      <c r="A153" s="34" t="s">
        <v>588</v>
      </c>
      <c r="B153" s="34">
        <v>4032</v>
      </c>
      <c r="C153" s="34" t="s">
        <v>60</v>
      </c>
      <c r="D153" s="34" t="s">
        <v>589</v>
      </c>
      <c r="E153" s="20">
        <v>42559.01153935185</v>
      </c>
      <c r="F153" s="20">
        <v>42559.012546296297</v>
      </c>
      <c r="G153" s="20">
        <v>1</v>
      </c>
      <c r="H153" s="20" t="s">
        <v>174</v>
      </c>
      <c r="I153" s="20">
        <v>42559.04515046296</v>
      </c>
      <c r="J153" s="34">
        <v>0</v>
      </c>
      <c r="K153" s="34" t="str">
        <f t="shared" si="30"/>
        <v>4031/4032</v>
      </c>
      <c r="L153" s="34" t="str">
        <f>VLOOKUP(A153,'Trips&amp;Operators'!$C$1:$E$10000,3,FALSE)</f>
        <v>DAVIS</v>
      </c>
      <c r="M153" s="6">
        <f t="shared" si="31"/>
        <v>3.2604166663077194E-2</v>
      </c>
      <c r="N153" s="7">
        <f t="shared" si="32"/>
        <v>46.94999999483116</v>
      </c>
      <c r="O153" s="7"/>
      <c r="P153" s="7"/>
      <c r="Q153" s="35"/>
      <c r="R153" s="35"/>
      <c r="S153" s="54">
        <f t="shared" si="33"/>
        <v>1</v>
      </c>
      <c r="T153" s="98" t="str">
        <f t="shared" si="34"/>
        <v>Southbound</v>
      </c>
      <c r="U153" s="98">
        <f>COUNTIFS(Variables!$M$2:$M$19,IF(T153="NorthBound","&gt;=","&lt;=")&amp;Y153,Variables!$M$2:$M$19,IF(T153="NorthBound","&lt;=","&gt;=")&amp;Z153)</f>
        <v>12</v>
      </c>
      <c r="V153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00:15:37-0600',mode:absolute,to:'2016-07-08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53" s="106" t="str">
        <f t="shared" si="36"/>
        <v>N</v>
      </c>
      <c r="X153" s="106">
        <f t="shared" si="37"/>
        <v>1</v>
      </c>
      <c r="Y153" s="106">
        <f t="shared" si="38"/>
        <v>23.294</v>
      </c>
      <c r="Z153" s="106">
        <f t="shared" si="39"/>
        <v>1.61E-2</v>
      </c>
      <c r="AA153" s="106">
        <f t="shared" si="40"/>
        <v>23.277899999999999</v>
      </c>
      <c r="AB153" s="107" t="e">
        <f>VLOOKUP(A153,Enforcements!$C$7:$J$27,8,0)</f>
        <v>#N/A</v>
      </c>
      <c r="AC153" s="107" t="e">
        <f>VLOOKUP(A153,Enforcements!$C$7:$E$27,3,0)</f>
        <v>#N/A</v>
      </c>
      <c r="AD153" s="108" t="str">
        <f t="shared" si="41"/>
        <v>0240-07</v>
      </c>
      <c r="AE153" s="108" t="str">
        <f t="shared" si="42"/>
        <v>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 &amp; aws s3 cp s3://rtdc.mdm.uploadarchive/RTDC4032/2016-07-09/ "C:\Users\stu\Documents\Analysis\2016-02-23 RTDC Observations"\RTDC4032\2016-07-09 --recursive &amp; "C:\Users\stu\Documents\GitHub\mrs-test-scripts\Headless Mode &amp; Sideloading\WalkAndUnGZ.bat" "C:\Users\stu\Documents\Analysis\2016-02-23 RTDC Observations"\RTDC4032\2016-07-09</v>
      </c>
      <c r="AF153" s="108" t="str">
        <f t="shared" si="43"/>
        <v>"C:\Program Files (x86)\AstroGrep\AstroGrep.exe" /spath="C:\Users\stu\Documents\Analysis\2016-02-23 RTDC Observations" /stypes="*4032*20160708*" /stext=" 06:.+((prompt.+disp)|(slice.+state.+chan)|(ment ac)|(system.+state.+chan)|(\|lc)|(penalty)|(\[timeout))" /e /r /s</v>
      </c>
    </row>
    <row r="154" spans="1:32" x14ac:dyDescent="0.25">
      <c r="A154" s="34" t="s">
        <v>590</v>
      </c>
      <c r="B154" s="34">
        <v>4038</v>
      </c>
      <c r="C154" s="34" t="s">
        <v>60</v>
      </c>
      <c r="D154" s="34" t="s">
        <v>564</v>
      </c>
      <c r="E154" s="20">
        <v>42558.995416666665</v>
      </c>
      <c r="F154" s="20">
        <v>42558.996192129627</v>
      </c>
      <c r="G154" s="20">
        <v>1</v>
      </c>
      <c r="H154" s="20" t="s">
        <v>166</v>
      </c>
      <c r="I154" s="20">
        <v>42559.024664351855</v>
      </c>
      <c r="J154" s="34">
        <v>0</v>
      </c>
      <c r="K154" s="34" t="str">
        <f t="shared" si="30"/>
        <v>4037/4038</v>
      </c>
      <c r="L154" s="34" t="str">
        <f>VLOOKUP(A154,'Trips&amp;Operators'!$C$1:$E$10000,3,FALSE)</f>
        <v>ADANE</v>
      </c>
      <c r="M154" s="6">
        <f t="shared" si="31"/>
        <v>2.8472222227719612E-2</v>
      </c>
      <c r="N154" s="7">
        <f t="shared" si="32"/>
        <v>41.000000007916242</v>
      </c>
      <c r="O154" s="7"/>
      <c r="P154" s="7"/>
      <c r="Q154" s="35"/>
      <c r="R154" s="35"/>
      <c r="S154" s="54">
        <f t="shared" si="33"/>
        <v>1</v>
      </c>
      <c r="T154" s="98" t="str">
        <f t="shared" si="34"/>
        <v>NorthBound</v>
      </c>
      <c r="U154" s="98">
        <f>COUNTIFS(Variables!$M$2:$M$19,IF(T154="NorthBound","&gt;=","&lt;=")&amp;Y154,Variables!$M$2:$M$19,IF(T154="NorthBound","&lt;=","&gt;=")&amp;Z154)</f>
        <v>12</v>
      </c>
      <c r="V154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https://search-rtdc-monitor-bjffxe2xuh6vdkpspy63sjmuny.us-east-1.es.amazonaws.com/_plugin/kibana/#/discover/Steve-Slow-Train-Analysis-(2080s-and-2083s)?_g=(refreshInterval:(display:Off,section:0,value:0),time:(from:'2016-07-07 23:52:24-0600',mode:absolute,to:'2016-07-08 00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54" s="106" t="str">
        <f t="shared" si="36"/>
        <v>N</v>
      </c>
      <c r="X154" s="106">
        <f t="shared" si="37"/>
        <v>1</v>
      </c>
      <c r="Y154" s="106">
        <f t="shared" si="38"/>
        <v>4.3099999999999999E-2</v>
      </c>
      <c r="Z154" s="106">
        <f t="shared" si="39"/>
        <v>23.328600000000002</v>
      </c>
      <c r="AA154" s="106">
        <f t="shared" si="40"/>
        <v>23.285500000000003</v>
      </c>
      <c r="AB154" s="107" t="e">
        <f>VLOOKUP(A154,Enforcements!$C$7:$J$27,8,0)</f>
        <v>#N/A</v>
      </c>
      <c r="AC154" s="107" t="e">
        <f>VLOOKUP(A154,Enforcements!$C$7:$E$27,3,0)</f>
        <v>#N/A</v>
      </c>
      <c r="AD154" s="108" t="str">
        <f t="shared" si="41"/>
        <v>0241-07</v>
      </c>
      <c r="AE154" s="108" t="str">
        <f t="shared" si="42"/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AF154" s="108" t="str">
        <f t="shared" si="43"/>
        <v>"C:\Program Files (x86)\AstroGrep\AstroGrep.exe" /spath="C:\Users\stu\Documents\Analysis\2016-02-23 RTDC Observations" /stypes="*4038*20160708*" /stext=" 05:.+((prompt.+disp)|(slice.+state.+chan)|(ment ac)|(system.+state.+chan)|(\|lc)|(penalty)|(\[timeout))" /e /r /s</v>
      </c>
    </row>
    <row r="155" spans="1:32" x14ac:dyDescent="0.25">
      <c r="A155" s="34" t="s">
        <v>591</v>
      </c>
      <c r="B155" s="34">
        <v>4037</v>
      </c>
      <c r="C155" s="34" t="s">
        <v>60</v>
      </c>
      <c r="D155" s="34" t="s">
        <v>344</v>
      </c>
      <c r="E155" s="20">
        <v>42559.036238425928</v>
      </c>
      <c r="F155" s="20">
        <v>42559.037233796298</v>
      </c>
      <c r="G155" s="20">
        <v>1</v>
      </c>
      <c r="H155" s="20" t="s">
        <v>329</v>
      </c>
      <c r="I155" s="20">
        <v>42559.068009259259</v>
      </c>
      <c r="J155" s="34">
        <v>1</v>
      </c>
      <c r="K155" s="34" t="str">
        <f t="shared" si="30"/>
        <v>4037/4038</v>
      </c>
      <c r="L155" s="34" t="str">
        <f>VLOOKUP(A155,'Trips&amp;Operators'!$C$1:$E$10000,3,FALSE)</f>
        <v>ADANE</v>
      </c>
      <c r="M155" s="6">
        <f t="shared" si="31"/>
        <v>3.0775462961173616E-2</v>
      </c>
      <c r="N155" s="7">
        <f t="shared" si="32"/>
        <v>44.316666664090008</v>
      </c>
      <c r="O155" s="7"/>
      <c r="P155" s="7"/>
      <c r="Q155" s="35"/>
      <c r="R155" s="35"/>
      <c r="S155" s="54">
        <f t="shared" si="33"/>
        <v>1</v>
      </c>
      <c r="T155" s="98" t="str">
        <f t="shared" si="34"/>
        <v>Southbound</v>
      </c>
      <c r="U155" s="98">
        <f>COUNTIFS(Variables!$M$2:$M$19,IF(T155="NorthBound","&gt;=","&lt;=")&amp;Y155,Variables!$M$2:$M$19,IF(T155="NorthBound","&lt;=","&gt;=")&amp;Z155)</f>
        <v>12</v>
      </c>
      <c r="V155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00:51:11-0600',mode:absolute,to:'2016-07-08 01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55" s="106" t="str">
        <f t="shared" si="36"/>
        <v>N</v>
      </c>
      <c r="X155" s="106">
        <f t="shared" si="37"/>
        <v>1</v>
      </c>
      <c r="Y155" s="106">
        <f t="shared" si="38"/>
        <v>23.296099999999999</v>
      </c>
      <c r="Z155" s="106">
        <f t="shared" si="39"/>
        <v>1.6299999999999999E-2</v>
      </c>
      <c r="AA155" s="106">
        <f t="shared" si="40"/>
        <v>23.279799999999998</v>
      </c>
      <c r="AB155" s="107" t="e">
        <f>VLOOKUP(A155,Enforcements!$C$7:$J$27,8,0)</f>
        <v>#N/A</v>
      </c>
      <c r="AC155" s="107" t="e">
        <f>VLOOKUP(A155,Enforcements!$C$7:$E$27,3,0)</f>
        <v>#N/A</v>
      </c>
      <c r="AD155" s="108" t="str">
        <f t="shared" si="41"/>
        <v>0242-07</v>
      </c>
      <c r="AE155" s="108" t="str">
        <f t="shared" si="42"/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AF155" s="108" t="str">
        <f t="shared" si="43"/>
        <v>"C:\Program Files (x86)\AstroGrep\AstroGrep.exe" /spath="C:\Users\stu\Documents\Analysis\2016-02-23 RTDC Observations" /stypes="*4037*20160708*" /stext=" 06:.+((prompt.+disp)|(slice.+state.+chan)|(ment ac)|(system.+state.+chan)|(\|lc)|(penalty)|(\[timeout))" /e /r /s</v>
      </c>
    </row>
    <row r="156" spans="1:32" x14ac:dyDescent="0.25">
      <c r="A156" s="34" t="s">
        <v>592</v>
      </c>
      <c r="B156" s="34">
        <v>4018</v>
      </c>
      <c r="C156" s="34" t="s">
        <v>60</v>
      </c>
      <c r="D156" s="34" t="s">
        <v>549</v>
      </c>
      <c r="E156" s="20">
        <v>42559.016180555554</v>
      </c>
      <c r="F156" s="20">
        <v>42559.017025462963</v>
      </c>
      <c r="G156" s="20">
        <v>1</v>
      </c>
      <c r="H156" s="20" t="s">
        <v>231</v>
      </c>
      <c r="I156" s="20">
        <v>42559.045347222222</v>
      </c>
      <c r="J156" s="34">
        <v>0</v>
      </c>
      <c r="K156" s="34" t="str">
        <f t="shared" si="30"/>
        <v>4017/4018</v>
      </c>
      <c r="L156" s="34" t="str">
        <f>VLOOKUP(A156,'Trips&amp;Operators'!$C$1:$E$10000,3,FALSE)</f>
        <v>GRASTON</v>
      </c>
      <c r="M156" s="6">
        <f t="shared" si="31"/>
        <v>2.8321759258687962E-2</v>
      </c>
      <c r="N156" s="7">
        <f t="shared" si="32"/>
        <v>40.783333332510665</v>
      </c>
      <c r="O156" s="7"/>
      <c r="P156" s="7"/>
      <c r="Q156" s="35"/>
      <c r="R156" s="35"/>
      <c r="S156" s="54">
        <f t="shared" si="33"/>
        <v>1</v>
      </c>
      <c r="T156" s="98" t="str">
        <f t="shared" si="34"/>
        <v>NorthBound</v>
      </c>
      <c r="U156" s="98">
        <f>COUNTIFS(Variables!$M$2:$M$19,IF(T156="NorthBound","&gt;=","&lt;=")&amp;Y156,Variables!$M$2:$M$19,IF(T156="NorthBound","&lt;=","&gt;=")&amp;Z156)</f>
        <v>12</v>
      </c>
      <c r="V156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00:22:18-0600',mode:absolute,to:'2016-07-08 01:06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6" s="106" t="str">
        <f t="shared" si="36"/>
        <v>N</v>
      </c>
      <c r="X156" s="106">
        <f t="shared" si="37"/>
        <v>1</v>
      </c>
      <c r="Y156" s="106">
        <f t="shared" si="38"/>
        <v>4.7300000000000002E-2</v>
      </c>
      <c r="Z156" s="106">
        <f t="shared" si="39"/>
        <v>23.331199999999999</v>
      </c>
      <c r="AA156" s="106">
        <f t="shared" si="40"/>
        <v>23.283899999999999</v>
      </c>
      <c r="AB156" s="107" t="e">
        <f>VLOOKUP(A156,Enforcements!$C$7:$J$27,8,0)</f>
        <v>#N/A</v>
      </c>
      <c r="AC156" s="107" t="e">
        <f>VLOOKUP(A156,Enforcements!$C$7:$E$27,3,0)</f>
        <v>#N/A</v>
      </c>
      <c r="AD156" s="108" t="str">
        <f t="shared" si="41"/>
        <v>0243-07</v>
      </c>
      <c r="AE156" s="108" t="str">
        <f t="shared" si="42"/>
        <v>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 &amp; aws s3 cp s3://rtdc.mdm.uploadarchive/RTDC4018/2016-07-09/ "C:\Users\stu\Documents\Analysis\2016-02-23 RTDC Observations"\RTDC4018\2016-07-09 --recursive &amp; "C:\Users\stu\Documents\GitHub\mrs-test-scripts\Headless Mode &amp; Sideloading\WalkAndUnGZ.bat" "C:\Users\stu\Documents\Analysis\2016-02-23 RTDC Observations"\RTDC4018\2016-07-09</v>
      </c>
      <c r="AF156" s="108" t="str">
        <f t="shared" si="43"/>
        <v>"C:\Program Files (x86)\AstroGrep\AstroGrep.exe" /spath="C:\Users\stu\Documents\Analysis\2016-02-23 RTDC Observations" /stypes="*4018*20160708*" /stext=" 06:.+((prompt.+disp)|(slice.+state.+chan)|(ment ac)|(system.+state.+chan)|(\|lc)|(penalty)|(\[timeout))" /e /r /s</v>
      </c>
    </row>
    <row r="157" spans="1:32" x14ac:dyDescent="0.25">
      <c r="A157" s="62" t="s">
        <v>593</v>
      </c>
      <c r="B157" s="34">
        <v>4017</v>
      </c>
      <c r="C157" s="34" t="s">
        <v>60</v>
      </c>
      <c r="D157" s="34" t="s">
        <v>506</v>
      </c>
      <c r="E157" s="20">
        <v>42559.057326388887</v>
      </c>
      <c r="F157" s="20">
        <v>42559.059039351851</v>
      </c>
      <c r="G157" s="20">
        <v>2</v>
      </c>
      <c r="H157" s="20" t="s">
        <v>86</v>
      </c>
      <c r="I157" s="20">
        <v>42559.085405092592</v>
      </c>
      <c r="J157" s="34">
        <v>0</v>
      </c>
      <c r="K157" s="34" t="str">
        <f t="shared" si="30"/>
        <v>4017/4018</v>
      </c>
      <c r="L157" s="34" t="str">
        <f>VLOOKUP(A157,'Trips&amp;Operators'!$C$1:$E$10000,3,FALSE)</f>
        <v>GRASTON</v>
      </c>
      <c r="M157" s="6">
        <f t="shared" si="31"/>
        <v>2.6365740741312038E-2</v>
      </c>
      <c r="N157" s="7">
        <f t="shared" si="32"/>
        <v>37.966666667489335</v>
      </c>
      <c r="O157" s="7"/>
      <c r="P157" s="7"/>
      <c r="Q157" s="35"/>
      <c r="R157" s="35"/>
      <c r="S157" s="54">
        <f t="shared" si="33"/>
        <v>1</v>
      </c>
      <c r="T157" s="98" t="str">
        <f t="shared" si="34"/>
        <v>Southbound</v>
      </c>
      <c r="U157" s="98">
        <f>COUNTIFS(Variables!$M$2:$M$19,IF(T157="NorthBound","&gt;=","&lt;=")&amp;Y157,Variables!$M$2:$M$19,IF(T157="NorthBound","&lt;=","&gt;=")&amp;Z157)</f>
        <v>12</v>
      </c>
      <c r="V157" s="106" t="str">
        <f t="shared" si="35"/>
        <v>https://search-rtdc-monitor-bjffxe2xuh6vdkpspy63sjmuny.us-east-1.es.amazonaws.com/_plugin/kibana/#/discover/Steve-Slow-Train-Analysis-(2080s-and-2083s)?_g=(refreshInterval:(display:Off,section:0,value:0),time:(from:'2016-07-08 01:21:33-0600',mode:absolute,to:'2016-07-08 02:03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7" s="106" t="str">
        <f t="shared" si="36"/>
        <v>N</v>
      </c>
      <c r="X157" s="106">
        <f t="shared" si="37"/>
        <v>1</v>
      </c>
      <c r="Y157" s="106">
        <f t="shared" si="38"/>
        <v>23.297999999999998</v>
      </c>
      <c r="Z157" s="106">
        <f t="shared" si="39"/>
        <v>1.5800000000000002E-2</v>
      </c>
      <c r="AA157" s="106">
        <f t="shared" si="40"/>
        <v>23.2822</v>
      </c>
      <c r="AB157" s="107" t="e">
        <f>VLOOKUP(A157,Enforcements!$C$7:$J$27,8,0)</f>
        <v>#N/A</v>
      </c>
      <c r="AC157" s="107" t="e">
        <f>VLOOKUP(A157,Enforcements!$C$7:$E$27,3,0)</f>
        <v>#N/A</v>
      </c>
      <c r="AD157" s="108" t="str">
        <f t="shared" si="41"/>
        <v>0244-07</v>
      </c>
      <c r="AE157" s="108" t="str">
        <f t="shared" si="42"/>
        <v>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 &amp; aws s3 cp s3://rtdc.mdm.uploadarchive/RTDC4017/2016-07-09/ "C:\Users\stu\Documents\Analysis\2016-02-23 RTDC Observations"\RTDC4017\2016-07-09 --recursive &amp; "C:\Users\stu\Documents\GitHub\mrs-test-scripts\Headless Mode &amp; Sideloading\WalkAndUnGZ.bat" "C:\Users\stu\Documents\Analysis\2016-02-23 RTDC Observations"\RTDC4017\2016-07-09</v>
      </c>
      <c r="AF157" s="108" t="str">
        <f t="shared" si="43"/>
        <v>"C:\Program Files (x86)\AstroGrep\AstroGrep.exe" /spath="C:\Users\stu\Documents\Analysis\2016-02-23 RTDC Observations" /stypes="*4017*20160708*" /stext=" 07:.+((prompt.+disp)|(slice.+state.+chan)|(ment ac)|(system.+state.+chan)|(\|lc)|(penalty)|(\[timeout))" /e /r /s</v>
      </c>
    </row>
    <row r="158" spans="1:32" x14ac:dyDescent="0.25">
      <c r="A158" s="34" t="s">
        <v>272</v>
      </c>
      <c r="B158" s="34">
        <v>4026</v>
      </c>
      <c r="C158" s="34" t="s">
        <v>60</v>
      </c>
      <c r="D158" s="34" t="s">
        <v>153</v>
      </c>
      <c r="E158" s="20">
        <v>42558.216168981482</v>
      </c>
      <c r="F158" s="20">
        <v>42558.217094907406</v>
      </c>
      <c r="G158" s="20">
        <v>1</v>
      </c>
      <c r="H158" s="20" t="s">
        <v>594</v>
      </c>
      <c r="I158" s="20">
        <v>42558.225624999999</v>
      </c>
      <c r="J158" s="34">
        <v>0</v>
      </c>
      <c r="K158" s="34" t="str">
        <f t="shared" ref="K154:K158" si="44">IF(ISEVEN(B158),(B158-1)&amp;"/"&amp;B158,B158&amp;"/"&amp;(B158+1))</f>
        <v>4025/4026</v>
      </c>
      <c r="L158" s="34" t="str">
        <f>VLOOKUP(A158,'Trips&amp;Operators'!$C$1:$E$10000,3,FALSE)</f>
        <v>BEAM</v>
      </c>
      <c r="M158" s="6">
        <f t="shared" ref="M154:M158" si="45">I158-F158</f>
        <v>8.5300925929914229E-3</v>
      </c>
      <c r="N158" s="7"/>
      <c r="O158" s="7"/>
      <c r="P158" s="7"/>
      <c r="Q158" s="35"/>
      <c r="R158" s="35"/>
      <c r="S158" s="54"/>
      <c r="T158" s="98"/>
      <c r="U158" s="98"/>
      <c r="V158" s="106" t="str">
        <f t="shared" ref="V158:V162" si="46"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https://search-rtdc-monitor-bjffxe2xuh6vdkpspy63sjmuny.us-east-1.es.amazonaws.com/_plugin/kibana/#/discover/Steve-Slow-Train-Analysis-(2080s-and-2083s)?_g=(refreshInterval:(display:Off,section:0,value:0),time:(from:'2016-07-07 05:10:17-0600',mode:absolute,to:'2016-07-07 05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8" s="106"/>
      <c r="X158" s="106"/>
      <c r="Y158" s="106"/>
      <c r="Z158" s="106"/>
      <c r="AA158" s="106"/>
      <c r="AB158" s="107"/>
      <c r="AC158" s="107"/>
      <c r="AD158" s="108" t="str">
        <f t="shared" ref="AD158:AD191" si="47">IF(LEN(A158)=6,"0"&amp;A158,A158)</f>
        <v>0800-07</v>
      </c>
      <c r="AE158" s="108" t="str">
        <f t="shared" ref="AE141:AE172" si="48">"aws s3 cp "&amp;s3_bucket&amp;"/RTDC"&amp;B158&amp;"/"&amp;TEXT(F158,"YYYY-MM-DD")&amp;"/ "&amp;search_path&amp;"\RTDC"&amp;B158&amp;"\"&amp;TEXT(F158,"YYYY-MM-DD")&amp;" --recursive &amp; """&amp;walkandungz&amp;""" "&amp;search_path&amp;"\RTDC"&amp;B158&amp;"\"&amp;TEXT(F158,"YYYY-MM-DD")
&amp;" &amp; "&amp;"aws s3 cp "&amp;s3_bucket&amp;"/RTDC"&amp;B158&amp;"/"&amp;TEXT(F158+1,"YYYY-MM-DD")&amp;"/ "&amp;search_path&amp;"\RTDC"&amp;B158&amp;"\"&amp;TEXT(F158+1,"YYYY-MM-DD")&amp;" --recursive &amp; """&amp;walkandungz&amp;""" "&amp;search_path&amp;"\RTDC"&amp;B158&amp;"\"&amp;TEXT(F158+1,"YYYY-MM-DD")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58" s="108" t="str">
        <f t="shared" ref="AF141:AF172" si="49">astrogrep_path&amp;" /spath="&amp;search_path&amp;" /stypes=""*"&amp;B158&amp;"*"&amp;TEXT(F158-utc_offset/24,"YYYYMMDD")&amp;"*"" /stext="" "&amp;TEXT(F158-utc_offset/24,"HH")&amp;search_regexp&amp;""" /e /r /s"</f>
        <v>"C:\Program Files (x86)\AstroGrep\AstroGrep.exe" /spath="C:\Users\stu\Documents\Analysis\2016-02-23 RTDC Observations" /stypes="*4026*20160707*" /stext=" 11:.+((prompt.+disp)|(slice.+state.+chan)|(ment ac)|(system.+state.+chan)|(\|lc)|(penalty)|(\[timeout))" /e /r /s</v>
      </c>
    </row>
    <row r="159" spans="1:32" x14ac:dyDescent="0.25">
      <c r="A159" s="34" t="s">
        <v>273</v>
      </c>
      <c r="B159" s="34">
        <v>4025</v>
      </c>
      <c r="C159" s="34" t="s">
        <v>60</v>
      </c>
      <c r="D159" s="34" t="s">
        <v>595</v>
      </c>
      <c r="E159" s="20">
        <v>42558.240243055552</v>
      </c>
      <c r="F159" s="20">
        <v>42558.241249999999</v>
      </c>
      <c r="G159" s="20">
        <v>1</v>
      </c>
      <c r="H159" s="20" t="s">
        <v>596</v>
      </c>
      <c r="I159" s="20">
        <v>42558.252766203703</v>
      </c>
      <c r="J159" s="34">
        <v>1</v>
      </c>
      <c r="K159" s="34" t="str">
        <f t="shared" ref="K159:K191" si="50">IF(ISEVEN(B159),(B159-1)&amp;"/"&amp;B159,B159&amp;"/"&amp;(B159+1))</f>
        <v>4025/4026</v>
      </c>
      <c r="L159" s="34" t="str">
        <f>VLOOKUP(A159,'Trips&amp;Operators'!$C$1:$E$10000,3,FALSE)</f>
        <v>BEAM</v>
      </c>
      <c r="M159" s="6">
        <f t="shared" ref="M159:M191" si="51">I159-F159</f>
        <v>1.1516203703649808E-2</v>
      </c>
      <c r="N159" s="7"/>
      <c r="O159" s="7"/>
      <c r="P159" s="7"/>
      <c r="Q159" s="35"/>
      <c r="R159" s="35"/>
      <c r="S159" s="54"/>
      <c r="T159" s="98"/>
      <c r="U159" s="98"/>
      <c r="V159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05:44:57-0600',mode:absolute,to:'2016-07-07 06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9" s="106"/>
      <c r="X159" s="106"/>
      <c r="Y159" s="106"/>
      <c r="Z159" s="106"/>
      <c r="AA159" s="106"/>
      <c r="AB159" s="107"/>
      <c r="AC159" s="107"/>
      <c r="AD159" s="108" t="str">
        <f t="shared" si="47"/>
        <v>0801-07</v>
      </c>
      <c r="AE159" s="108" t="str">
        <f t="shared" si="48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59" s="108" t="str">
        <f t="shared" si="49"/>
        <v>"C:\Program Files (x86)\AstroGrep\AstroGrep.exe" /spath="C:\Users\stu\Documents\Analysis\2016-02-23 RTDC Observations" /stypes="*4025*20160707*" /stext=" 11:.+((prompt.+disp)|(slice.+state.+chan)|(ment ac)|(system.+state.+chan)|(\|lc)|(penalty)|(\[timeout))" /e /r /s</v>
      </c>
    </row>
    <row r="160" spans="1:32" x14ac:dyDescent="0.25">
      <c r="A160" s="34" t="s">
        <v>309</v>
      </c>
      <c r="B160" s="34">
        <v>4026</v>
      </c>
      <c r="C160" s="34" t="s">
        <v>60</v>
      </c>
      <c r="D160" s="34" t="s">
        <v>597</v>
      </c>
      <c r="E160" s="20">
        <v>42558.256689814814</v>
      </c>
      <c r="F160" s="20">
        <v>42558.257476851853</v>
      </c>
      <c r="G160" s="20">
        <v>1</v>
      </c>
      <c r="H160" s="20" t="s">
        <v>598</v>
      </c>
      <c r="I160" s="20">
        <v>42558.266793981478</v>
      </c>
      <c r="J160" s="34">
        <v>1</v>
      </c>
      <c r="K160" s="34" t="str">
        <f t="shared" si="50"/>
        <v>4025/4026</v>
      </c>
      <c r="L160" s="34" t="str">
        <f>VLOOKUP(A160,'Trips&amp;Operators'!$C$1:$E$10000,3,FALSE)</f>
        <v>BEAM</v>
      </c>
      <c r="M160" s="6">
        <f t="shared" si="51"/>
        <v>9.3171296248328872E-3</v>
      </c>
      <c r="N160" s="7"/>
      <c r="O160" s="7"/>
      <c r="P160" s="7"/>
      <c r="Q160" s="35"/>
      <c r="R160" s="35"/>
      <c r="S160" s="54"/>
      <c r="T160" s="98"/>
      <c r="U160" s="98"/>
      <c r="V160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06:08:38-0600',mode:absolute,to:'2016-07-07 06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0" s="106"/>
      <c r="X160" s="106"/>
      <c r="Y160" s="106"/>
      <c r="Z160" s="106"/>
      <c r="AA160" s="106"/>
      <c r="AB160" s="107"/>
      <c r="AC160" s="107"/>
      <c r="AD160" s="108" t="str">
        <f t="shared" si="47"/>
        <v>0802-07</v>
      </c>
      <c r="AE160" s="108" t="str">
        <f t="shared" si="48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60" s="108" t="str">
        <f t="shared" si="49"/>
        <v>"C:\Program Files (x86)\AstroGrep\AstroGrep.exe" /spath="C:\Users\stu\Documents\Analysis\2016-02-23 RTDC Observations" /stypes="*4026*20160707*" /stext=" 12:.+((prompt.+disp)|(slice.+state.+chan)|(ment ac)|(system.+state.+chan)|(\|lc)|(penalty)|(\[timeout))" /e /r /s</v>
      </c>
    </row>
    <row r="161" spans="1:32" x14ac:dyDescent="0.25">
      <c r="A161" s="34" t="s">
        <v>311</v>
      </c>
      <c r="B161" s="34">
        <v>4040</v>
      </c>
      <c r="C161" s="34" t="s">
        <v>60</v>
      </c>
      <c r="D161" s="34" t="s">
        <v>599</v>
      </c>
      <c r="E161" s="20">
        <v>42558.255798611113</v>
      </c>
      <c r="F161" s="20">
        <v>42558.257152777776</v>
      </c>
      <c r="G161" s="20">
        <v>1</v>
      </c>
      <c r="H161" s="20" t="s">
        <v>169</v>
      </c>
      <c r="I161" s="20">
        <v>42558.275347222225</v>
      </c>
      <c r="J161" s="34">
        <v>0</v>
      </c>
      <c r="K161" s="34" t="str">
        <f t="shared" si="50"/>
        <v>4039/4040</v>
      </c>
      <c r="L161" s="34" t="str">
        <f>VLOOKUP(A161,'Trips&amp;Operators'!$C$1:$E$10000,3,FALSE)</f>
        <v>NELSON</v>
      </c>
      <c r="M161" s="6">
        <f t="shared" si="51"/>
        <v>1.8194444448454306E-2</v>
      </c>
      <c r="N161" s="7"/>
      <c r="O161" s="7"/>
      <c r="P161" s="7"/>
      <c r="Q161" s="35"/>
      <c r="R161" s="35"/>
      <c r="S161" s="54"/>
      <c r="T161" s="98"/>
      <c r="U161" s="98"/>
      <c r="V161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06:07:21-0600',mode:absolute,to:'2016-07-07 06:37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1" s="106"/>
      <c r="X161" s="106"/>
      <c r="Y161" s="106"/>
      <c r="Z161" s="106"/>
      <c r="AA161" s="106"/>
      <c r="AB161" s="107"/>
      <c r="AC161" s="107"/>
      <c r="AD161" s="108" t="str">
        <f t="shared" si="47"/>
        <v>0803-07</v>
      </c>
      <c r="AE161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61" s="108" t="str">
        <f t="shared" si="49"/>
        <v>"C:\Program Files (x86)\AstroGrep\AstroGrep.exe" /spath="C:\Users\stu\Documents\Analysis\2016-02-23 RTDC Observations" /stypes="*4040*20160707*" /stext=" 12:.+((prompt.+disp)|(slice.+state.+chan)|(ment ac)|(system.+state.+chan)|(\|lc)|(penalty)|(\[timeout))" /e /r /s</v>
      </c>
    </row>
    <row r="162" spans="1:32" x14ac:dyDescent="0.25">
      <c r="A162" s="34" t="s">
        <v>298</v>
      </c>
      <c r="B162" s="34">
        <v>4039</v>
      </c>
      <c r="C162" s="34" t="s">
        <v>60</v>
      </c>
      <c r="D162" s="34" t="s">
        <v>347</v>
      </c>
      <c r="E162" s="20">
        <v>42558.27721064815</v>
      </c>
      <c r="F162" s="20">
        <v>42558.278391203705</v>
      </c>
      <c r="G162" s="20">
        <v>1</v>
      </c>
      <c r="H162" s="20" t="s">
        <v>359</v>
      </c>
      <c r="I162" s="20">
        <v>42558.28806712963</v>
      </c>
      <c r="J162" s="34">
        <v>0</v>
      </c>
      <c r="K162" s="34" t="str">
        <f t="shared" si="50"/>
        <v>4039/4040</v>
      </c>
      <c r="L162" s="34" t="str">
        <f>VLOOKUP(A162,'Trips&amp;Operators'!$C$1:$E$10000,3,FALSE)</f>
        <v>NELSON</v>
      </c>
      <c r="M162" s="6">
        <f t="shared" si="51"/>
        <v>9.6759259249665774E-3</v>
      </c>
      <c r="N162" s="7"/>
      <c r="O162" s="7"/>
      <c r="P162" s="7"/>
      <c r="Q162" s="35"/>
      <c r="R162" s="35"/>
      <c r="S162" s="54"/>
      <c r="T162" s="98"/>
      <c r="U162" s="98"/>
      <c r="V162" s="106" t="str">
        <f t="shared" si="46"/>
        <v>https://search-rtdc-monitor-bjffxe2xuh6vdkpspy63sjmuny.us-east-1.es.amazonaws.com/_plugin/kibana/#/discover/Steve-Slow-Train-Analysis-(2080s-and-2083s)?_g=(refreshInterval:(display:Off,section:0,value:0),time:(from:'2016-07-07 06:38:11-0600',mode:absolute,to:'2016-07-07 06:55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2" s="106"/>
      <c r="X162" s="106"/>
      <c r="Y162" s="106"/>
      <c r="Z162" s="106"/>
      <c r="AA162" s="106"/>
      <c r="AB162" s="107"/>
      <c r="AC162" s="107"/>
      <c r="AD162" s="108" t="str">
        <f t="shared" si="47"/>
        <v>0804-07</v>
      </c>
      <c r="AE162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62" s="108" t="str">
        <f t="shared" si="49"/>
        <v>"C:\Program Files (x86)\AstroGrep\AstroGrep.exe" /spath="C:\Users\stu\Documents\Analysis\2016-02-23 RTDC Observations" /stypes="*4039*20160707*" /stext=" 12:.+((prompt.+disp)|(slice.+state.+chan)|(ment ac)|(system.+state.+chan)|(\|lc)|(penalty)|(\[timeout))" /e /r /s</v>
      </c>
    </row>
    <row r="163" spans="1:32" x14ac:dyDescent="0.25">
      <c r="A163" s="34" t="s">
        <v>260</v>
      </c>
      <c r="B163" s="34">
        <v>4025</v>
      </c>
      <c r="C163" s="34" t="s">
        <v>60</v>
      </c>
      <c r="D163" s="34" t="s">
        <v>600</v>
      </c>
      <c r="E163" s="20">
        <v>42558.278587962966</v>
      </c>
      <c r="F163" s="20">
        <v>42558.279351851852</v>
      </c>
      <c r="G163" s="20">
        <v>1</v>
      </c>
      <c r="H163" s="20" t="s">
        <v>601</v>
      </c>
      <c r="I163" s="20">
        <v>42558.293981481482</v>
      </c>
      <c r="J163" s="34">
        <v>0</v>
      </c>
      <c r="K163" s="34" t="str">
        <f t="shared" si="50"/>
        <v>4025/4026</v>
      </c>
      <c r="L163" s="34" t="str">
        <f>VLOOKUP(A163,'Trips&amp;Operators'!$C$1:$E$10000,3,FALSE)</f>
        <v>BEAM</v>
      </c>
      <c r="M163" s="6">
        <f t="shared" si="51"/>
        <v>1.4629629629780538E-2</v>
      </c>
      <c r="N163" s="7"/>
      <c r="O163" s="7"/>
      <c r="P163" s="7"/>
      <c r="Q163" s="35"/>
      <c r="R163" s="35"/>
      <c r="S163" s="54"/>
      <c r="T163" s="98"/>
      <c r="U163" s="98"/>
      <c r="V163" s="106" t="str">
        <f t="shared" ref="V163:V191" si="52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https://search-rtdc-monitor-bjffxe2xuh6vdkpspy63sjmuny.us-east-1.es.amazonaws.com/_plugin/kibana/#/discover/Steve-Slow-Train-Analysis-(2080s-and-2083s)?_g=(refreshInterval:(display:Off,section:0,value:0),time:(from:'2016-07-07 06:40:10-0600',mode:absolute,to:'2016-07-07 07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3" s="106"/>
      <c r="X163" s="106"/>
      <c r="Y163" s="106"/>
      <c r="Z163" s="106"/>
      <c r="AA163" s="106"/>
      <c r="AB163" s="107"/>
      <c r="AC163" s="107"/>
      <c r="AD163" s="108" t="str">
        <f t="shared" si="47"/>
        <v>0805-07</v>
      </c>
      <c r="AE163" s="108" t="str">
        <f t="shared" si="48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63" s="108" t="str">
        <f t="shared" si="49"/>
        <v>"C:\Program Files (x86)\AstroGrep\AstroGrep.exe" /spath="C:\Users\stu\Documents\Analysis\2016-02-23 RTDC Observations" /stypes="*4025*20160707*" /stext=" 12:.+((prompt.+disp)|(slice.+state.+chan)|(ment ac)|(system.+state.+chan)|(\|lc)|(penalty)|(\[timeout))" /e /r /s</v>
      </c>
    </row>
    <row r="164" spans="1:32" x14ac:dyDescent="0.25">
      <c r="A164" s="34" t="s">
        <v>276</v>
      </c>
      <c r="B164" s="34">
        <v>4026</v>
      </c>
      <c r="C164" s="34" t="s">
        <v>60</v>
      </c>
      <c r="D164" s="34" t="s">
        <v>153</v>
      </c>
      <c r="E164" s="20">
        <v>42558.296354166669</v>
      </c>
      <c r="F164" s="20">
        <v>42558.298645833333</v>
      </c>
      <c r="G164" s="20">
        <v>3</v>
      </c>
      <c r="H164" s="20" t="s">
        <v>602</v>
      </c>
      <c r="I164" s="20">
        <v>42558.308749999997</v>
      </c>
      <c r="J164" s="34">
        <v>0</v>
      </c>
      <c r="K164" s="34" t="str">
        <f t="shared" si="50"/>
        <v>4025/4026</v>
      </c>
      <c r="L164" s="34" t="str">
        <f>VLOOKUP(A164,'Trips&amp;Operators'!$C$1:$E$10000,3,FALSE)</f>
        <v>BEAM</v>
      </c>
      <c r="M164" s="6">
        <f t="shared" si="51"/>
        <v>1.0104166663950309E-2</v>
      </c>
      <c r="N164" s="7"/>
      <c r="O164" s="7"/>
      <c r="P164" s="7"/>
      <c r="Q164" s="35"/>
      <c r="R164" s="35"/>
      <c r="S164" s="54"/>
      <c r="T164" s="98"/>
      <c r="U164" s="98"/>
      <c r="V164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07:05:45-0600',mode:absolute,to:'2016-07-07 07:25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4" s="106"/>
      <c r="X164" s="106"/>
      <c r="Y164" s="106"/>
      <c r="Z164" s="106"/>
      <c r="AA164" s="106"/>
      <c r="AB164" s="107"/>
      <c r="AC164" s="107"/>
      <c r="AD164" s="108" t="str">
        <f t="shared" si="47"/>
        <v>0806-07</v>
      </c>
      <c r="AE164" s="108" t="str">
        <f t="shared" si="48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64" s="108" t="str">
        <f t="shared" si="49"/>
        <v>"C:\Program Files (x86)\AstroGrep\AstroGrep.exe" /spath="C:\Users\stu\Documents\Analysis\2016-02-23 RTDC Observations" /stypes="*4026*20160707*" /stext=" 13:.+((prompt.+disp)|(slice.+state.+chan)|(ment ac)|(system.+state.+chan)|(\|lc)|(penalty)|(\[timeout))" /e /r /s</v>
      </c>
    </row>
    <row r="165" spans="1:32" x14ac:dyDescent="0.25">
      <c r="A165" s="34" t="s">
        <v>603</v>
      </c>
      <c r="B165" s="34">
        <v>4040</v>
      </c>
      <c r="C165" s="34" t="s">
        <v>60</v>
      </c>
      <c r="D165" s="34" t="s">
        <v>604</v>
      </c>
      <c r="E165" s="20">
        <v>42558.299039351848</v>
      </c>
      <c r="F165" s="20">
        <v>42558.300196759257</v>
      </c>
      <c r="G165" s="20">
        <v>1</v>
      </c>
      <c r="H165" s="20" t="s">
        <v>214</v>
      </c>
      <c r="I165" s="20">
        <v>42558.315625000003</v>
      </c>
      <c r="J165" s="34">
        <v>1</v>
      </c>
      <c r="K165" s="34" t="str">
        <f t="shared" si="50"/>
        <v>4039/4040</v>
      </c>
      <c r="L165" s="34" t="str">
        <f>VLOOKUP(A165,'Trips&amp;Operators'!$C$1:$E$10000,3,FALSE)</f>
        <v>NELSON</v>
      </c>
      <c r="M165" s="6">
        <f t="shared" si="51"/>
        <v>1.5428240745677613E-2</v>
      </c>
      <c r="N165" s="7"/>
      <c r="O165" s="7"/>
      <c r="P165" s="7"/>
      <c r="Q165" s="35"/>
      <c r="R165" s="35"/>
      <c r="S165" s="54"/>
      <c r="T165" s="98"/>
      <c r="U165" s="98"/>
      <c r="V165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07:09:37-0600',mode:absolute,to:'2016-07-07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5" s="106"/>
      <c r="X165" s="106"/>
      <c r="Y165" s="106"/>
      <c r="Z165" s="106"/>
      <c r="AA165" s="106"/>
      <c r="AB165" s="107"/>
      <c r="AC165" s="107"/>
      <c r="AD165" s="108" t="str">
        <f t="shared" si="47"/>
        <v>0807-07</v>
      </c>
      <c r="AE165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65" s="108" t="str">
        <f t="shared" si="49"/>
        <v>"C:\Program Files (x86)\AstroGrep\AstroGrep.exe" /spath="C:\Users\stu\Documents\Analysis\2016-02-23 RTDC Observations" /stypes="*4040*20160707*" /stext=" 13:.+((prompt.+disp)|(slice.+state.+chan)|(ment ac)|(system.+state.+chan)|(\|lc)|(penalty)|(\[timeout))" /e /r /s</v>
      </c>
    </row>
    <row r="166" spans="1:32" x14ac:dyDescent="0.25">
      <c r="A166" s="34" t="s">
        <v>605</v>
      </c>
      <c r="B166" s="34">
        <v>4039</v>
      </c>
      <c r="C166" s="34" t="s">
        <v>60</v>
      </c>
      <c r="D166" s="34" t="s">
        <v>606</v>
      </c>
      <c r="E166" s="20">
        <v>42558.317280092589</v>
      </c>
      <c r="F166" s="20">
        <v>42558.318159722221</v>
      </c>
      <c r="G166" s="20">
        <v>1</v>
      </c>
      <c r="H166" s="20" t="s">
        <v>213</v>
      </c>
      <c r="I166" s="20">
        <v>42558.330659722225</v>
      </c>
      <c r="J166" s="34">
        <v>0</v>
      </c>
      <c r="K166" s="34" t="str">
        <f t="shared" si="50"/>
        <v>4039/4040</v>
      </c>
      <c r="L166" s="34" t="str">
        <f>VLOOKUP(A166,'Trips&amp;Operators'!$C$1:$E$10000,3,FALSE)</f>
        <v>NELSON</v>
      </c>
      <c r="M166" s="6">
        <f t="shared" si="51"/>
        <v>1.2500000004365575E-2</v>
      </c>
      <c r="N166" s="7"/>
      <c r="O166" s="7"/>
      <c r="P166" s="7"/>
      <c r="Q166" s="35"/>
      <c r="R166" s="35"/>
      <c r="S166" s="54"/>
      <c r="T166" s="98"/>
      <c r="U166" s="98"/>
      <c r="V166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07:35:53-0600',mode:absolute,to:'2016-07-07 07:57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6" s="106"/>
      <c r="X166" s="106"/>
      <c r="Y166" s="106"/>
      <c r="Z166" s="106"/>
      <c r="AA166" s="106"/>
      <c r="AB166" s="107"/>
      <c r="AC166" s="107"/>
      <c r="AD166" s="108" t="str">
        <f t="shared" si="47"/>
        <v>0808-07</v>
      </c>
      <c r="AE166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66" s="108" t="str">
        <f t="shared" si="49"/>
        <v>"C:\Program Files (x86)\AstroGrep\AstroGrep.exe" /spath="C:\Users\stu\Documents\Analysis\2016-02-23 RTDC Observations" /stypes="*4039*20160707*" /stext=" 13:.+((prompt.+disp)|(slice.+state.+chan)|(ment ac)|(system.+state.+chan)|(\|lc)|(penalty)|(\[timeout))" /e /r /s</v>
      </c>
    </row>
    <row r="167" spans="1:32" x14ac:dyDescent="0.25">
      <c r="A167" s="34" t="s">
        <v>607</v>
      </c>
      <c r="B167" s="34">
        <v>4025</v>
      </c>
      <c r="C167" s="34" t="s">
        <v>60</v>
      </c>
      <c r="D167" s="34" t="s">
        <v>608</v>
      </c>
      <c r="E167" s="20">
        <v>42558.324444444443</v>
      </c>
      <c r="F167" s="20">
        <v>42558.325162037036</v>
      </c>
      <c r="G167" s="20">
        <v>1</v>
      </c>
      <c r="H167" s="20" t="s">
        <v>346</v>
      </c>
      <c r="I167" s="20">
        <v>42558.336747685185</v>
      </c>
      <c r="J167" s="34">
        <v>2</v>
      </c>
      <c r="K167" s="34" t="str">
        <f t="shared" si="50"/>
        <v>4025/4026</v>
      </c>
      <c r="L167" s="34" t="str">
        <f>VLOOKUP(A167,'Trips&amp;Operators'!$C$1:$E$10000,3,FALSE)</f>
        <v>BEAM</v>
      </c>
      <c r="M167" s="6">
        <f t="shared" si="51"/>
        <v>1.1585648149775807E-2</v>
      </c>
      <c r="N167" s="7"/>
      <c r="O167" s="7"/>
      <c r="P167" s="7"/>
      <c r="Q167" s="35"/>
      <c r="R167" s="35"/>
      <c r="S167" s="54"/>
      <c r="T167" s="98"/>
      <c r="U167" s="98"/>
      <c r="V167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67" s="106"/>
      <c r="X167" s="106"/>
      <c r="Y167" s="106"/>
      <c r="Z167" s="106"/>
      <c r="AA167" s="106"/>
      <c r="AB167" s="107"/>
      <c r="AC167" s="107"/>
      <c r="AD167" s="108" t="str">
        <f t="shared" si="47"/>
        <v>0809-07</v>
      </c>
      <c r="AE167" s="108" t="str">
        <f t="shared" si="48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67" s="108" t="str">
        <f t="shared" si="49"/>
        <v>"C:\Program Files (x86)\AstroGrep\AstroGrep.exe" /spath="C:\Users\stu\Documents\Analysis\2016-02-23 RTDC Observations" /stypes="*4025*20160707*" /stext=" 13:.+((prompt.+disp)|(slice.+state.+chan)|(ment ac)|(system.+state.+chan)|(\|lc)|(penalty)|(\[timeout))" /e /r /s</v>
      </c>
    </row>
    <row r="168" spans="1:32" x14ac:dyDescent="0.25">
      <c r="A168" s="34" t="s">
        <v>609</v>
      </c>
      <c r="B168" s="34">
        <v>4026</v>
      </c>
      <c r="C168" s="34" t="s">
        <v>60</v>
      </c>
      <c r="D168" s="34" t="s">
        <v>610</v>
      </c>
      <c r="E168" s="20">
        <v>42558.340775462966</v>
      </c>
      <c r="F168" s="20">
        <v>42558.341423611113</v>
      </c>
      <c r="G168" s="20">
        <v>0</v>
      </c>
      <c r="H168" s="20" t="s">
        <v>611</v>
      </c>
      <c r="I168" s="20">
        <v>42558.347129629627</v>
      </c>
      <c r="J168" s="34">
        <v>1</v>
      </c>
      <c r="K168" s="34" t="str">
        <f t="shared" si="50"/>
        <v>4025/4026</v>
      </c>
      <c r="L168" s="34" t="str">
        <f>VLOOKUP(A168,'Trips&amp;Operators'!$C$1:$E$10000,3,FALSE)</f>
        <v>BEAM</v>
      </c>
      <c r="M168" s="6">
        <f t="shared" si="51"/>
        <v>5.7060185135924257E-3</v>
      </c>
      <c r="N168" s="7"/>
      <c r="O168" s="7"/>
      <c r="P168" s="7"/>
      <c r="Q168" s="35"/>
      <c r="R168" s="35"/>
      <c r="S168" s="54"/>
      <c r="T168" s="98"/>
      <c r="U168" s="98"/>
      <c r="V168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08:09:43-0600',mode:absolute,to:'2016-07-07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68" s="106"/>
      <c r="X168" s="106"/>
      <c r="Y168" s="106"/>
      <c r="Z168" s="106"/>
      <c r="AA168" s="106"/>
      <c r="AB168" s="107"/>
      <c r="AC168" s="107"/>
      <c r="AD168" s="108" t="str">
        <f t="shared" si="47"/>
        <v>0810-07</v>
      </c>
      <c r="AE168" s="108" t="str">
        <f t="shared" si="48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68" s="108" t="str">
        <f t="shared" si="49"/>
        <v>"C:\Program Files (x86)\AstroGrep\AstroGrep.exe" /spath="C:\Users\stu\Documents\Analysis\2016-02-23 RTDC Observations" /stypes="*4026*20160707*" /stext=" 14:.+((prompt.+disp)|(slice.+state.+chan)|(ment ac)|(system.+state.+chan)|(\|lc)|(penalty)|(\[timeout))" /e /r /s</v>
      </c>
    </row>
    <row r="169" spans="1:32" x14ac:dyDescent="0.25">
      <c r="A169" s="34" t="s">
        <v>612</v>
      </c>
      <c r="B169" s="34">
        <v>4040</v>
      </c>
      <c r="C169" s="34" t="s">
        <v>60</v>
      </c>
      <c r="D169" s="34" t="s">
        <v>349</v>
      </c>
      <c r="E169" s="20">
        <v>42558.336562500001</v>
      </c>
      <c r="F169" s="20">
        <v>42558.337418981479</v>
      </c>
      <c r="G169" s="20">
        <v>1</v>
      </c>
      <c r="H169" s="20" t="s">
        <v>361</v>
      </c>
      <c r="I169" s="20">
        <v>42558.358391203707</v>
      </c>
      <c r="J169" s="34">
        <v>2</v>
      </c>
      <c r="K169" s="34" t="str">
        <f t="shared" si="50"/>
        <v>4039/4040</v>
      </c>
      <c r="L169" s="34" t="str">
        <f>VLOOKUP(A169,'Trips&amp;Operators'!$C$1:$E$10000,3,FALSE)</f>
        <v>NELSON</v>
      </c>
      <c r="M169" s="6">
        <f t="shared" si="51"/>
        <v>2.0972222228010651E-2</v>
      </c>
      <c r="N169" s="7"/>
      <c r="O169" s="7"/>
      <c r="P169" s="7"/>
      <c r="Q169" s="35"/>
      <c r="R169" s="35"/>
      <c r="S169" s="54"/>
      <c r="T169" s="98"/>
      <c r="U169" s="98"/>
      <c r="V169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9" s="106"/>
      <c r="X169" s="106"/>
      <c r="Y169" s="106"/>
      <c r="Z169" s="106"/>
      <c r="AA169" s="106"/>
      <c r="AB169" s="107"/>
      <c r="AC169" s="107"/>
      <c r="AD169" s="108" t="str">
        <f t="shared" si="47"/>
        <v>0811-07</v>
      </c>
      <c r="AE169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69" s="108" t="str">
        <f t="shared" si="49"/>
        <v>"C:\Program Files (x86)\AstroGrep\AstroGrep.exe" /spath="C:\Users\stu\Documents\Analysis\2016-02-23 RTDC Observations" /stypes="*4040*20160707*" /stext=" 14:.+((prompt.+disp)|(slice.+state.+chan)|(ment ac)|(system.+state.+chan)|(\|lc)|(penalty)|(\[timeout))" /e /r /s</v>
      </c>
    </row>
    <row r="170" spans="1:32" x14ac:dyDescent="0.25">
      <c r="A170" s="34" t="s">
        <v>613</v>
      </c>
      <c r="B170" s="34">
        <v>4039</v>
      </c>
      <c r="C170" s="34" t="s">
        <v>60</v>
      </c>
      <c r="D170" s="34" t="s">
        <v>614</v>
      </c>
      <c r="E170" s="20">
        <v>42558.360243055555</v>
      </c>
      <c r="F170" s="20">
        <v>42558.361203703702</v>
      </c>
      <c r="G170" s="20">
        <v>1</v>
      </c>
      <c r="H170" s="20" t="s">
        <v>615</v>
      </c>
      <c r="I170" s="20">
        <v>42558.371331018519</v>
      </c>
      <c r="J170" s="34">
        <v>0</v>
      </c>
      <c r="K170" s="34" t="str">
        <f t="shared" si="50"/>
        <v>4039/4040</v>
      </c>
      <c r="L170" s="34" t="str">
        <f>VLOOKUP(A170,'Trips&amp;Operators'!$C$1:$E$10000,3,FALSE)</f>
        <v>NELSON</v>
      </c>
      <c r="M170" s="6">
        <f t="shared" si="51"/>
        <v>1.0127314817509614E-2</v>
      </c>
      <c r="N170" s="7"/>
      <c r="O170" s="7"/>
      <c r="P170" s="7"/>
      <c r="Q170" s="35"/>
      <c r="R170" s="35"/>
      <c r="S170" s="54"/>
      <c r="T170" s="98"/>
      <c r="U170" s="98"/>
      <c r="V170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08:37:45-0600',mode:absolute,to:'2016-07-07 08:55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0" s="106"/>
      <c r="X170" s="106"/>
      <c r="Y170" s="106"/>
      <c r="Z170" s="106"/>
      <c r="AA170" s="106"/>
      <c r="AB170" s="107"/>
      <c r="AC170" s="107"/>
      <c r="AD170" s="108" t="str">
        <f t="shared" si="47"/>
        <v>0812-07</v>
      </c>
      <c r="AE170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0" s="108" t="str">
        <f t="shared" si="49"/>
        <v>"C:\Program Files (x86)\AstroGrep\AstroGrep.exe" /spath="C:\Users\stu\Documents\Analysis\2016-02-23 RTDC Observations" /stypes="*4039*20160707*" /stext=" 14:.+((prompt.+disp)|(slice.+state.+chan)|(ment ac)|(system.+state.+chan)|(\|lc)|(penalty)|(\[timeout))" /e /r /s</v>
      </c>
    </row>
    <row r="171" spans="1:32" x14ac:dyDescent="0.25">
      <c r="A171" s="34" t="s">
        <v>616</v>
      </c>
      <c r="B171" s="64">
        <v>4040</v>
      </c>
      <c r="C171" s="64" t="s">
        <v>60</v>
      </c>
      <c r="D171" s="64" t="s">
        <v>617</v>
      </c>
      <c r="E171" s="70">
        <v>42558.378148148149</v>
      </c>
      <c r="F171" s="70">
        <v>42558.378900462965</v>
      </c>
      <c r="G171" s="71">
        <v>1</v>
      </c>
      <c r="H171" s="70" t="s">
        <v>214</v>
      </c>
      <c r="I171" s="70">
        <v>42558.399108796293</v>
      </c>
      <c r="J171" s="64">
        <v>0</v>
      </c>
      <c r="K171" s="34" t="str">
        <f t="shared" si="50"/>
        <v>4039/4040</v>
      </c>
      <c r="L171" s="34" t="str">
        <f>VLOOKUP(A171,'Trips&amp;Operators'!$C$1:$E$10000,3,FALSE)</f>
        <v>NELSON</v>
      </c>
      <c r="M171" s="6">
        <f t="shared" si="51"/>
        <v>2.0208333327900618E-2</v>
      </c>
      <c r="N171" s="7"/>
      <c r="O171" s="7"/>
      <c r="P171" s="7"/>
      <c r="Q171" s="35"/>
      <c r="R171" s="35"/>
      <c r="S171" s="54"/>
      <c r="T171" s="98"/>
      <c r="U171" s="98"/>
      <c r="V171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09:03:32-0600',mode:absolute,to:'2016-07-07 09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1" s="106"/>
      <c r="X171" s="106"/>
      <c r="Y171" s="106"/>
      <c r="Z171" s="106"/>
      <c r="AA171" s="106"/>
      <c r="AB171" s="107"/>
      <c r="AC171" s="107"/>
      <c r="AD171" s="108" t="str">
        <f t="shared" si="47"/>
        <v>0813-07</v>
      </c>
      <c r="AE171" s="108" t="str">
        <f t="shared" si="48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1" s="108" t="str">
        <f t="shared" si="49"/>
        <v>"C:\Program Files (x86)\AstroGrep\AstroGrep.exe" /spath="C:\Users\stu\Documents\Analysis\2016-02-23 RTDC Observations" /stypes="*4040*20160707*" /stext=" 15:.+((prompt.+disp)|(slice.+state.+chan)|(ment ac)|(system.+state.+chan)|(\|lc)|(penalty)|(\[timeout))" /e /r /s</v>
      </c>
    </row>
    <row r="172" spans="1:32" x14ac:dyDescent="0.25">
      <c r="A172" s="62" t="s">
        <v>618</v>
      </c>
      <c r="B172" s="34">
        <v>4039</v>
      </c>
      <c r="C172" s="34" t="s">
        <v>60</v>
      </c>
      <c r="D172" s="34" t="s">
        <v>610</v>
      </c>
      <c r="E172" s="20">
        <v>42558.400671296295</v>
      </c>
      <c r="F172" s="20">
        <v>42558.401770833334</v>
      </c>
      <c r="G172" s="20">
        <v>1</v>
      </c>
      <c r="H172" s="20" t="s">
        <v>619</v>
      </c>
      <c r="I172" s="20">
        <v>42558.413032407407</v>
      </c>
      <c r="J172" s="34">
        <v>0</v>
      </c>
      <c r="K172" s="34" t="str">
        <f t="shared" si="50"/>
        <v>4039/4040</v>
      </c>
      <c r="L172" s="34" t="str">
        <f>VLOOKUP(A172,'Trips&amp;Operators'!$C$1:$E$10000,3,FALSE)</f>
        <v>NELSON</v>
      </c>
      <c r="M172" s="6">
        <f t="shared" si="51"/>
        <v>1.1261574072705116E-2</v>
      </c>
      <c r="N172" s="7"/>
      <c r="O172" s="7"/>
      <c r="P172" s="7"/>
      <c r="Q172" s="35"/>
      <c r="R172" s="35"/>
      <c r="S172" s="54"/>
      <c r="T172" s="98"/>
      <c r="U172" s="98"/>
      <c r="V172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09:35:58-0600',mode:absolute,to:'2016-07-07 09:55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2" s="106"/>
      <c r="X172" s="106"/>
      <c r="Y172" s="106"/>
      <c r="Z172" s="106"/>
      <c r="AA172" s="106"/>
      <c r="AB172" s="107"/>
      <c r="AC172" s="107"/>
      <c r="AD172" s="108" t="str">
        <f t="shared" si="47"/>
        <v>0814-07</v>
      </c>
      <c r="AE172" s="108" t="str">
        <f t="shared" si="48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2" s="108" t="str">
        <f t="shared" si="49"/>
        <v>"C:\Program Files (x86)\AstroGrep\AstroGrep.exe" /spath="C:\Users\stu\Documents\Analysis\2016-02-23 RTDC Observations" /stypes="*4039*20160707*" /stext=" 15:.+((prompt.+disp)|(slice.+state.+chan)|(ment ac)|(system.+state.+chan)|(\|lc)|(penalty)|(\[timeout))" /e /r /s</v>
      </c>
    </row>
    <row r="173" spans="1:32" x14ac:dyDescent="0.25">
      <c r="A173" s="34" t="s">
        <v>620</v>
      </c>
      <c r="B173" s="64">
        <v>4040</v>
      </c>
      <c r="C173" s="64" t="s">
        <v>60</v>
      </c>
      <c r="D173" s="64" t="s">
        <v>621</v>
      </c>
      <c r="E173" s="70">
        <v>42558.425833333335</v>
      </c>
      <c r="F173" s="70">
        <v>42558.426863425928</v>
      </c>
      <c r="G173" s="71">
        <v>1</v>
      </c>
      <c r="H173" s="70" t="s">
        <v>356</v>
      </c>
      <c r="I173" s="70">
        <v>42558.440428240741</v>
      </c>
      <c r="J173" s="64">
        <v>0</v>
      </c>
      <c r="K173" s="34" t="str">
        <f t="shared" si="50"/>
        <v>4039/4040</v>
      </c>
      <c r="L173" s="34" t="str">
        <f>VLOOKUP(A173,'Trips&amp;Operators'!$C$1:$E$10000,3,FALSE)</f>
        <v>NELSON</v>
      </c>
      <c r="M173" s="6">
        <f t="shared" si="51"/>
        <v>1.3564814813435078E-2</v>
      </c>
      <c r="N173" s="7"/>
      <c r="O173" s="7"/>
      <c r="P173" s="7"/>
      <c r="Q173" s="35"/>
      <c r="R173" s="35"/>
      <c r="S173" s="54"/>
      <c r="T173" s="98"/>
      <c r="U173" s="98"/>
      <c r="V173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10:12:12-0600',mode:absolute,to:'2016-07-07 10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3" s="106"/>
      <c r="X173" s="106"/>
      <c r="Y173" s="106"/>
      <c r="Z173" s="106"/>
      <c r="AA173" s="106"/>
      <c r="AB173" s="107"/>
      <c r="AC173" s="107"/>
      <c r="AD173" s="108" t="str">
        <f t="shared" si="47"/>
        <v>0815-07</v>
      </c>
      <c r="AE173" s="108" t="str">
        <f t="shared" ref="AE173:AE208" si="53">"aws s3 cp "&amp;s3_bucket&amp;"/RTDC"&amp;B173&amp;"/"&amp;TEXT(F173,"YYYY-MM-DD")&amp;"/ "&amp;search_path&amp;"\RTDC"&amp;B173&amp;"\"&amp;TEXT(F173,"YYYY-MM-DD")&amp;" --recursive &amp; """&amp;walkandungz&amp;""" "&amp;search_path&amp;"\RTDC"&amp;B173&amp;"\"&amp;TEXT(F173,"YYYY-MM-DD")
&amp;" &amp; "&amp;"aws s3 cp "&amp;s3_bucket&amp;"/RTDC"&amp;B173&amp;"/"&amp;TEXT(F173+1,"YYYY-MM-DD")&amp;"/ "&amp;search_path&amp;"\RTDC"&amp;B173&amp;"\"&amp;TEXT(F173+1,"YYYY-MM-DD")&amp;" --recursive &amp; """&amp;walkandungz&amp;""" "&amp;search_path&amp;"\RTDC"&amp;B173&amp;"\"&amp;TEXT(F173+1,"YYYY-MM-DD")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3" s="108" t="str">
        <f t="shared" ref="AF173:AF208" si="54">astrogrep_path&amp;" /spath="&amp;search_path&amp;" /stypes=""*"&amp;B173&amp;"*"&amp;TEXT(F173-utc_offset/24,"YYYYMMDD")&amp;"*"" /stext="" "&amp;TEXT(F173-utc_offset/24,"HH")&amp;search_regexp&amp;""" /e /r /s"</f>
        <v>"C:\Program Files (x86)\AstroGrep\AstroGrep.exe" /spath="C:\Users\stu\Documents\Analysis\2016-02-23 RTDC Observations" /stypes="*4040*20160707*" /stext=" 16:.+((prompt.+disp)|(slice.+state.+chan)|(ment ac)|(system.+state.+chan)|(\|lc)|(penalty)|(\[timeout))" /e /r /s</v>
      </c>
    </row>
    <row r="174" spans="1:32" x14ac:dyDescent="0.25">
      <c r="A174" s="34" t="s">
        <v>622</v>
      </c>
      <c r="B174" s="64">
        <v>4039</v>
      </c>
      <c r="C174" s="64" t="s">
        <v>60</v>
      </c>
      <c r="D174" s="64" t="s">
        <v>606</v>
      </c>
      <c r="E174" s="70">
        <v>42558.442418981482</v>
      </c>
      <c r="F174" s="70">
        <v>42558.44332175926</v>
      </c>
      <c r="G174" s="71">
        <v>1</v>
      </c>
      <c r="H174" s="70" t="s">
        <v>623</v>
      </c>
      <c r="I174" s="70">
        <v>42558.454467592594</v>
      </c>
      <c r="J174" s="64">
        <v>0</v>
      </c>
      <c r="K174" s="34" t="str">
        <f t="shared" si="50"/>
        <v>4039/4040</v>
      </c>
      <c r="L174" s="34" t="str">
        <f>VLOOKUP(A174,'Trips&amp;Operators'!$C$1:$E$10000,3,FALSE)</f>
        <v>NELSON</v>
      </c>
      <c r="M174" s="6">
        <f t="shared" si="51"/>
        <v>1.1145833334012423E-2</v>
      </c>
      <c r="N174" s="7"/>
      <c r="O174" s="7"/>
      <c r="P174" s="7"/>
      <c r="Q174" s="35"/>
      <c r="R174" s="35"/>
      <c r="S174" s="54"/>
      <c r="T174" s="98"/>
      <c r="U174" s="98"/>
      <c r="V174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10:36:05-0600',mode:absolute,to:'2016-07-07 10:55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4" s="106"/>
      <c r="X174" s="106"/>
      <c r="Y174" s="106"/>
      <c r="Z174" s="106"/>
      <c r="AA174" s="106"/>
      <c r="AB174" s="107"/>
      <c r="AC174" s="107"/>
      <c r="AD174" s="108" t="str">
        <f t="shared" si="47"/>
        <v>0816-07</v>
      </c>
      <c r="AE174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4" s="108" t="str">
        <f t="shared" si="54"/>
        <v>"C:\Program Files (x86)\AstroGrep\AstroGrep.exe" /spath="C:\Users\stu\Documents\Analysis\2016-02-23 RTDC Observations" /stypes="*4039*20160707*" /stext=" 16:.+((prompt.+disp)|(slice.+state.+chan)|(ment ac)|(system.+state.+chan)|(\|lc)|(penalty)|(\[timeout))" /e /r /s</v>
      </c>
    </row>
    <row r="175" spans="1:32" x14ac:dyDescent="0.25">
      <c r="A175" s="34" t="s">
        <v>624</v>
      </c>
      <c r="B175" s="64">
        <v>4040</v>
      </c>
      <c r="C175" s="64" t="s">
        <v>60</v>
      </c>
      <c r="D175" s="64" t="s">
        <v>625</v>
      </c>
      <c r="E175" s="70">
        <v>42558.466377314813</v>
      </c>
      <c r="F175" s="70">
        <v>42558.467199074075</v>
      </c>
      <c r="G175" s="71">
        <v>1</v>
      </c>
      <c r="H175" s="70" t="s">
        <v>356</v>
      </c>
      <c r="I175" s="70">
        <v>42558.48400462963</v>
      </c>
      <c r="J175" s="64">
        <v>0</v>
      </c>
      <c r="K175" s="34" t="str">
        <f t="shared" si="50"/>
        <v>4039/4040</v>
      </c>
      <c r="L175" s="34" t="str">
        <f>VLOOKUP(A175,'Trips&amp;Operators'!$C$1:$E$10000,3,FALSE)</f>
        <v>NELSON</v>
      </c>
      <c r="M175" s="6">
        <f t="shared" si="51"/>
        <v>1.6805555555038154E-2</v>
      </c>
      <c r="N175" s="7"/>
      <c r="O175" s="7"/>
      <c r="P175" s="7"/>
      <c r="Q175" s="35"/>
      <c r="R175" s="35"/>
      <c r="S175" s="54"/>
      <c r="T175" s="98"/>
      <c r="U175" s="98"/>
      <c r="V175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11:10:35-0600',mode:absolute,to:'2016-07-07 11:37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5" s="106"/>
      <c r="X175" s="106"/>
      <c r="Y175" s="106"/>
      <c r="Z175" s="106"/>
      <c r="AA175" s="106"/>
      <c r="AB175" s="107"/>
      <c r="AC175" s="107"/>
      <c r="AD175" s="108" t="str">
        <f t="shared" si="47"/>
        <v>0817-07</v>
      </c>
      <c r="AE175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5" s="108" t="str">
        <f t="shared" si="54"/>
        <v>"C:\Program Files (x86)\AstroGrep\AstroGrep.exe" /spath="C:\Users\stu\Documents\Analysis\2016-02-23 RTDC Observations" /stypes="*4040*20160707*" /stext=" 17:.+((prompt.+disp)|(slice.+state.+chan)|(ment ac)|(system.+state.+chan)|(\|lc)|(penalty)|(\[timeout))" /e /r /s</v>
      </c>
    </row>
    <row r="176" spans="1:32" x14ac:dyDescent="0.25">
      <c r="A176" s="34" t="s">
        <v>626</v>
      </c>
      <c r="B176" s="64">
        <v>4039</v>
      </c>
      <c r="C176" s="64" t="s">
        <v>60</v>
      </c>
      <c r="D176" s="64" t="s">
        <v>153</v>
      </c>
      <c r="E176" s="70">
        <v>42558.486111111109</v>
      </c>
      <c r="F176" s="70">
        <v>42558.486909722225</v>
      </c>
      <c r="G176" s="71">
        <v>1</v>
      </c>
      <c r="H176" s="70" t="s">
        <v>359</v>
      </c>
      <c r="I176" s="70">
        <v>42558.49763888889</v>
      </c>
      <c r="J176" s="64">
        <v>3</v>
      </c>
      <c r="K176" s="34" t="str">
        <f t="shared" si="50"/>
        <v>4039/4040</v>
      </c>
      <c r="L176" s="34" t="str">
        <f>VLOOKUP(A176,'Trips&amp;Operators'!$C$1:$E$10000,3,FALSE)</f>
        <v>NELSON</v>
      </c>
      <c r="M176" s="6">
        <f t="shared" si="51"/>
        <v>1.0729166664532386E-2</v>
      </c>
      <c r="N176" s="7"/>
      <c r="O176" s="7"/>
      <c r="P176" s="7"/>
      <c r="Q176" s="35"/>
      <c r="R176" s="35"/>
      <c r="S176" s="54"/>
      <c r="T176" s="98"/>
      <c r="U176" s="98"/>
      <c r="V176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6" s="106"/>
      <c r="X176" s="106"/>
      <c r="Y176" s="106"/>
      <c r="Z176" s="106"/>
      <c r="AA176" s="106"/>
      <c r="AB176" s="107"/>
      <c r="AC176" s="107"/>
      <c r="AD176" s="108" t="str">
        <f t="shared" si="47"/>
        <v>0818-07</v>
      </c>
      <c r="AE176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6" s="108" t="str">
        <f t="shared" si="54"/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</row>
    <row r="177" spans="1:32" x14ac:dyDescent="0.25">
      <c r="A177" s="34" t="s">
        <v>627</v>
      </c>
      <c r="B177" s="64">
        <v>4040</v>
      </c>
      <c r="C177" s="64" t="s">
        <v>60</v>
      </c>
      <c r="D177" s="64" t="s">
        <v>625</v>
      </c>
      <c r="E177" s="70">
        <v>42558.508298611108</v>
      </c>
      <c r="F177" s="70">
        <v>42558.510428240741</v>
      </c>
      <c r="G177" s="71">
        <v>3</v>
      </c>
      <c r="H177" s="70" t="s">
        <v>628</v>
      </c>
      <c r="I177" s="70">
        <v>42558.52306712963</v>
      </c>
      <c r="J177" s="64">
        <v>0</v>
      </c>
      <c r="K177" s="34" t="str">
        <f t="shared" si="50"/>
        <v>4039/4040</v>
      </c>
      <c r="L177" s="34" t="str">
        <f>VLOOKUP(A177,'Trips&amp;Operators'!$C$1:$E$10000,3,FALSE)</f>
        <v>NELSON</v>
      </c>
      <c r="M177" s="6">
        <f t="shared" si="51"/>
        <v>1.2638888889341615E-2</v>
      </c>
      <c r="N177" s="7"/>
      <c r="O177" s="7"/>
      <c r="P177" s="7"/>
      <c r="Q177" s="35"/>
      <c r="R177" s="35"/>
      <c r="S177" s="54"/>
      <c r="T177" s="98"/>
      <c r="U177" s="98"/>
      <c r="V177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7" s="106"/>
      <c r="X177" s="106"/>
      <c r="Y177" s="106"/>
      <c r="Z177" s="106"/>
      <c r="AA177" s="106"/>
      <c r="AB177" s="107"/>
      <c r="AC177" s="107"/>
      <c r="AD177" s="108" t="str">
        <f t="shared" si="47"/>
        <v>0819-07</v>
      </c>
      <c r="AE177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7" s="108" t="str">
        <f t="shared" si="54"/>
        <v>"C:\Program Files (x86)\AstroGrep\AstroGrep.exe" /spath="C:\Users\stu\Documents\Analysis\2016-02-23 RTDC Observations" /stypes="*4040*20160707*" /stext=" 18:.+((prompt.+disp)|(slice.+state.+chan)|(ment ac)|(system.+state.+chan)|(\|lc)|(penalty)|(\[timeout))" /e /r /s</v>
      </c>
    </row>
    <row r="178" spans="1:32" x14ac:dyDescent="0.25">
      <c r="A178" s="34" t="s">
        <v>629</v>
      </c>
      <c r="B178" s="64">
        <v>4039</v>
      </c>
      <c r="C178" s="64" t="s">
        <v>60</v>
      </c>
      <c r="D178" s="64" t="s">
        <v>630</v>
      </c>
      <c r="E178" s="70">
        <v>42558.528645833336</v>
      </c>
      <c r="F178" s="70">
        <v>42558.529537037037</v>
      </c>
      <c r="G178" s="71">
        <v>1</v>
      </c>
      <c r="H178" s="70" t="s">
        <v>631</v>
      </c>
      <c r="I178" s="70">
        <v>42558.538402777776</v>
      </c>
      <c r="J178" s="64">
        <v>0</v>
      </c>
      <c r="K178" s="34" t="str">
        <f t="shared" si="50"/>
        <v>4039/4040</v>
      </c>
      <c r="L178" s="34" t="str">
        <f>VLOOKUP(A178,'Trips&amp;Operators'!$C$1:$E$10000,3,FALSE)</f>
        <v>NELSON</v>
      </c>
      <c r="M178" s="6">
        <f t="shared" si="51"/>
        <v>8.8657407395658083E-3</v>
      </c>
      <c r="N178" s="7"/>
      <c r="O178" s="7"/>
      <c r="P178" s="7"/>
      <c r="Q178" s="35"/>
      <c r="R178" s="35"/>
      <c r="S178" s="54"/>
      <c r="T178" s="98"/>
      <c r="U178" s="98"/>
      <c r="V178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12:40:15-0600',mode:absolute,to:'2016-07-07 12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8" s="106"/>
      <c r="X178" s="106"/>
      <c r="Y178" s="106"/>
      <c r="Z178" s="106"/>
      <c r="AA178" s="106"/>
      <c r="AB178" s="107"/>
      <c r="AC178" s="107"/>
      <c r="AD178" s="108" t="str">
        <f t="shared" si="47"/>
        <v>0820-07</v>
      </c>
      <c r="AE17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78" s="108" t="str">
        <f t="shared" si="54"/>
        <v>"C:\Program Files (x86)\AstroGrep\AstroGrep.exe" /spath="C:\Users\stu\Documents\Analysis\2016-02-23 RTDC Observations" /stypes="*4039*20160707*" /stext=" 18:.+((prompt.+disp)|(slice.+state.+chan)|(ment ac)|(system.+state.+chan)|(\|lc)|(penalty)|(\[timeout))" /e /r /s</v>
      </c>
    </row>
    <row r="179" spans="1:32" x14ac:dyDescent="0.25">
      <c r="A179" s="34" t="s">
        <v>632</v>
      </c>
      <c r="B179" s="64">
        <v>4040</v>
      </c>
      <c r="C179" s="64" t="s">
        <v>60</v>
      </c>
      <c r="D179" s="64" t="s">
        <v>633</v>
      </c>
      <c r="E179" s="70">
        <v>42558.544189814813</v>
      </c>
      <c r="F179" s="70">
        <v>42558.545069444444</v>
      </c>
      <c r="G179" s="71">
        <v>1</v>
      </c>
      <c r="H179" s="70" t="s">
        <v>634</v>
      </c>
      <c r="I179" s="70">
        <v>42558.565324074072</v>
      </c>
      <c r="J179" s="64">
        <v>0</v>
      </c>
      <c r="K179" s="34" t="str">
        <f t="shared" si="50"/>
        <v>4039/4040</v>
      </c>
      <c r="L179" s="34" t="str">
        <f>VLOOKUP(A179,'Trips&amp;Operators'!$C$1:$E$10000,3,FALSE)</f>
        <v>NELSON</v>
      </c>
      <c r="M179" s="6">
        <f t="shared" si="51"/>
        <v>2.025462962774327E-2</v>
      </c>
      <c r="N179" s="7"/>
      <c r="O179" s="7"/>
      <c r="P179" s="7"/>
      <c r="Q179" s="35"/>
      <c r="R179" s="35"/>
      <c r="S179" s="54"/>
      <c r="T179" s="98"/>
      <c r="U179" s="98"/>
      <c r="V179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13:02:38-0600',mode:absolute,to:'2016-07-07 13:35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9" s="106"/>
      <c r="X179" s="106"/>
      <c r="Y179" s="106"/>
      <c r="Z179" s="106"/>
      <c r="AA179" s="106"/>
      <c r="AB179" s="107"/>
      <c r="AC179" s="107"/>
      <c r="AD179" s="108" t="str">
        <f t="shared" si="47"/>
        <v>0821-07</v>
      </c>
      <c r="AE179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79" s="108" t="str">
        <f t="shared" si="54"/>
        <v>"C:\Program Files (x86)\AstroGrep\AstroGrep.exe" /spath="C:\Users\stu\Documents\Analysis\2016-02-23 RTDC Observations" /stypes="*4040*20160707*" /stext=" 19:.+((prompt.+disp)|(slice.+state.+chan)|(ment ac)|(system.+state.+chan)|(\|lc)|(penalty)|(\[timeout))" /e /r /s</v>
      </c>
    </row>
    <row r="180" spans="1:32" x14ac:dyDescent="0.25">
      <c r="A180" s="34" t="s">
        <v>635</v>
      </c>
      <c r="B180" s="64">
        <v>4039</v>
      </c>
      <c r="C180" s="64" t="s">
        <v>60</v>
      </c>
      <c r="D180" s="64" t="s">
        <v>636</v>
      </c>
      <c r="E180" s="70">
        <v>42558.567083333335</v>
      </c>
      <c r="F180" s="70">
        <v>42558.568090277775</v>
      </c>
      <c r="G180" s="71">
        <v>1</v>
      </c>
      <c r="H180" s="70" t="s">
        <v>352</v>
      </c>
      <c r="I180" s="70">
        <v>42558.579965277779</v>
      </c>
      <c r="J180" s="64">
        <v>0</v>
      </c>
      <c r="K180" s="34" t="str">
        <f t="shared" si="50"/>
        <v>4039/4040</v>
      </c>
      <c r="L180" s="34" t="str">
        <f>VLOOKUP(A180,'Trips&amp;Operators'!$C$1:$E$10000,3,FALSE)</f>
        <v>NELSON</v>
      </c>
      <c r="M180" s="6">
        <f t="shared" si="51"/>
        <v>1.1875000003783498E-2</v>
      </c>
      <c r="N180" s="7"/>
      <c r="O180" s="7"/>
      <c r="P180" s="7"/>
      <c r="Q180" s="35"/>
      <c r="R180" s="35"/>
      <c r="S180" s="54"/>
      <c r="T180" s="98"/>
      <c r="U180" s="98"/>
      <c r="V180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13:35:36-0600',mode:absolute,to:'2016-07-07 13:56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0" s="106"/>
      <c r="X180" s="106"/>
      <c r="Y180" s="106"/>
      <c r="Z180" s="106"/>
      <c r="AA180" s="106"/>
      <c r="AB180" s="107"/>
      <c r="AC180" s="107"/>
      <c r="AD180" s="108" t="str">
        <f t="shared" si="47"/>
        <v>0822-07</v>
      </c>
      <c r="AE180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0" s="108" t="str">
        <f t="shared" si="54"/>
        <v>"C:\Program Files (x86)\AstroGrep\AstroGrep.exe" /spath="C:\Users\stu\Documents\Analysis\2016-02-23 RTDC Observations" /stypes="*4039*20160707*" /stext=" 19:.+((prompt.+disp)|(slice.+state.+chan)|(ment ac)|(system.+state.+chan)|(\|lc)|(penalty)|(\[timeout))" /e /r /s</v>
      </c>
    </row>
    <row r="181" spans="1:32" x14ac:dyDescent="0.25">
      <c r="A181" s="34" t="s">
        <v>637</v>
      </c>
      <c r="B181" s="64">
        <v>4040</v>
      </c>
      <c r="C181" s="64" t="s">
        <v>60</v>
      </c>
      <c r="D181" s="64" t="s">
        <v>349</v>
      </c>
      <c r="E181" s="70">
        <v>42558.598425925928</v>
      </c>
      <c r="F181" s="70">
        <v>42558.599398148152</v>
      </c>
      <c r="G181" s="71">
        <v>1</v>
      </c>
      <c r="H181" s="70" t="s">
        <v>638</v>
      </c>
      <c r="I181" s="70">
        <v>42558.609120370369</v>
      </c>
      <c r="J181" s="64">
        <v>0</v>
      </c>
      <c r="K181" s="34" t="str">
        <f t="shared" si="50"/>
        <v>4039/4040</v>
      </c>
      <c r="L181" s="34" t="str">
        <f>VLOOKUP(A181,'Trips&amp;Operators'!$C$1:$E$10000,3,FALSE)</f>
        <v>MAYBERRY</v>
      </c>
      <c r="M181" s="6">
        <f t="shared" si="51"/>
        <v>9.7222222175332718E-3</v>
      </c>
      <c r="N181" s="7"/>
      <c r="O181" s="7"/>
      <c r="P181" s="7"/>
      <c r="Q181" s="35"/>
      <c r="R181" s="35"/>
      <c r="S181" s="54"/>
      <c r="T181" s="98"/>
      <c r="U181" s="98"/>
      <c r="V181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14:20:44-0600',mode:absolute,to:'2016-07-07 14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1" s="106"/>
      <c r="X181" s="106"/>
      <c r="Y181" s="106"/>
      <c r="Z181" s="106"/>
      <c r="AA181" s="106"/>
      <c r="AB181" s="107"/>
      <c r="AC181" s="107"/>
      <c r="AD181" s="108" t="str">
        <f t="shared" si="47"/>
        <v>0823-07</v>
      </c>
      <c r="AE181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81" s="108" t="str">
        <f t="shared" si="54"/>
        <v>"C:\Program Files (x86)\AstroGrep\AstroGrep.exe" /spath="C:\Users\stu\Documents\Analysis\2016-02-23 RTDC Observations" /stypes="*4040*20160707*" /stext=" 20:.+((prompt.+disp)|(slice.+state.+chan)|(ment ac)|(system.+state.+chan)|(\|lc)|(penalty)|(\[timeout))" /e /r /s</v>
      </c>
    </row>
    <row r="182" spans="1:32" x14ac:dyDescent="0.25">
      <c r="A182" s="34" t="s">
        <v>639</v>
      </c>
      <c r="B182" s="64">
        <v>4039</v>
      </c>
      <c r="C182" s="64" t="s">
        <v>60</v>
      </c>
      <c r="D182" s="64" t="s">
        <v>243</v>
      </c>
      <c r="E182" s="70">
        <v>42558.610092592593</v>
      </c>
      <c r="F182" s="70">
        <v>42558.611122685186</v>
      </c>
      <c r="G182" s="71">
        <v>1</v>
      </c>
      <c r="H182" s="70" t="s">
        <v>640</v>
      </c>
      <c r="I182" s="70">
        <v>42558.621620370373</v>
      </c>
      <c r="J182" s="64">
        <v>0</v>
      </c>
      <c r="K182" s="34" t="str">
        <f t="shared" si="50"/>
        <v>4039/4040</v>
      </c>
      <c r="L182" s="34" t="str">
        <f>VLOOKUP(A182,'Trips&amp;Operators'!$C$1:$E$10000,3,FALSE)</f>
        <v>MAYBERRY</v>
      </c>
      <c r="M182" s="6">
        <f t="shared" si="51"/>
        <v>1.0497685187146999E-2</v>
      </c>
      <c r="N182" s="7"/>
      <c r="O182" s="7"/>
      <c r="P182" s="7"/>
      <c r="Q182" s="35"/>
      <c r="R182" s="35"/>
      <c r="S182" s="54"/>
      <c r="T182" s="98"/>
      <c r="U182" s="98"/>
      <c r="V182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14:37:32-0600',mode:absolute,to:'2016-07-07 14:56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2" s="106"/>
      <c r="X182" s="106"/>
      <c r="Y182" s="106"/>
      <c r="Z182" s="106"/>
      <c r="AA182" s="106"/>
      <c r="AB182" s="107"/>
      <c r="AC182" s="107"/>
      <c r="AD182" s="108" t="str">
        <f t="shared" si="47"/>
        <v>0824-07</v>
      </c>
      <c r="AE182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2" s="108" t="str">
        <f t="shared" si="54"/>
        <v>"C:\Program Files (x86)\AstroGrep\AstroGrep.exe" /spath="C:\Users\stu\Documents\Analysis\2016-02-23 RTDC Observations" /stypes="*4039*20160707*" /stext=" 20:.+((prompt.+disp)|(slice.+state.+chan)|(ment ac)|(system.+state.+chan)|(\|lc)|(penalty)|(\[timeout))" /e /r /s</v>
      </c>
    </row>
    <row r="183" spans="1:32" x14ac:dyDescent="0.25">
      <c r="A183" s="34" t="s">
        <v>641</v>
      </c>
      <c r="B183" s="64">
        <v>4040</v>
      </c>
      <c r="C183" s="64" t="s">
        <v>60</v>
      </c>
      <c r="D183" s="64" t="s">
        <v>642</v>
      </c>
      <c r="E183" s="70">
        <v>42558.635578703703</v>
      </c>
      <c r="F183" s="70">
        <v>42558.63652777778</v>
      </c>
      <c r="G183" s="71">
        <v>1</v>
      </c>
      <c r="H183" s="70" t="s">
        <v>643</v>
      </c>
      <c r="I183" s="70">
        <v>42558.651319444441</v>
      </c>
      <c r="J183" s="64">
        <v>2</v>
      </c>
      <c r="K183" s="34" t="str">
        <f t="shared" si="50"/>
        <v>4039/4040</v>
      </c>
      <c r="L183" s="34" t="str">
        <f>VLOOKUP(A183,'Trips&amp;Operators'!$C$1:$E$10000,3,FALSE)</f>
        <v>MAYBERRY</v>
      </c>
      <c r="M183" s="6">
        <f t="shared" si="51"/>
        <v>1.4791666661039926E-2</v>
      </c>
      <c r="N183" s="7"/>
      <c r="O183" s="7"/>
      <c r="P183" s="7"/>
      <c r="Q183" s="35"/>
      <c r="R183" s="35"/>
      <c r="S183" s="54"/>
      <c r="T183" s="98"/>
      <c r="U183" s="98"/>
      <c r="V183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15:14:14-0600',mode:absolute,to:'2016-07-07 15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3" s="106"/>
      <c r="X183" s="106"/>
      <c r="Y183" s="106"/>
      <c r="Z183" s="106"/>
      <c r="AA183" s="106"/>
      <c r="AB183" s="107"/>
      <c r="AC183" s="107"/>
      <c r="AD183" s="108" t="str">
        <f t="shared" si="47"/>
        <v>0825-07</v>
      </c>
      <c r="AE183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83" s="108" t="str">
        <f t="shared" si="54"/>
        <v>"C:\Program Files (x86)\AstroGrep\AstroGrep.exe" /spath="C:\Users\stu\Documents\Analysis\2016-02-23 RTDC Observations" /stypes="*4040*20160707*" /stext=" 21:.+((prompt.+disp)|(slice.+state.+chan)|(ment ac)|(system.+state.+chan)|(\|lc)|(penalty)|(\[timeout))" /e /r /s</v>
      </c>
    </row>
    <row r="184" spans="1:32" x14ac:dyDescent="0.25">
      <c r="A184" s="34" t="s">
        <v>644</v>
      </c>
      <c r="B184" s="64">
        <v>4039</v>
      </c>
      <c r="C184" s="64" t="s">
        <v>60</v>
      </c>
      <c r="D184" s="64" t="s">
        <v>645</v>
      </c>
      <c r="E184" s="70">
        <v>42558.651979166665</v>
      </c>
      <c r="F184" s="70">
        <v>42558.652800925927</v>
      </c>
      <c r="G184" s="71">
        <v>1</v>
      </c>
      <c r="H184" s="70" t="s">
        <v>623</v>
      </c>
      <c r="I184" s="70">
        <v>42558.663958333331</v>
      </c>
      <c r="J184" s="64">
        <v>3</v>
      </c>
      <c r="K184" s="34" t="str">
        <f t="shared" si="50"/>
        <v>4039/4040</v>
      </c>
      <c r="L184" s="34" t="str">
        <f>VLOOKUP(A184,'Trips&amp;Operators'!$C$1:$E$10000,3,FALSE)</f>
        <v>MAYBERRY</v>
      </c>
      <c r="M184" s="6">
        <f t="shared" si="51"/>
        <v>1.1157407403516117E-2</v>
      </c>
      <c r="N184" s="7"/>
      <c r="O184" s="7"/>
      <c r="P184" s="7"/>
      <c r="Q184" s="35"/>
      <c r="R184" s="35"/>
      <c r="S184" s="54"/>
      <c r="T184" s="98"/>
      <c r="U184" s="98"/>
      <c r="V184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106"/>
      <c r="X184" s="106"/>
      <c r="Y184" s="106"/>
      <c r="Z184" s="106"/>
      <c r="AA184" s="106"/>
      <c r="AB184" s="107"/>
      <c r="AC184" s="107"/>
      <c r="AD184" s="108" t="str">
        <f t="shared" si="47"/>
        <v>0826-07</v>
      </c>
      <c r="AE184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4" s="108" t="str">
        <f t="shared" si="54"/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</row>
    <row r="185" spans="1:32" x14ac:dyDescent="0.25">
      <c r="A185" s="34" t="s">
        <v>646</v>
      </c>
      <c r="B185" s="64">
        <v>4025</v>
      </c>
      <c r="C185" s="64" t="s">
        <v>60</v>
      </c>
      <c r="D185" s="64" t="s">
        <v>122</v>
      </c>
      <c r="E185" s="70">
        <v>42558.654328703706</v>
      </c>
      <c r="F185" s="70">
        <v>42558.655555555553</v>
      </c>
      <c r="G185" s="71">
        <v>1</v>
      </c>
      <c r="H185" s="70" t="s">
        <v>169</v>
      </c>
      <c r="I185" s="70">
        <v>42558.669629629629</v>
      </c>
      <c r="J185" s="64">
        <v>0</v>
      </c>
      <c r="K185" s="34" t="str">
        <f t="shared" si="50"/>
        <v>4025/4026</v>
      </c>
      <c r="L185" s="34" t="str">
        <f>VLOOKUP(A185,'Trips&amp;Operators'!$C$1:$E$10000,3,FALSE)</f>
        <v>DE LA ROSA</v>
      </c>
      <c r="M185" s="6">
        <f t="shared" si="51"/>
        <v>1.4074074075324461E-2</v>
      </c>
      <c r="N185" s="7"/>
      <c r="O185" s="7"/>
      <c r="P185" s="7"/>
      <c r="Q185" s="35"/>
      <c r="R185" s="35"/>
      <c r="S185" s="54"/>
      <c r="T185" s="98"/>
      <c r="U185" s="98"/>
      <c r="V185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15:41:14-0600',mode:absolute,to:'2016-07-07 16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85" s="106"/>
      <c r="X185" s="106"/>
      <c r="Y185" s="106"/>
      <c r="Z185" s="106"/>
      <c r="AA185" s="106"/>
      <c r="AB185" s="107"/>
      <c r="AC185" s="107"/>
      <c r="AD185" s="108" t="str">
        <f t="shared" si="47"/>
        <v>0827-07</v>
      </c>
      <c r="AE185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85" s="108" t="str">
        <f t="shared" si="54"/>
        <v>"C:\Program Files (x86)\AstroGrep\AstroGrep.exe" /spath="C:\Users\stu\Documents\Analysis\2016-02-23 RTDC Observations" /stypes="*4025*20160707*" /stext=" 21:.+((prompt.+disp)|(slice.+state.+chan)|(ment ac)|(system.+state.+chan)|(\|lc)|(penalty)|(\[timeout))" /e /r /s</v>
      </c>
    </row>
    <row r="186" spans="1:32" x14ac:dyDescent="0.25">
      <c r="A186" s="34" t="s">
        <v>647</v>
      </c>
      <c r="B186" s="64">
        <v>4026</v>
      </c>
      <c r="C186" s="64" t="s">
        <v>60</v>
      </c>
      <c r="D186" s="64" t="s">
        <v>347</v>
      </c>
      <c r="E186" s="70">
        <v>42558.670775462961</v>
      </c>
      <c r="F186" s="70">
        <v>42558.671689814815</v>
      </c>
      <c r="G186" s="71">
        <v>1</v>
      </c>
      <c r="H186" s="70" t="s">
        <v>648</v>
      </c>
      <c r="I186" s="70">
        <v>42558.68372685185</v>
      </c>
      <c r="J186" s="64">
        <v>0</v>
      </c>
      <c r="K186" s="34" t="str">
        <f t="shared" si="50"/>
        <v>4025/4026</v>
      </c>
      <c r="L186" s="34" t="str">
        <f>VLOOKUP(A186,'Trips&amp;Operators'!$C$1:$E$10000,3,FALSE)</f>
        <v>DE LA ROSA</v>
      </c>
      <c r="M186" s="6">
        <f t="shared" si="51"/>
        <v>1.2037037035042886E-2</v>
      </c>
      <c r="N186" s="7"/>
      <c r="O186" s="7"/>
      <c r="P186" s="7"/>
      <c r="Q186" s="35"/>
      <c r="R186" s="35"/>
      <c r="S186" s="54"/>
      <c r="T186" s="98"/>
      <c r="U186" s="98"/>
      <c r="V186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16:04:55-0600',mode:absolute,to:'2016-07-07 16:25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86" s="106"/>
      <c r="X186" s="106"/>
      <c r="Y186" s="106"/>
      <c r="Z186" s="106"/>
      <c r="AA186" s="106"/>
      <c r="AB186" s="107"/>
      <c r="AC186" s="107"/>
      <c r="AD186" s="108" t="str">
        <f t="shared" si="47"/>
        <v>0828-07</v>
      </c>
      <c r="AE186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86" s="108" t="str">
        <f t="shared" si="54"/>
        <v>"C:\Program Files (x86)\AstroGrep\AstroGrep.exe" /spath="C:\Users\stu\Documents\Analysis\2016-02-23 RTDC Observations" /stypes="*4026*20160707*" /stext=" 22:.+((prompt.+disp)|(slice.+state.+chan)|(ment ac)|(system.+state.+chan)|(\|lc)|(penalty)|(\[timeout))" /e /r /s</v>
      </c>
    </row>
    <row r="187" spans="1:32" x14ac:dyDescent="0.25">
      <c r="A187" s="34" t="s">
        <v>649</v>
      </c>
      <c r="B187" s="64">
        <v>4040</v>
      </c>
      <c r="C187" s="64" t="s">
        <v>60</v>
      </c>
      <c r="D187" s="64" t="s">
        <v>617</v>
      </c>
      <c r="E187" s="70">
        <v>42558.677407407406</v>
      </c>
      <c r="F187" s="70">
        <v>42558.678229166668</v>
      </c>
      <c r="G187" s="71">
        <v>1</v>
      </c>
      <c r="H187" s="70" t="s">
        <v>650</v>
      </c>
      <c r="I187" s="70">
        <v>42558.690266203703</v>
      </c>
      <c r="J187" s="64">
        <v>1</v>
      </c>
      <c r="K187" s="34" t="str">
        <f t="shared" si="50"/>
        <v>4039/4040</v>
      </c>
      <c r="L187" s="34" t="str">
        <f>VLOOKUP(A187,'Trips&amp;Operators'!$C$1:$E$10000,3,FALSE)</f>
        <v>MAYBERRY</v>
      </c>
      <c r="M187" s="6">
        <f t="shared" si="51"/>
        <v>1.2037037035042886E-2</v>
      </c>
      <c r="N187" s="7"/>
      <c r="O187" s="7"/>
      <c r="P187" s="7"/>
      <c r="Q187" s="35"/>
      <c r="R187" s="35"/>
      <c r="S187" s="54"/>
      <c r="T187" s="98"/>
      <c r="U187" s="98"/>
      <c r="V187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16:14:28-0600',mode:absolute,to:'2016-07-07 16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106"/>
      <c r="X187" s="106"/>
      <c r="Y187" s="106"/>
      <c r="Z187" s="106"/>
      <c r="AA187" s="106"/>
      <c r="AB187" s="107"/>
      <c r="AC187" s="107"/>
      <c r="AD187" s="108" t="str">
        <f t="shared" si="47"/>
        <v>0829-07</v>
      </c>
      <c r="AE187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87" s="108" t="str">
        <f t="shared" si="54"/>
        <v>"C:\Program Files (x86)\AstroGrep\AstroGrep.exe" /spath="C:\Users\stu\Documents\Analysis\2016-02-23 RTDC Observations" /stypes="*4040*20160707*" /stext=" 22:.+((prompt.+disp)|(slice.+state.+chan)|(ment ac)|(system.+state.+chan)|(\|lc)|(penalty)|(\[timeout))" /e /r /s</v>
      </c>
    </row>
    <row r="188" spans="1:32" x14ac:dyDescent="0.25">
      <c r="A188" s="34" t="s">
        <v>651</v>
      </c>
      <c r="B188" s="64">
        <v>4039</v>
      </c>
      <c r="C188" s="64" t="s">
        <v>60</v>
      </c>
      <c r="D188" s="64" t="s">
        <v>351</v>
      </c>
      <c r="E188" s="70">
        <v>42558.69090277778</v>
      </c>
      <c r="F188" s="70">
        <v>42558.691712962966</v>
      </c>
      <c r="G188" s="71">
        <v>1</v>
      </c>
      <c r="H188" s="70" t="s">
        <v>348</v>
      </c>
      <c r="I188" s="70">
        <v>42558.704675925925</v>
      </c>
      <c r="J188" s="64">
        <v>0</v>
      </c>
      <c r="K188" s="34" t="str">
        <f t="shared" si="50"/>
        <v>4039/4040</v>
      </c>
      <c r="L188" s="34" t="str">
        <f>VLOOKUP(A188,'Trips&amp;Operators'!$C$1:$E$10000,3,FALSE)</f>
        <v>MAYBERRY</v>
      </c>
      <c r="M188" s="6">
        <f t="shared" si="51"/>
        <v>1.2962962959136348E-2</v>
      </c>
      <c r="N188" s="7"/>
      <c r="O188" s="7"/>
      <c r="P188" s="7"/>
      <c r="Q188" s="35"/>
      <c r="R188" s="35"/>
      <c r="S188" s="54"/>
      <c r="T188" s="98"/>
      <c r="U188" s="98"/>
      <c r="V188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16:33:54-0600',mode:absolute,to:'2016-07-07 16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8" s="106"/>
      <c r="X188" s="106"/>
      <c r="Y188" s="106"/>
      <c r="Z188" s="106"/>
      <c r="AA188" s="106"/>
      <c r="AB188" s="107"/>
      <c r="AC188" s="107"/>
      <c r="AD188" s="108" t="str">
        <f t="shared" si="47"/>
        <v>0830-07</v>
      </c>
      <c r="AE18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88" s="108" t="str">
        <f t="shared" si="54"/>
        <v>"C:\Program Files (x86)\AstroGrep\AstroGrep.exe" /spath="C:\Users\stu\Documents\Analysis\2016-02-23 RTDC Observations" /stypes="*4039*20160707*" /stext=" 22:.+((prompt.+disp)|(slice.+state.+chan)|(ment ac)|(system.+state.+chan)|(\|lc)|(penalty)|(\[timeout))" /e /r /s</v>
      </c>
    </row>
    <row r="189" spans="1:32" x14ac:dyDescent="0.25">
      <c r="A189" s="34" t="s">
        <v>652</v>
      </c>
      <c r="B189" s="64">
        <v>4025</v>
      </c>
      <c r="C189" s="64" t="s">
        <v>60</v>
      </c>
      <c r="D189" s="64" t="s">
        <v>653</v>
      </c>
      <c r="E189" s="70">
        <v>42558.698738425926</v>
      </c>
      <c r="F189" s="70">
        <v>42558.699780092589</v>
      </c>
      <c r="G189" s="71">
        <v>1</v>
      </c>
      <c r="H189" s="70" t="s">
        <v>654</v>
      </c>
      <c r="I189" s="70">
        <v>42558.711076388892</v>
      </c>
      <c r="J189" s="64">
        <v>0</v>
      </c>
      <c r="K189" s="34" t="str">
        <f t="shared" si="50"/>
        <v>4025/4026</v>
      </c>
      <c r="L189" s="34" t="str">
        <f>VLOOKUP(A189,'Trips&amp;Operators'!$C$1:$E$10000,3,FALSE)</f>
        <v>DE LA ROSA</v>
      </c>
      <c r="M189" s="6">
        <f t="shared" si="51"/>
        <v>1.1296296303044073E-2</v>
      </c>
      <c r="N189" s="7"/>
      <c r="O189" s="7"/>
      <c r="P189" s="7"/>
      <c r="Q189" s="35"/>
      <c r="R189" s="35"/>
      <c r="S189" s="54"/>
      <c r="T189" s="98"/>
      <c r="U189" s="98"/>
      <c r="V189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16:45:11-0600',mode:absolute,to:'2016-07-07 17:04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89" s="106"/>
      <c r="X189" s="106"/>
      <c r="Y189" s="106"/>
      <c r="Z189" s="106"/>
      <c r="AA189" s="106"/>
      <c r="AB189" s="107"/>
      <c r="AC189" s="107"/>
      <c r="AD189" s="108" t="str">
        <f t="shared" si="47"/>
        <v>0831-07</v>
      </c>
      <c r="AE189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89" s="108" t="str">
        <f t="shared" si="54"/>
        <v>"C:\Program Files (x86)\AstroGrep\AstroGrep.exe" /spath="C:\Users\stu\Documents\Analysis\2016-02-23 RTDC Observations" /stypes="*4025*20160707*" /stext=" 22:.+((prompt.+disp)|(slice.+state.+chan)|(ment ac)|(system.+state.+chan)|(\|lc)|(penalty)|(\[timeout))" /e /r /s</v>
      </c>
    </row>
    <row r="190" spans="1:32" x14ac:dyDescent="0.25">
      <c r="A190" s="34" t="s">
        <v>655</v>
      </c>
      <c r="B190" s="64">
        <v>4026</v>
      </c>
      <c r="C190" s="64" t="s">
        <v>60</v>
      </c>
      <c r="D190" s="64" t="s">
        <v>656</v>
      </c>
      <c r="E190" s="70">
        <v>42558.71234953704</v>
      </c>
      <c r="F190" s="70">
        <v>42558.713275462964</v>
      </c>
      <c r="G190" s="71">
        <v>1</v>
      </c>
      <c r="H190" s="70" t="s">
        <v>657</v>
      </c>
      <c r="I190" s="70">
        <v>42558.72729166667</v>
      </c>
      <c r="J190" s="64">
        <v>0</v>
      </c>
      <c r="K190" s="34" t="str">
        <f t="shared" si="50"/>
        <v>4025/4026</v>
      </c>
      <c r="L190" s="34" t="str">
        <f>VLOOKUP(A190,'Trips&amp;Operators'!$C$1:$E$10000,3,FALSE)</f>
        <v>DE LA ROSA</v>
      </c>
      <c r="M190" s="6">
        <f t="shared" si="51"/>
        <v>1.4016203705978114E-2</v>
      </c>
      <c r="N190" s="7"/>
      <c r="O190" s="7"/>
      <c r="P190" s="7"/>
      <c r="Q190" s="35"/>
      <c r="R190" s="35"/>
      <c r="S190" s="54"/>
      <c r="T190" s="98"/>
      <c r="U190" s="98"/>
      <c r="V190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17:04:47-0600',mode:absolute,to:'2016-07-07 17:28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90" s="106"/>
      <c r="X190" s="106"/>
      <c r="Y190" s="106"/>
      <c r="Z190" s="106"/>
      <c r="AA190" s="106"/>
      <c r="AB190" s="107"/>
      <c r="AC190" s="107"/>
      <c r="AD190" s="108" t="str">
        <f t="shared" si="47"/>
        <v>0832-07</v>
      </c>
      <c r="AE190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90" s="108" t="str">
        <f t="shared" si="54"/>
        <v>"C:\Program Files (x86)\AstroGrep\AstroGrep.exe" /spath="C:\Users\stu\Documents\Analysis\2016-02-23 RTDC Observations" /stypes="*4026*20160707*" /stext=" 23:.+((prompt.+disp)|(slice.+state.+chan)|(ment ac)|(system.+state.+chan)|(\|lc)|(penalty)|(\[timeout))" /e /r /s</v>
      </c>
    </row>
    <row r="191" spans="1:32" x14ac:dyDescent="0.25">
      <c r="A191" s="34" t="s">
        <v>658</v>
      </c>
      <c r="B191" s="64">
        <v>4040</v>
      </c>
      <c r="C191" s="64" t="s">
        <v>60</v>
      </c>
      <c r="D191" s="64" t="s">
        <v>659</v>
      </c>
      <c r="E191" s="70">
        <v>42558.719467592593</v>
      </c>
      <c r="F191" s="70">
        <v>42558.72047453704</v>
      </c>
      <c r="G191" s="71">
        <v>1</v>
      </c>
      <c r="H191" s="70" t="s">
        <v>660</v>
      </c>
      <c r="I191" s="70">
        <v>42558.734224537038</v>
      </c>
      <c r="J191" s="64">
        <v>0</v>
      </c>
      <c r="K191" s="34" t="str">
        <f t="shared" si="50"/>
        <v>4039/4040</v>
      </c>
      <c r="L191" s="34" t="str">
        <f>VLOOKUP(A191,'Trips&amp;Operators'!$C$1:$E$10000,3,FALSE)</f>
        <v>MAYBERRY</v>
      </c>
      <c r="M191" s="6">
        <f t="shared" si="51"/>
        <v>1.374999999825377E-2</v>
      </c>
      <c r="N191" s="7"/>
      <c r="O191" s="7"/>
      <c r="P191" s="7"/>
      <c r="Q191" s="35"/>
      <c r="R191" s="35"/>
      <c r="S191" s="54"/>
      <c r="T191" s="98"/>
      <c r="U191" s="98"/>
      <c r="V191" s="106" t="str">
        <f t="shared" si="52"/>
        <v>https://search-rtdc-monitor-bjffxe2xuh6vdkpspy63sjmuny.us-east-1.es.amazonaws.com/_plugin/kibana/#/discover/Steve-Slow-Train-Analysis-(2080s-and-2083s)?_g=(refreshInterval:(display:Off,section:0,value:0),time:(from:'2016-07-07 17:15:02-0600',mode:absolute,to:'2016-07-07 17:38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1" s="106"/>
      <c r="X191" s="106"/>
      <c r="Y191" s="106"/>
      <c r="Z191" s="106"/>
      <c r="AA191" s="106"/>
      <c r="AB191" s="107"/>
      <c r="AC191" s="107"/>
      <c r="AD191" s="108" t="str">
        <f t="shared" si="47"/>
        <v>0833-07</v>
      </c>
      <c r="AE191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91" s="108" t="str">
        <f t="shared" si="54"/>
        <v>"C:\Program Files (x86)\AstroGrep\AstroGrep.exe" /spath="C:\Users\stu\Documents\Analysis\2016-02-23 RTDC Observations" /stypes="*4040*20160707*" /stext=" 23:.+((prompt.+disp)|(slice.+state.+chan)|(ment ac)|(system.+state.+chan)|(\|lc)|(penalty)|(\[timeout))" /e /r /s</v>
      </c>
    </row>
    <row r="192" spans="1:32" x14ac:dyDescent="0.25">
      <c r="A192" s="34" t="s">
        <v>661</v>
      </c>
      <c r="B192" s="64">
        <v>4039</v>
      </c>
      <c r="C192" s="64" t="s">
        <v>60</v>
      </c>
      <c r="D192" s="64" t="s">
        <v>662</v>
      </c>
      <c r="E192" s="70">
        <v>42558.734837962962</v>
      </c>
      <c r="F192" s="70">
        <v>42558.735671296294</v>
      </c>
      <c r="G192" s="71">
        <v>1</v>
      </c>
      <c r="H192" s="70" t="s">
        <v>623</v>
      </c>
      <c r="I192" s="70">
        <v>42558.74627314815</v>
      </c>
      <c r="J192" s="64">
        <v>0</v>
      </c>
      <c r="K192" s="34" t="str">
        <f t="shared" ref="K192:K208" si="55">IF(ISEVEN(B192),(B192-1)&amp;"/"&amp;B192,B192&amp;"/"&amp;(B192+1))</f>
        <v>4039/4040</v>
      </c>
      <c r="L192" s="34" t="str">
        <f>VLOOKUP(A192,'Trips&amp;Operators'!$C$1:$E$10000,3,FALSE)</f>
        <v>MAYBERRY</v>
      </c>
      <c r="M192" s="6">
        <f t="shared" ref="M192:M208" si="56">I192-F192</f>
        <v>1.0601851856335998E-2</v>
      </c>
      <c r="N192" s="7"/>
      <c r="O192" s="7"/>
      <c r="P192" s="7"/>
      <c r="Q192" s="35"/>
      <c r="R192" s="35"/>
      <c r="S192" s="54"/>
      <c r="T192" s="98"/>
      <c r="U192" s="98"/>
      <c r="V192" s="106" t="str">
        <f t="shared" ref="V192:V208" si="57"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https://search-rtdc-monitor-bjffxe2xuh6vdkpspy63sjmuny.us-east-1.es.amazonaws.com/_plugin/kibana/#/discover/Steve-Slow-Train-Analysis-(2080s-and-2083s)?_g=(refreshInterval:(display:Off,section:0,value:0),time:(from:'2016-07-07 17:37:10-0600',mode:absolute,to:'2016-07-07 17:55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2" s="106"/>
      <c r="X192" s="106"/>
      <c r="Y192" s="106"/>
      <c r="Z192" s="106"/>
      <c r="AA192" s="106"/>
      <c r="AB192" s="107"/>
      <c r="AC192" s="107"/>
      <c r="AD192" s="108" t="str">
        <f t="shared" ref="AD192:AD208" si="58">IF(LEN(A192)=6,"0"&amp;A192,A192)</f>
        <v>0834-07</v>
      </c>
      <c r="AE192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92" s="108" t="str">
        <f t="shared" si="54"/>
        <v>"C:\Program Files (x86)\AstroGrep\AstroGrep.exe" /spath="C:\Users\stu\Documents\Analysis\2016-02-23 RTDC Observations" /stypes="*4039*20160707*" /stext=" 23:.+((prompt.+disp)|(slice.+state.+chan)|(ment ac)|(system.+state.+chan)|(\|lc)|(penalty)|(\[timeout))" /e /r /s</v>
      </c>
    </row>
    <row r="193" spans="1:32" x14ac:dyDescent="0.25">
      <c r="A193" s="34" t="s">
        <v>663</v>
      </c>
      <c r="B193" s="64">
        <v>4025</v>
      </c>
      <c r="C193" s="64" t="s">
        <v>60</v>
      </c>
      <c r="D193" s="64" t="s">
        <v>664</v>
      </c>
      <c r="E193" s="70">
        <v>42558.739942129629</v>
      </c>
      <c r="F193" s="70">
        <v>42558.740891203706</v>
      </c>
      <c r="G193" s="71">
        <v>1</v>
      </c>
      <c r="H193" s="70" t="s">
        <v>601</v>
      </c>
      <c r="I193" s="70">
        <v>42558.753923611112</v>
      </c>
      <c r="J193" s="64">
        <v>0</v>
      </c>
      <c r="K193" s="34" t="str">
        <f t="shared" si="55"/>
        <v>4025/4026</v>
      </c>
      <c r="L193" s="34" t="str">
        <f>VLOOKUP(A193,'Trips&amp;Operators'!$C$1:$E$10000,3,FALSE)</f>
        <v>DE LA ROSA</v>
      </c>
      <c r="M193" s="6">
        <f t="shared" si="56"/>
        <v>1.3032407405262347E-2</v>
      </c>
      <c r="N193" s="7"/>
      <c r="O193" s="7"/>
      <c r="P193" s="7"/>
      <c r="Q193" s="35"/>
      <c r="R193" s="35"/>
      <c r="S193" s="54"/>
      <c r="T193" s="98"/>
      <c r="U193" s="98"/>
      <c r="V193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17:44:31-0600',mode:absolute,to:'2016-07-07 18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93" s="106"/>
      <c r="X193" s="106"/>
      <c r="Y193" s="106"/>
      <c r="Z193" s="106"/>
      <c r="AA193" s="106"/>
      <c r="AB193" s="107"/>
      <c r="AC193" s="107"/>
      <c r="AD193" s="108" t="str">
        <f t="shared" si="58"/>
        <v>0835-07</v>
      </c>
      <c r="AE193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93" s="108" t="str">
        <f t="shared" si="54"/>
        <v>"C:\Program Files (x86)\AstroGrep\AstroGrep.exe" /spath="C:\Users\stu\Documents\Analysis\2016-02-23 RTDC Observations" /stypes="*4025*20160707*" /stext=" 23:.+((prompt.+disp)|(slice.+state.+chan)|(ment ac)|(system.+state.+chan)|(\|lc)|(penalty)|(\[timeout))" /e /r /s</v>
      </c>
    </row>
    <row r="194" spans="1:32" x14ac:dyDescent="0.25">
      <c r="A194" s="34" t="s">
        <v>665</v>
      </c>
      <c r="B194" s="64">
        <v>4026</v>
      </c>
      <c r="C194" s="64" t="s">
        <v>60</v>
      </c>
      <c r="D194" s="64" t="s">
        <v>360</v>
      </c>
      <c r="E194" s="70">
        <v>42558.754733796297</v>
      </c>
      <c r="F194" s="70">
        <v>42558.756030092591</v>
      </c>
      <c r="G194" s="71">
        <v>1</v>
      </c>
      <c r="H194" s="70" t="s">
        <v>666</v>
      </c>
      <c r="I194" s="70">
        <v>42558.76730324074</v>
      </c>
      <c r="J194" s="64">
        <v>0</v>
      </c>
      <c r="K194" s="34" t="str">
        <f t="shared" si="55"/>
        <v>4025/4026</v>
      </c>
      <c r="L194" s="34" t="str">
        <f>VLOOKUP(A194,'Trips&amp;Operators'!$C$1:$E$10000,3,FALSE)</f>
        <v>DE LA ROSA</v>
      </c>
      <c r="M194" s="6">
        <f t="shared" si="56"/>
        <v>1.1273148149484769E-2</v>
      </c>
      <c r="N194" s="7"/>
      <c r="O194" s="7"/>
      <c r="P194" s="7"/>
      <c r="Q194" s="35"/>
      <c r="R194" s="35"/>
      <c r="S194" s="54"/>
      <c r="T194" s="98"/>
      <c r="U194" s="98"/>
      <c r="V194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18:05:49-0600',mode:absolute,to:'2016-07-07 18:25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94" s="106"/>
      <c r="X194" s="106"/>
      <c r="Y194" s="106"/>
      <c r="Z194" s="106"/>
      <c r="AA194" s="106"/>
      <c r="AB194" s="107"/>
      <c r="AC194" s="107"/>
      <c r="AD194" s="108" t="str">
        <f t="shared" si="58"/>
        <v>0836-07</v>
      </c>
      <c r="AE194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194" s="108" t="str">
        <f t="shared" si="54"/>
        <v>"C:\Program Files (x86)\AstroGrep\AstroGrep.exe" /spath="C:\Users\stu\Documents\Analysis\2016-02-23 RTDC Observations" /stypes="*4026*20160708*" /stext=" 00:.+((prompt.+disp)|(slice.+state.+chan)|(ment ac)|(system.+state.+chan)|(\|lc)|(penalty)|(\[timeout))" /e /r /s</v>
      </c>
    </row>
    <row r="195" spans="1:32" x14ac:dyDescent="0.25">
      <c r="A195" s="34" t="s">
        <v>667</v>
      </c>
      <c r="B195" s="64">
        <v>4040</v>
      </c>
      <c r="C195" s="64" t="s">
        <v>60</v>
      </c>
      <c r="D195" s="64" t="s">
        <v>668</v>
      </c>
      <c r="E195" s="70">
        <v>42558.761921296296</v>
      </c>
      <c r="F195" s="70">
        <v>42558.762835648151</v>
      </c>
      <c r="G195" s="71">
        <v>1</v>
      </c>
      <c r="H195" s="70" t="s">
        <v>669</v>
      </c>
      <c r="I195" s="70">
        <v>42558.773865740739</v>
      </c>
      <c r="J195" s="64">
        <v>2</v>
      </c>
      <c r="K195" s="34" t="str">
        <f t="shared" si="55"/>
        <v>4039/4040</v>
      </c>
      <c r="L195" s="34" t="str">
        <f>VLOOKUP(A195,'Trips&amp;Operators'!$C$1:$E$10000,3,FALSE)</f>
        <v>MAYBERRY</v>
      </c>
      <c r="M195" s="6">
        <f t="shared" si="56"/>
        <v>1.1030092588043772E-2</v>
      </c>
      <c r="N195" s="7"/>
      <c r="O195" s="7"/>
      <c r="P195" s="7"/>
      <c r="Q195" s="35"/>
      <c r="R195" s="35"/>
      <c r="S195" s="54"/>
      <c r="T195" s="98"/>
      <c r="U195" s="98"/>
      <c r="V195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18:16:10-0600',mode:absolute,to:'2016-07-07 18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5" s="106"/>
      <c r="X195" s="106"/>
      <c r="Y195" s="106"/>
      <c r="Z195" s="106"/>
      <c r="AA195" s="106"/>
      <c r="AB195" s="107"/>
      <c r="AC195" s="107"/>
      <c r="AD195" s="108" t="str">
        <f t="shared" si="58"/>
        <v>0837-07</v>
      </c>
      <c r="AE195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95" s="108" t="str">
        <f t="shared" si="54"/>
        <v>"C:\Program Files (x86)\AstroGrep\AstroGrep.exe" /spath="C:\Users\stu\Documents\Analysis\2016-02-23 RTDC Observations" /stypes="*4040*20160708*" /stext=" 00:.+((prompt.+disp)|(slice.+state.+chan)|(ment ac)|(system.+state.+chan)|(\|lc)|(penalty)|(\[timeout))" /e /r /s</v>
      </c>
    </row>
    <row r="196" spans="1:32" x14ac:dyDescent="0.25">
      <c r="A196" s="34" t="s">
        <v>670</v>
      </c>
      <c r="B196" s="64">
        <v>4039</v>
      </c>
      <c r="C196" s="64" t="s">
        <v>60</v>
      </c>
      <c r="D196" s="64" t="s">
        <v>671</v>
      </c>
      <c r="E196" s="70">
        <v>42558.775057870371</v>
      </c>
      <c r="F196" s="70">
        <v>42558.775937500002</v>
      </c>
      <c r="G196" s="71">
        <v>1</v>
      </c>
      <c r="H196" s="70" t="s">
        <v>672</v>
      </c>
      <c r="I196" s="70">
        <v>42558.788680555554</v>
      </c>
      <c r="J196" s="64">
        <v>1</v>
      </c>
      <c r="K196" s="34" t="str">
        <f t="shared" si="55"/>
        <v>4039/4040</v>
      </c>
      <c r="L196" s="34" t="str">
        <f>VLOOKUP(A196,'Trips&amp;Operators'!$C$1:$E$10000,3,FALSE)</f>
        <v>MAYBERRY</v>
      </c>
      <c r="M196" s="6">
        <f t="shared" si="56"/>
        <v>1.2743055551254656E-2</v>
      </c>
      <c r="N196" s="7"/>
      <c r="O196" s="7"/>
      <c r="P196" s="7"/>
      <c r="Q196" s="35"/>
      <c r="R196" s="35"/>
      <c r="S196" s="54"/>
      <c r="T196" s="98"/>
      <c r="U196" s="98"/>
      <c r="V196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18:35:05-0600',mode:absolute,to:'2016-07-07 18:56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6" s="106"/>
      <c r="X196" s="106"/>
      <c r="Y196" s="106"/>
      <c r="Z196" s="106"/>
      <c r="AA196" s="106"/>
      <c r="AB196" s="107"/>
      <c r="AC196" s="107"/>
      <c r="AD196" s="108" t="str">
        <f t="shared" si="58"/>
        <v>0838-07</v>
      </c>
      <c r="AE196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96" s="108" t="str">
        <f t="shared" si="54"/>
        <v>"C:\Program Files (x86)\AstroGrep\AstroGrep.exe" /spath="C:\Users\stu\Documents\Analysis\2016-02-23 RTDC Observations" /stypes="*4039*20160708*" /stext=" 00:.+((prompt.+disp)|(slice.+state.+chan)|(ment ac)|(system.+state.+chan)|(\|lc)|(penalty)|(\[timeout))" /e /r /s</v>
      </c>
    </row>
    <row r="197" spans="1:32" x14ac:dyDescent="0.25">
      <c r="A197" s="34" t="s">
        <v>673</v>
      </c>
      <c r="B197" s="64">
        <v>4025</v>
      </c>
      <c r="C197" s="64" t="s">
        <v>60</v>
      </c>
      <c r="D197" s="64" t="s">
        <v>674</v>
      </c>
      <c r="E197" s="70">
        <v>42558.781631944446</v>
      </c>
      <c r="F197" s="70">
        <v>42558.782997685186</v>
      </c>
      <c r="G197" s="71">
        <v>1</v>
      </c>
      <c r="H197" s="70" t="s">
        <v>638</v>
      </c>
      <c r="I197" s="70">
        <v>42558.796226851853</v>
      </c>
      <c r="J197" s="64">
        <v>1</v>
      </c>
      <c r="K197" s="34" t="str">
        <f t="shared" si="55"/>
        <v>4025/4026</v>
      </c>
      <c r="L197" s="34" t="str">
        <f>VLOOKUP(A197,'Trips&amp;Operators'!$C$1:$E$10000,3,FALSE)</f>
        <v>DE LA ROSA</v>
      </c>
      <c r="M197" s="6">
        <f t="shared" si="56"/>
        <v>1.3229166666860692E-2</v>
      </c>
      <c r="N197" s="7"/>
      <c r="O197" s="7"/>
      <c r="P197" s="7"/>
      <c r="Q197" s="35"/>
      <c r="R197" s="35"/>
      <c r="S197" s="54"/>
      <c r="T197" s="98"/>
      <c r="U197" s="98"/>
      <c r="V197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18:44:33-0600',mode:absolute,to:'2016-07-07 19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97" s="106"/>
      <c r="X197" s="106"/>
      <c r="Y197" s="106"/>
      <c r="Z197" s="106"/>
      <c r="AA197" s="106"/>
      <c r="AB197" s="107"/>
      <c r="AC197" s="107"/>
      <c r="AD197" s="108" t="str">
        <f t="shared" si="58"/>
        <v>0839-07</v>
      </c>
      <c r="AE197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197" s="108" t="str">
        <f t="shared" si="54"/>
        <v>"C:\Program Files (x86)\AstroGrep\AstroGrep.exe" /spath="C:\Users\stu\Documents\Analysis\2016-02-23 RTDC Observations" /stypes="*4025*20160708*" /stext=" 00:.+((prompt.+disp)|(slice.+state.+chan)|(ment ac)|(system.+state.+chan)|(\|lc)|(penalty)|(\[timeout))" /e /r /s</v>
      </c>
    </row>
    <row r="198" spans="1:32" x14ac:dyDescent="0.25">
      <c r="A198" s="34" t="s">
        <v>675</v>
      </c>
      <c r="B198" s="64">
        <v>4039</v>
      </c>
      <c r="C198" s="64" t="s">
        <v>60</v>
      </c>
      <c r="D198" s="64" t="s">
        <v>676</v>
      </c>
      <c r="E198" s="70">
        <v>42558.817893518521</v>
      </c>
      <c r="F198" s="70">
        <v>42558.818668981483</v>
      </c>
      <c r="G198" s="71">
        <v>1</v>
      </c>
      <c r="H198" s="70" t="s">
        <v>677</v>
      </c>
      <c r="I198" s="70">
        <v>42558.829363425924</v>
      </c>
      <c r="J198" s="64">
        <v>0</v>
      </c>
      <c r="K198" s="34" t="str">
        <f t="shared" si="55"/>
        <v>4039/4040</v>
      </c>
      <c r="L198" s="34" t="str">
        <f>VLOOKUP(A198,'Trips&amp;Operators'!$C$1:$E$10000,3,FALSE)</f>
        <v>MAYBERRY</v>
      </c>
      <c r="M198" s="6">
        <f t="shared" si="56"/>
        <v>1.0694444441469386E-2</v>
      </c>
      <c r="N198" s="7"/>
      <c r="O198" s="7"/>
      <c r="P198" s="7"/>
      <c r="Q198" s="35"/>
      <c r="R198" s="35"/>
      <c r="S198" s="54"/>
      <c r="T198" s="98"/>
      <c r="U198" s="98"/>
      <c r="V198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19:36:46-0600',mode:absolute,to:'2016-07-07 19:55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8" s="106"/>
      <c r="X198" s="106"/>
      <c r="Y198" s="106"/>
      <c r="Z198" s="106"/>
      <c r="AA198" s="106"/>
      <c r="AB198" s="107"/>
      <c r="AC198" s="107"/>
      <c r="AD198" s="108" t="str">
        <f t="shared" si="58"/>
        <v>0840-07</v>
      </c>
      <c r="AE19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198" s="108" t="str">
        <f t="shared" si="54"/>
        <v>"C:\Program Files (x86)\AstroGrep\AstroGrep.exe" /spath="C:\Users\stu\Documents\Analysis\2016-02-23 RTDC Observations" /stypes="*4039*20160708*" /stext=" 01:.+((prompt.+disp)|(slice.+state.+chan)|(ment ac)|(system.+state.+chan)|(\|lc)|(penalty)|(\[timeout))" /e /r /s</v>
      </c>
    </row>
    <row r="199" spans="1:32" x14ac:dyDescent="0.25">
      <c r="A199" s="34" t="s">
        <v>678</v>
      </c>
      <c r="B199" s="64">
        <v>4040</v>
      </c>
      <c r="C199" s="64" t="s">
        <v>60</v>
      </c>
      <c r="D199" s="64" t="s">
        <v>659</v>
      </c>
      <c r="E199" s="70">
        <v>42558.804224537038</v>
      </c>
      <c r="F199" s="70">
        <v>42558.806215277778</v>
      </c>
      <c r="G199" s="71">
        <v>2</v>
      </c>
      <c r="H199" s="70" t="s">
        <v>679</v>
      </c>
      <c r="I199" s="70">
        <v>42558.816874999997</v>
      </c>
      <c r="J199" s="64">
        <v>2</v>
      </c>
      <c r="K199" s="34" t="str">
        <f t="shared" si="55"/>
        <v>4039/4040</v>
      </c>
      <c r="L199" s="34" t="str">
        <f>VLOOKUP(A199,'Trips&amp;Operators'!$C$1:$E$10000,3,FALSE)</f>
        <v>MAYBERRY</v>
      </c>
      <c r="M199" s="6">
        <f t="shared" si="56"/>
        <v>1.0659722218406387E-2</v>
      </c>
      <c r="N199" s="7"/>
      <c r="O199" s="7"/>
      <c r="P199" s="7"/>
      <c r="Q199" s="35"/>
      <c r="R199" s="35"/>
      <c r="S199" s="54"/>
      <c r="T199" s="98"/>
      <c r="U199" s="98"/>
      <c r="V199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9" s="106"/>
      <c r="X199" s="106"/>
      <c r="Y199" s="106"/>
      <c r="Z199" s="106"/>
      <c r="AA199" s="106"/>
      <c r="AB199" s="107"/>
      <c r="AC199" s="107"/>
      <c r="AD199" s="108" t="str">
        <f t="shared" si="58"/>
        <v>0841-07</v>
      </c>
      <c r="AE199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199" s="108" t="str">
        <f t="shared" si="54"/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</row>
    <row r="200" spans="1:32" x14ac:dyDescent="0.25">
      <c r="A200" s="34" t="s">
        <v>680</v>
      </c>
      <c r="B200" s="64">
        <v>4039</v>
      </c>
      <c r="C200" s="64" t="s">
        <v>60</v>
      </c>
      <c r="D200" s="64" t="s">
        <v>681</v>
      </c>
      <c r="E200" s="70">
        <v>42558.857835648145</v>
      </c>
      <c r="F200" s="70">
        <v>42558.858969907407</v>
      </c>
      <c r="G200" s="71">
        <v>1</v>
      </c>
      <c r="H200" s="70" t="s">
        <v>212</v>
      </c>
      <c r="I200" s="70">
        <v>42558.871053240742</v>
      </c>
      <c r="J200" s="64">
        <v>0</v>
      </c>
      <c r="K200" s="34" t="str">
        <f t="shared" si="55"/>
        <v>4039/4040</v>
      </c>
      <c r="L200" s="34" t="str">
        <f>VLOOKUP(A200,'Trips&amp;Operators'!$C$1:$E$10000,3,FALSE)</f>
        <v>MAYBERRY</v>
      </c>
      <c r="M200" s="6">
        <f t="shared" si="56"/>
        <v>1.2083333334885538E-2</v>
      </c>
      <c r="N200" s="7"/>
      <c r="O200" s="7"/>
      <c r="P200" s="7"/>
      <c r="Q200" s="35"/>
      <c r="R200" s="35"/>
      <c r="S200" s="54"/>
      <c r="T200" s="98"/>
      <c r="U200" s="98"/>
      <c r="V200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20:34:17-0600',mode:absolute,to:'2016-07-07 20:55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0" s="106"/>
      <c r="X200" s="106"/>
      <c r="Y200" s="106"/>
      <c r="Z200" s="106"/>
      <c r="AA200" s="106"/>
      <c r="AB200" s="107"/>
      <c r="AC200" s="107"/>
      <c r="AD200" s="108" t="str">
        <f t="shared" si="58"/>
        <v>0842-07</v>
      </c>
      <c r="AE200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200" s="108" t="str">
        <f t="shared" si="54"/>
        <v>"C:\Program Files (x86)\AstroGrep\AstroGrep.exe" /spath="C:\Users\stu\Documents\Analysis\2016-02-23 RTDC Observations" /stypes="*4039*20160708*" /stext=" 02:.+((prompt.+disp)|(slice.+state.+chan)|(ment ac)|(system.+state.+chan)|(\|lc)|(penalty)|(\[timeout))" /e /r /s</v>
      </c>
    </row>
    <row r="201" spans="1:32" x14ac:dyDescent="0.25">
      <c r="A201" s="34" t="s">
        <v>682</v>
      </c>
      <c r="B201" s="64">
        <v>4040</v>
      </c>
      <c r="C201" s="64" t="s">
        <v>60</v>
      </c>
      <c r="D201" s="64" t="s">
        <v>355</v>
      </c>
      <c r="E201" s="70">
        <v>42558.845300925925</v>
      </c>
      <c r="F201" s="70">
        <v>42558.846655092595</v>
      </c>
      <c r="G201" s="71">
        <v>1</v>
      </c>
      <c r="H201" s="70" t="s">
        <v>683</v>
      </c>
      <c r="I201" s="70">
        <v>42558.857037037036</v>
      </c>
      <c r="J201" s="64">
        <v>0</v>
      </c>
      <c r="K201" s="34" t="str">
        <f t="shared" si="55"/>
        <v>4039/4040</v>
      </c>
      <c r="L201" s="34" t="str">
        <f>VLOOKUP(A201,'Trips&amp;Operators'!$C$1:$E$10000,3,FALSE)</f>
        <v>MAYBERRY</v>
      </c>
      <c r="M201" s="6">
        <f t="shared" si="56"/>
        <v>1.0381944441178348E-2</v>
      </c>
      <c r="N201" s="7"/>
      <c r="O201" s="7"/>
      <c r="P201" s="7"/>
      <c r="Q201" s="35"/>
      <c r="R201" s="35"/>
      <c r="S201" s="54"/>
      <c r="T201" s="98"/>
      <c r="U201" s="98"/>
      <c r="V201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20:16:14-0600',mode:absolute,to:'2016-07-07 20:35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01" s="106"/>
      <c r="X201" s="106"/>
      <c r="Y201" s="106"/>
      <c r="Z201" s="106"/>
      <c r="AA201" s="106"/>
      <c r="AB201" s="107"/>
      <c r="AC201" s="107"/>
      <c r="AD201" s="108" t="str">
        <f t="shared" si="58"/>
        <v>0843-07</v>
      </c>
      <c r="AE201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201" s="108" t="str">
        <f t="shared" si="54"/>
        <v>"C:\Program Files (x86)\AstroGrep\AstroGrep.exe" /spath="C:\Users\stu\Documents\Analysis\2016-02-23 RTDC Observations" /stypes="*4040*20160708*" /stext=" 02:.+((prompt.+disp)|(slice.+state.+chan)|(ment ac)|(system.+state.+chan)|(\|lc)|(penalty)|(\[timeout))" /e /r /s</v>
      </c>
    </row>
    <row r="202" spans="1:32" x14ac:dyDescent="0.25">
      <c r="A202" s="34" t="s">
        <v>684</v>
      </c>
      <c r="B202" s="64">
        <v>4039</v>
      </c>
      <c r="C202" s="64" t="s">
        <v>60</v>
      </c>
      <c r="D202" s="64" t="s">
        <v>645</v>
      </c>
      <c r="E202" s="70">
        <v>42558.900034722225</v>
      </c>
      <c r="F202" s="70">
        <v>42558.901076388887</v>
      </c>
      <c r="G202" s="71">
        <v>1</v>
      </c>
      <c r="H202" s="70" t="s">
        <v>685</v>
      </c>
      <c r="I202" s="70">
        <v>42558.912592592591</v>
      </c>
      <c r="J202" s="64">
        <v>0</v>
      </c>
      <c r="K202" s="34" t="str">
        <f t="shared" si="55"/>
        <v>4039/4040</v>
      </c>
      <c r="L202" s="34" t="str">
        <f>VLOOKUP(A202,'Trips&amp;Operators'!$C$1:$E$10000,3,FALSE)</f>
        <v>MAYBERRY</v>
      </c>
      <c r="M202" s="6">
        <f t="shared" si="56"/>
        <v>1.1516203703649808E-2</v>
      </c>
      <c r="N202" s="7"/>
      <c r="O202" s="7"/>
      <c r="P202" s="7"/>
      <c r="Q202" s="35"/>
      <c r="R202" s="35"/>
      <c r="S202" s="54"/>
      <c r="T202" s="98"/>
      <c r="U202" s="98"/>
      <c r="V202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21:35:03-0600',mode:absolute,to:'2016-07-07 21:55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2" s="106"/>
      <c r="X202" s="106"/>
      <c r="Y202" s="106"/>
      <c r="Z202" s="106"/>
      <c r="AA202" s="106"/>
      <c r="AB202" s="107"/>
      <c r="AC202" s="107"/>
      <c r="AD202" s="108" t="str">
        <f t="shared" si="58"/>
        <v>0844-07</v>
      </c>
      <c r="AE202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202" s="108" t="str">
        <f t="shared" si="54"/>
        <v>"C:\Program Files (x86)\AstroGrep\AstroGrep.exe" /spath="C:\Users\stu\Documents\Analysis\2016-02-23 RTDC Observations" /stypes="*4039*20160708*" /stext=" 03:.+((prompt.+disp)|(slice.+state.+chan)|(ment ac)|(system.+state.+chan)|(\|lc)|(penalty)|(\[timeout))" /e /r /s</v>
      </c>
    </row>
    <row r="203" spans="1:32" x14ac:dyDescent="0.25">
      <c r="A203" s="34" t="s">
        <v>686</v>
      </c>
      <c r="B203" s="64">
        <v>4040</v>
      </c>
      <c r="C203" s="64" t="s">
        <v>60</v>
      </c>
      <c r="D203" s="64" t="s">
        <v>353</v>
      </c>
      <c r="E203" s="70">
        <v>42558.887997685182</v>
      </c>
      <c r="F203" s="70">
        <v>42558.88890046296</v>
      </c>
      <c r="G203" s="71">
        <v>1</v>
      </c>
      <c r="H203" s="70" t="s">
        <v>354</v>
      </c>
      <c r="I203" s="70">
        <v>42558.899050925924</v>
      </c>
      <c r="J203" s="64">
        <v>2</v>
      </c>
      <c r="K203" s="34" t="str">
        <f t="shared" si="55"/>
        <v>4039/4040</v>
      </c>
      <c r="L203" s="34" t="str">
        <f>VLOOKUP(A203,'Trips&amp;Operators'!$C$1:$E$10000,3,FALSE)</f>
        <v>MAYBERRY</v>
      </c>
      <c r="M203" s="6">
        <f t="shared" si="56"/>
        <v>1.0150462963792961E-2</v>
      </c>
      <c r="N203" s="7"/>
      <c r="O203" s="7"/>
      <c r="P203" s="7"/>
      <c r="Q203" s="35"/>
      <c r="R203" s="35"/>
      <c r="S203" s="54"/>
      <c r="T203" s="98"/>
      <c r="U203" s="98"/>
      <c r="V203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21:17:43-0600',mode:absolute,to:'2016-07-07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03" s="106"/>
      <c r="X203" s="106"/>
      <c r="Y203" s="106"/>
      <c r="Z203" s="106"/>
      <c r="AA203" s="106"/>
      <c r="AB203" s="107"/>
      <c r="AC203" s="107"/>
      <c r="AD203" s="108" t="str">
        <f t="shared" si="58"/>
        <v>0845-07</v>
      </c>
      <c r="AE203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203" s="108" t="str">
        <f t="shared" si="54"/>
        <v>"C:\Program Files (x86)\AstroGrep\AstroGrep.exe" /spath="C:\Users\stu\Documents\Analysis\2016-02-23 RTDC Observations" /stypes="*4040*20160708*" /stext=" 03:.+((prompt.+disp)|(slice.+state.+chan)|(ment ac)|(system.+state.+chan)|(\|lc)|(penalty)|(\[timeout))" /e /r /s</v>
      </c>
    </row>
    <row r="204" spans="1:32" x14ac:dyDescent="0.25">
      <c r="A204" s="34" t="s">
        <v>687</v>
      </c>
      <c r="B204" s="64">
        <v>4040</v>
      </c>
      <c r="C204" s="64" t="s">
        <v>60</v>
      </c>
      <c r="D204" s="64" t="s">
        <v>688</v>
      </c>
      <c r="E204" s="70">
        <v>42558.930115740739</v>
      </c>
      <c r="F204" s="70">
        <v>42558.93105324074</v>
      </c>
      <c r="G204" s="71">
        <v>1</v>
      </c>
      <c r="H204" s="70" t="s">
        <v>596</v>
      </c>
      <c r="I204" s="70">
        <v>42558.941805555558</v>
      </c>
      <c r="J204" s="64">
        <v>0</v>
      </c>
      <c r="K204" s="34" t="str">
        <f t="shared" si="55"/>
        <v>4039/4040</v>
      </c>
      <c r="L204" s="34" t="str">
        <f>VLOOKUP(A204,'Trips&amp;Operators'!$C$1:$E$10000,3,FALSE)</f>
        <v>MAYBERRY</v>
      </c>
      <c r="M204" s="6">
        <f t="shared" si="56"/>
        <v>1.0752314818091691E-2</v>
      </c>
      <c r="N204" s="7"/>
      <c r="O204" s="7"/>
      <c r="P204" s="7"/>
      <c r="Q204" s="35"/>
      <c r="R204" s="35"/>
      <c r="S204" s="54"/>
      <c r="T204" s="98"/>
      <c r="U204" s="98"/>
      <c r="V204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22:18:22-0600',mode:absolute,to:'2016-07-07 22:37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204" s="106"/>
      <c r="X204" s="106"/>
      <c r="Y204" s="106"/>
      <c r="Z204" s="106"/>
      <c r="AA204" s="106"/>
      <c r="AB204" s="107"/>
      <c r="AC204" s="107"/>
      <c r="AD204" s="108" t="str">
        <f t="shared" si="58"/>
        <v>0847-07</v>
      </c>
      <c r="AE204" s="108" t="str">
        <f t="shared" si="53"/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AF204" s="108" t="str">
        <f t="shared" si="54"/>
        <v>"C:\Program Files (x86)\AstroGrep\AstroGrep.exe" /spath="C:\Users\stu\Documents\Analysis\2016-02-23 RTDC Observations" /stypes="*4040*20160708*" /stext=" 04:.+((prompt.+disp)|(slice.+state.+chan)|(ment ac)|(system.+state.+chan)|(\|lc)|(penalty)|(\[timeout))" /e /r /s</v>
      </c>
    </row>
    <row r="205" spans="1:32" x14ac:dyDescent="0.25">
      <c r="A205" s="34" t="s">
        <v>288</v>
      </c>
      <c r="B205" s="64">
        <v>4025</v>
      </c>
      <c r="C205" s="64" t="s">
        <v>60</v>
      </c>
      <c r="D205" s="64" t="s">
        <v>689</v>
      </c>
      <c r="E205" s="70">
        <v>42558.199618055558</v>
      </c>
      <c r="F205" s="70">
        <v>42558.2030787037</v>
      </c>
      <c r="G205" s="71">
        <v>4</v>
      </c>
      <c r="H205" s="70" t="s">
        <v>214</v>
      </c>
      <c r="I205" s="70">
        <v>42558.209421296298</v>
      </c>
      <c r="J205" s="64">
        <v>2</v>
      </c>
      <c r="K205" s="34" t="str">
        <f t="shared" si="55"/>
        <v>4025/4026</v>
      </c>
      <c r="L205" s="34" t="str">
        <f>VLOOKUP(A205,'Trips&amp;Operators'!$C$1:$E$10000,3,FALSE)</f>
        <v>BEAM</v>
      </c>
      <c r="M205" s="6">
        <f t="shared" si="56"/>
        <v>6.3425925982301123E-3</v>
      </c>
      <c r="N205" s="7"/>
      <c r="O205" s="7"/>
      <c r="P205" s="7"/>
      <c r="Q205" s="35"/>
      <c r="R205" s="35"/>
      <c r="S205" s="54"/>
      <c r="T205" s="98"/>
      <c r="U205" s="98"/>
      <c r="V205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04:46:27-0600',mode:absolute,to:'2016-07-07 05:02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05" s="106"/>
      <c r="X205" s="106"/>
      <c r="Y205" s="106"/>
      <c r="Z205" s="106"/>
      <c r="AA205" s="106"/>
      <c r="AB205" s="107"/>
      <c r="AC205" s="107"/>
      <c r="AD205" s="108" t="str">
        <f t="shared" si="58"/>
        <v>0901-07</v>
      </c>
      <c r="AE205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205" s="108" t="str">
        <f t="shared" si="54"/>
        <v>"C:\Program Files (x86)\AstroGrep\AstroGrep.exe" /spath="C:\Users\stu\Documents\Analysis\2016-02-23 RTDC Observations" /stypes="*4025*20160707*" /stext=" 10:.+((prompt.+disp)|(slice.+state.+chan)|(ment ac)|(system.+state.+chan)|(\|lc)|(penalty)|(\[timeout))" /e /r /s</v>
      </c>
    </row>
    <row r="206" spans="1:32" x14ac:dyDescent="0.25">
      <c r="A206" s="34" t="s">
        <v>690</v>
      </c>
      <c r="B206" s="64">
        <v>4025</v>
      </c>
      <c r="C206" s="64" t="s">
        <v>60</v>
      </c>
      <c r="D206" s="64" t="s">
        <v>691</v>
      </c>
      <c r="E206" s="70">
        <v>42558.353125000001</v>
      </c>
      <c r="F206" s="70">
        <v>42558.354108796295</v>
      </c>
      <c r="G206" s="71">
        <v>1</v>
      </c>
      <c r="H206" s="70" t="s">
        <v>692</v>
      </c>
      <c r="I206" s="70">
        <v>42558.360254629632</v>
      </c>
      <c r="J206" s="64">
        <v>1</v>
      </c>
      <c r="K206" s="34" t="str">
        <f t="shared" si="55"/>
        <v>4025/4026</v>
      </c>
      <c r="L206" s="34" t="str">
        <f>VLOOKUP(A206,'Trips&amp;Operators'!$C$1:$E$10000,3,FALSE)</f>
        <v>BEAM</v>
      </c>
      <c r="M206" s="6">
        <f t="shared" si="56"/>
        <v>6.1458333366317675E-3</v>
      </c>
      <c r="N206" s="7"/>
      <c r="O206" s="7"/>
      <c r="P206" s="7"/>
      <c r="Q206" s="35"/>
      <c r="R206" s="35"/>
      <c r="S206" s="54"/>
      <c r="T206" s="98"/>
      <c r="U206" s="98"/>
      <c r="V206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08:27:30-0600',mode:absolute,to:'2016-07-07 08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206" s="106"/>
      <c r="X206" s="106"/>
      <c r="Y206" s="106"/>
      <c r="Z206" s="106"/>
      <c r="AA206" s="106"/>
      <c r="AB206" s="107"/>
      <c r="AC206" s="107"/>
      <c r="AD206" s="108" t="str">
        <f t="shared" si="58"/>
        <v>0903-07</v>
      </c>
      <c r="AE206" s="108" t="str">
        <f t="shared" si="53"/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AF206" s="108" t="str">
        <f t="shared" si="54"/>
        <v>"C:\Program Files (x86)\AstroGrep\AstroGrep.exe" /spath="C:\Users\stu\Documents\Analysis\2016-02-23 RTDC Observations" /stypes="*4025*20160707*" /stext=" 14:.+((prompt.+disp)|(slice.+state.+chan)|(ment ac)|(system.+state.+chan)|(\|lc)|(penalty)|(\[timeout))" /e /r /s</v>
      </c>
    </row>
    <row r="207" spans="1:32" x14ac:dyDescent="0.25">
      <c r="A207" s="34" t="s">
        <v>693</v>
      </c>
      <c r="B207" s="64">
        <v>4026</v>
      </c>
      <c r="C207" s="64" t="s">
        <v>60</v>
      </c>
      <c r="D207" s="64" t="s">
        <v>358</v>
      </c>
      <c r="E207" s="70">
        <v>42558.797511574077</v>
      </c>
      <c r="F207" s="70">
        <v>42558.798391203702</v>
      </c>
      <c r="G207" s="71">
        <v>1</v>
      </c>
      <c r="H207" s="70" t="s">
        <v>694</v>
      </c>
      <c r="I207" s="70">
        <v>42558.805844907409</v>
      </c>
      <c r="J207" s="64">
        <v>0</v>
      </c>
      <c r="K207" s="34" t="str">
        <f t="shared" si="55"/>
        <v>4025/4026</v>
      </c>
      <c r="L207" s="34" t="str">
        <f>VLOOKUP(A207,'Trips&amp;Operators'!$C$1:$E$10000,3,FALSE)</f>
        <v>DE LA ROSA</v>
      </c>
      <c r="M207" s="6">
        <f t="shared" si="56"/>
        <v>7.4537037071422674E-3</v>
      </c>
      <c r="N207" s="7"/>
      <c r="O207" s="7"/>
      <c r="P207" s="7"/>
      <c r="Q207" s="35"/>
      <c r="R207" s="35"/>
      <c r="S207" s="54"/>
      <c r="T207" s="98"/>
      <c r="U207" s="98"/>
      <c r="V207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19:07:25-0600',mode:absolute,to:'2016-07-07 19:21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207" s="106"/>
      <c r="X207" s="106"/>
      <c r="Y207" s="106"/>
      <c r="Z207" s="106"/>
      <c r="AA207" s="106"/>
      <c r="AB207" s="107"/>
      <c r="AC207" s="107"/>
      <c r="AD207" s="108" t="str">
        <f t="shared" si="58"/>
        <v>0906-07</v>
      </c>
      <c r="AE207" s="108" t="str">
        <f t="shared" si="53"/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AF207" s="108" t="str">
        <f t="shared" si="54"/>
        <v>"C:\Program Files (x86)\AstroGrep\AstroGrep.exe" /spath="C:\Users\stu\Documents\Analysis\2016-02-23 RTDC Observations" /stypes="*4026*20160708*" /stext=" 01:.+((prompt.+disp)|(slice.+state.+chan)|(ment ac)|(system.+state.+chan)|(\|lc)|(penalty)|(\[timeout))" /e /r /s</v>
      </c>
    </row>
    <row r="208" spans="1:32" x14ac:dyDescent="0.25">
      <c r="A208" s="34" t="s">
        <v>695</v>
      </c>
      <c r="B208" s="64">
        <v>4039</v>
      </c>
      <c r="C208" s="64" t="s">
        <v>60</v>
      </c>
      <c r="D208" s="64" t="s">
        <v>350</v>
      </c>
      <c r="E208" s="70">
        <v>42558.942824074074</v>
      </c>
      <c r="F208" s="70">
        <v>42558.943518518521</v>
      </c>
      <c r="G208" s="71">
        <v>0</v>
      </c>
      <c r="H208" s="70" t="s">
        <v>696</v>
      </c>
      <c r="I208" s="70">
        <v>42558.950023148151</v>
      </c>
      <c r="J208" s="64">
        <v>0</v>
      </c>
      <c r="K208" s="34" t="str">
        <f t="shared" si="55"/>
        <v>4039/4040</v>
      </c>
      <c r="L208" s="34" t="str">
        <f>VLOOKUP(A208,'Trips&amp;Operators'!$C$1:$E$10000,3,FALSE)</f>
        <v>MAYBERRY</v>
      </c>
      <c r="M208" s="6">
        <f t="shared" si="56"/>
        <v>6.5046296294895001E-3</v>
      </c>
      <c r="N208" s="7"/>
      <c r="O208" s="7"/>
      <c r="P208" s="7"/>
      <c r="Q208" s="35"/>
      <c r="R208" s="35"/>
      <c r="S208" s="54"/>
      <c r="T208" s="98"/>
      <c r="U208" s="98"/>
      <c r="V208" s="106" t="str">
        <f t="shared" si="57"/>
        <v>https://search-rtdc-monitor-bjffxe2xuh6vdkpspy63sjmuny.us-east-1.es.amazonaws.com/_plugin/kibana/#/discover/Steve-Slow-Train-Analysis-(2080s-and-2083s)?_g=(refreshInterval:(display:Off,section:0,value:0),time:(from:'2016-07-07 22:36:40-0600',mode:absolute,to:'2016-07-07 22:49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8" s="106"/>
      <c r="X208" s="106"/>
      <c r="Y208" s="106"/>
      <c r="Z208" s="106"/>
      <c r="AA208" s="106"/>
      <c r="AB208" s="107"/>
      <c r="AC208" s="107"/>
      <c r="AD208" s="108" t="str">
        <f t="shared" si="58"/>
        <v>0908-07</v>
      </c>
      <c r="AE208" s="108" t="str">
        <f t="shared" si="53"/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AF208" s="108" t="str">
        <f t="shared" si="54"/>
        <v>"C:\Program Files (x86)\AstroGrep\AstroGrep.exe" /spath="C:\Users\stu\Documents\Analysis\2016-02-23 RTDC Observations" /stypes="*4039*20160708*" /stext=" 04:.+((prompt.+disp)|(slice.+state.+chan)|(ment ac)|(system.+state.+chan)|(\|lc)|(penalty)|(\[timeout))" /e /r /s</v>
      </c>
    </row>
  </sheetData>
  <autoFilter ref="A12:AD20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85" priority="75" operator="equal">
      <formula>"Y"</formula>
    </cfRule>
  </conditionalFormatting>
  <conditionalFormatting sqref="X13:X1048576">
    <cfRule type="cellIs" dxfId="84" priority="58" operator="greaterThan">
      <formula>1</formula>
    </cfRule>
  </conditionalFormatting>
  <conditionalFormatting sqref="X12:X1048576">
    <cfRule type="cellIs" dxfId="83" priority="55" operator="equal">
      <formula>0</formula>
    </cfRule>
  </conditionalFormatting>
  <conditionalFormatting sqref="A13:J13 L13:S13 A15:J139 A141:J156 A14:S14 K15:S208">
    <cfRule type="expression" dxfId="82" priority="51">
      <formula>$O13&gt;0</formula>
    </cfRule>
  </conditionalFormatting>
  <conditionalFormatting sqref="A13:J13 L13:S13 A15:J139 A141:J156 A14:S14 K15:S208">
    <cfRule type="expression" dxfId="81" priority="50">
      <formula>$P13&gt;0</formula>
    </cfRule>
  </conditionalFormatting>
  <conditionalFormatting sqref="K13">
    <cfRule type="expression" dxfId="80" priority="6">
      <formula>$O13&gt;0</formula>
    </cfRule>
  </conditionalFormatting>
  <conditionalFormatting sqref="K13">
    <cfRule type="expression" dxfId="79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L13:S13 A15:J139 A141:J156 A14:S14 K15:S208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"/>
  <sheetViews>
    <sheetView zoomScale="85" zoomScaleNormal="85" workbookViewId="0"/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33"/>
    <col min="17" max="17" width="9.140625" style="40"/>
    <col min="18" max="18" width="7.5703125" customWidth="1"/>
    <col min="19" max="19" width="6.85546875" customWidth="1"/>
    <col min="20" max="20" width="18.42578125" style="95" bestFit="1" customWidth="1"/>
  </cols>
  <sheetData>
    <row r="1" spans="1:20" s="33" customFormat="1" ht="15.75" thickBot="1" x14ac:dyDescent="0.3">
      <c r="A1" s="8"/>
      <c r="F1" s="2"/>
      <c r="Q1" s="40"/>
      <c r="T1" s="95"/>
    </row>
    <row r="2" spans="1:20" s="33" customFormat="1" ht="30" x14ac:dyDescent="0.25">
      <c r="A2" s="8"/>
      <c r="F2" s="2"/>
      <c r="K2" s="55" t="s">
        <v>114</v>
      </c>
      <c r="L2" s="56"/>
      <c r="M2" s="57">
        <f>COUNTIF($M$7:$M$815,"=Y")</f>
        <v>16</v>
      </c>
      <c r="Q2" s="40"/>
      <c r="T2" s="95"/>
    </row>
    <row r="3" spans="1:20" s="33" customFormat="1" ht="15.75" thickBot="1" x14ac:dyDescent="0.3">
      <c r="A3" s="8"/>
      <c r="F3" s="2"/>
      <c r="K3" s="58" t="s">
        <v>115</v>
      </c>
      <c r="L3" s="59"/>
      <c r="M3" s="60">
        <f>COUNTA($M$7:$M$815)-M2</f>
        <v>80</v>
      </c>
      <c r="Q3" s="40"/>
      <c r="T3" s="95"/>
    </row>
    <row r="4" spans="1:20" s="33" customFormat="1" x14ac:dyDescent="0.25">
      <c r="A4" s="8"/>
      <c r="F4" s="2"/>
      <c r="Q4" s="40"/>
      <c r="T4" s="95"/>
    </row>
    <row r="5" spans="1:20" s="16" customFormat="1" ht="15" customHeight="1" x14ac:dyDescent="0.25">
      <c r="A5" s="118" t="str">
        <f>"Eagle P3 Braking Events - "&amp;TEXT(Variables!$A$2,"YYYY-mm-dd")</f>
        <v>Eagle P3 Braking Events - 2016-07-07</v>
      </c>
      <c r="B5" s="118"/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7"/>
      <c r="Q5" s="38"/>
      <c r="T5" s="96"/>
    </row>
    <row r="6" spans="1:20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85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99" t="s">
        <v>371</v>
      </c>
      <c r="Q6" s="99" t="s">
        <v>71</v>
      </c>
      <c r="R6" s="100" t="s">
        <v>370</v>
      </c>
      <c r="S6" s="14" t="s">
        <v>363</v>
      </c>
      <c r="T6" s="97" t="s">
        <v>364</v>
      </c>
    </row>
    <row r="7" spans="1:20" s="1" customFormat="1" x14ac:dyDescent="0.25">
      <c r="A7" s="61">
        <v>42558.288287037038</v>
      </c>
      <c r="B7" s="50" t="s">
        <v>123</v>
      </c>
      <c r="C7" s="50" t="s">
        <v>274</v>
      </c>
      <c r="D7" s="50" t="s">
        <v>55</v>
      </c>
      <c r="E7" s="50" t="s">
        <v>699</v>
      </c>
      <c r="F7" s="86">
        <v>790</v>
      </c>
      <c r="G7" s="50">
        <v>841</v>
      </c>
      <c r="H7" s="50">
        <v>140774</v>
      </c>
      <c r="I7" s="50" t="s">
        <v>59</v>
      </c>
      <c r="J7" s="50">
        <v>110617</v>
      </c>
      <c r="K7" s="50" t="s">
        <v>53</v>
      </c>
      <c r="L7" s="11" t="str">
        <f>VLOOKUP(C7,'Trips&amp;Operators'!$C$1:$E$10000,3,FALSE)</f>
        <v>MAELZER</v>
      </c>
      <c r="M7" s="10" t="s">
        <v>113</v>
      </c>
      <c r="N7" s="11" t="s">
        <v>365</v>
      </c>
      <c r="O7" s="33"/>
      <c r="P7" s="103" t="str">
        <f>VLOOKUP(C7,'Train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7" s="101" t="str">
        <f>VLOOKUP(C7,'Train Runs'!$A$13:$AE$953,22,0)</f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07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7" s="102" t="str">
        <f>VLOOKUP(C7,'Train Runs'!$A$13:$AF$953,32,0)</f>
        <v>"C:\Program Files (x86)\AstroGrep\AstroGrep.exe" /spath="C:\Users\stu\Documents\Analysis\2016-02-23 RTDC Observations" /stypes="*4011*20160707*" /stext=" 12:.+((prompt.+disp)|(slice.+state.+chan)|(ment ac)|(system.+state.+chan)|(\|lc)|(penalty)|(\[timeout))" /e /r /s</v>
      </c>
      <c r="S7" s="10" t="str">
        <f>MID(B7,13,4)</f>
        <v>4011</v>
      </c>
      <c r="T7" s="61">
        <f>A7+6/24</f>
        <v>42558.538287037038</v>
      </c>
    </row>
    <row r="8" spans="1:20" s="1" customFormat="1" x14ac:dyDescent="0.25">
      <c r="A8" s="61">
        <v>42558.74728009259</v>
      </c>
      <c r="B8" s="50" t="s">
        <v>79</v>
      </c>
      <c r="C8" s="50" t="s">
        <v>544</v>
      </c>
      <c r="D8" s="50" t="s">
        <v>50</v>
      </c>
      <c r="E8" s="83" t="s">
        <v>697</v>
      </c>
      <c r="F8" s="86">
        <v>480</v>
      </c>
      <c r="G8" s="50">
        <v>528</v>
      </c>
      <c r="H8" s="50">
        <v>41540</v>
      </c>
      <c r="I8" s="83" t="s">
        <v>698</v>
      </c>
      <c r="J8" s="50">
        <v>42779</v>
      </c>
      <c r="K8" s="50" t="s">
        <v>53</v>
      </c>
      <c r="L8" s="11" t="str">
        <f>VLOOKUP(C8,'Trips&amp;Operators'!$C$1:$E$10000,3,FALSE)</f>
        <v>DAVIS</v>
      </c>
      <c r="M8" s="10" t="s">
        <v>113</v>
      </c>
      <c r="N8" s="11" t="s">
        <v>736</v>
      </c>
      <c r="P8" s="103" t="str">
        <f>VLOOKUP(C8,'Train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8" s="101" t="str">
        <f>VLOOKUP(C8,'Train Runs'!$A$13:$AE$953,22,0)</f>
        <v>https://search-rtdc-monitor-bjffxe2xuh6vdkpspy63sjmuny.us-east-1.es.amazonaws.com/_plugin/kibana/#/discover/Steve-Slow-Train-Analysis-(2080s-and-2083s)?_g=(refreshInterval:(display:Off,section:0,value:0),time:(from:'2016-07-07 17:37:26-0600',mode:absolute,to:'2016-07-07 17:58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8" s="102" t="str">
        <f>VLOOKUP(C8,'Train Runs'!$A$13:$AF$953,32,0)</f>
        <v>"C:\Program Files (x86)\AstroGrep\AstroGrep.exe" /spath="C:\Users\stu\Documents\Analysis\2016-02-23 RTDC Observations" /stypes="*4031*20160707*" /stext=" 23:.+((prompt.+disp)|(slice.+state.+chan)|(ment ac)|(system.+state.+chan)|(\|lc)|(penalty)|(\[timeout))" /e /r /s</v>
      </c>
      <c r="S8" s="10" t="str">
        <f>MID(B8,13,4)</f>
        <v>4031</v>
      </c>
      <c r="T8" s="61">
        <f>A8+6/24</f>
        <v>42558.99728009259</v>
      </c>
    </row>
    <row r="9" spans="1:20" s="1" customFormat="1" x14ac:dyDescent="0.25">
      <c r="A9" s="61">
        <v>42558.379710648151</v>
      </c>
      <c r="B9" s="50" t="s">
        <v>134</v>
      </c>
      <c r="C9" s="50" t="s">
        <v>417</v>
      </c>
      <c r="D9" s="50" t="s">
        <v>50</v>
      </c>
      <c r="E9" s="50" t="s">
        <v>697</v>
      </c>
      <c r="F9" s="86">
        <v>570</v>
      </c>
      <c r="G9" s="50">
        <v>636</v>
      </c>
      <c r="H9" s="50">
        <v>43060</v>
      </c>
      <c r="I9" s="50" t="s">
        <v>698</v>
      </c>
      <c r="J9" s="50">
        <v>42961</v>
      </c>
      <c r="K9" s="50" t="s">
        <v>54</v>
      </c>
      <c r="L9" s="11" t="str">
        <f>VLOOKUP(C9,'Trips&amp;Operators'!$C$1:$E$10000,3,FALSE)</f>
        <v>YORK</v>
      </c>
      <c r="M9" s="10" t="s">
        <v>113</v>
      </c>
      <c r="N9" s="11" t="s">
        <v>736</v>
      </c>
      <c r="O9" s="33"/>
      <c r="P9" s="103" t="str">
        <f>VLOOKUP(C9,'Train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9" s="101" t="str">
        <f>VLOOKUP(C9,'Train Runs'!$A$13:$AE$953,22,0)</f>
        <v>https://search-rtdc-monitor-bjffxe2xuh6vdkpspy63sjmuny.us-east-1.es.amazonaws.com/_plugin/kibana/#/discover/Steve-Slow-Train-Analysis-(2080s-and-2083s)?_g=(refreshInterval:(display:Off,section:0,value:0),time:(from:'2016-07-07 08:21:30-0600',mode:absolute,to:'2016-07-07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9" s="102" t="str">
        <f>VLOOKUP(C9,'Train Runs'!$A$13:$AF$953,32,0)</f>
        <v>"C:\Program Files (x86)\AstroGrep\AstroGrep.exe" /spath="C:\Users\stu\Documents\Analysis\2016-02-23 RTDC Observations" /stypes="*4037*20160707*" /stext=" 14:.+((prompt.+disp)|(slice.+state.+chan)|(ment ac)|(system.+state.+chan)|(\|lc)|(penalty)|(\[timeout))" /e /r /s</v>
      </c>
      <c r="S9" s="10" t="str">
        <f>MID(B9,13,4)</f>
        <v>4037</v>
      </c>
      <c r="T9" s="61">
        <f>A9+6/24</f>
        <v>42558.629710648151</v>
      </c>
    </row>
    <row r="10" spans="1:20" s="1" customFormat="1" x14ac:dyDescent="0.25">
      <c r="A10" s="61">
        <v>42558.696585648147</v>
      </c>
      <c r="B10" s="50" t="s">
        <v>134</v>
      </c>
      <c r="C10" s="50" t="s">
        <v>505</v>
      </c>
      <c r="D10" s="50" t="s">
        <v>50</v>
      </c>
      <c r="E10" s="83" t="s">
        <v>697</v>
      </c>
      <c r="F10" s="86">
        <v>0</v>
      </c>
      <c r="G10" s="50">
        <v>657</v>
      </c>
      <c r="H10" s="50">
        <v>47975</v>
      </c>
      <c r="I10" s="83" t="s">
        <v>698</v>
      </c>
      <c r="J10" s="50">
        <v>53155</v>
      </c>
      <c r="K10" s="50" t="s">
        <v>53</v>
      </c>
      <c r="L10" s="11" t="str">
        <f>VLOOKUP(C10,'Trips&amp;Operators'!$C$1:$E$10000,3,FALSE)</f>
        <v>SPECTOR</v>
      </c>
      <c r="M10" s="10" t="s">
        <v>113</v>
      </c>
      <c r="N10" s="11" t="s">
        <v>737</v>
      </c>
      <c r="O10" s="33"/>
      <c r="P10" s="103" t="str">
        <f>VLOOKUP(C10,'Train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10" s="101" t="str">
        <f>VLOOKUP(C10,'Train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15:31:34-0600',mode:absolute,to:'2016-07-07 16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10" s="102" t="str">
        <f>VLOOKUP(C10,'Train Runs'!$A$13:$AF$953,32,0)</f>
        <v>"C:\Program Files (x86)\AstroGrep\AstroGrep.exe" /spath="C:\Users\stu\Documents\Analysis\2016-02-23 RTDC Observations" /stypes="*4037*20160707*" /stext=" 21:.+((prompt.+disp)|(slice.+state.+chan)|(ment ac)|(system.+state.+chan)|(\|lc)|(penalty)|(\[timeout))" /e /r /s</v>
      </c>
      <c r="S10" s="10" t="str">
        <f>MID(B10,13,4)</f>
        <v>4037</v>
      </c>
      <c r="T10" s="61">
        <f>A10+6/24</f>
        <v>42558.946585648147</v>
      </c>
    </row>
    <row r="11" spans="1:20" s="1" customFormat="1" x14ac:dyDescent="0.25">
      <c r="A11" s="61">
        <v>42558.664502314816</v>
      </c>
      <c r="B11" s="50" t="s">
        <v>155</v>
      </c>
      <c r="C11" s="50" t="s">
        <v>516</v>
      </c>
      <c r="D11" s="50" t="s">
        <v>50</v>
      </c>
      <c r="E11" s="83" t="s">
        <v>697</v>
      </c>
      <c r="F11" s="86">
        <v>0</v>
      </c>
      <c r="G11" s="50">
        <v>308</v>
      </c>
      <c r="H11" s="50">
        <v>51847</v>
      </c>
      <c r="I11" s="83" t="s">
        <v>698</v>
      </c>
      <c r="J11" s="50">
        <v>53155</v>
      </c>
      <c r="K11" s="50" t="s">
        <v>53</v>
      </c>
      <c r="L11" s="11" t="str">
        <f>VLOOKUP(C11,'Trips&amp;Operators'!$C$1:$E$10000,3,FALSE)</f>
        <v>STORY</v>
      </c>
      <c r="M11" s="10" t="s">
        <v>113</v>
      </c>
      <c r="N11" s="11" t="s">
        <v>737</v>
      </c>
      <c r="P11" s="103" t="str">
        <f>VLOOKUP(C11,'Train Runs'!$A$13:$AE$953,31,0)</f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Q11" s="101" t="str">
        <f>VLOOKUP(C11,'Train Runs'!$A$13:$AE$953,22,0)</f>
        <v>https://search-rtdc-monitor-bjffxe2xuh6vdkpspy63sjmuny.us-east-1.es.amazonaws.com/_plugin/kibana/#/discover/Steve-Slow-Train-Analysis-(2080s-and-2083s)?_g=(refreshInterval:(display:Off,section:0,value:0),time:(from:'2016-07-07 15:40:37-0600',mode:absolute,to:'2016-07-07 16:24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1" s="102" t="str">
        <f>VLOOKUP(C11,'Train Runs'!$A$13:$AF$953,32,0)</f>
        <v>"C:\Program Files (x86)\AstroGrep\AstroGrep.exe" /spath="C:\Users\stu\Documents\Analysis\2016-02-23 RTDC Observations" /stypes="*4044*20160707*" /stext=" 21:.+((prompt.+disp)|(slice.+state.+chan)|(ment ac)|(system.+state.+chan)|(\|lc)|(penalty)|(\[timeout))" /e /r /s</v>
      </c>
      <c r="S11" s="10" t="str">
        <f>MID(B11,13,4)</f>
        <v>4044</v>
      </c>
      <c r="T11" s="61">
        <f>A11+6/24</f>
        <v>42558.914502314816</v>
      </c>
    </row>
    <row r="12" spans="1:20" s="1" customFormat="1" x14ac:dyDescent="0.25">
      <c r="A12" s="61">
        <v>42558.631111111114</v>
      </c>
      <c r="B12" s="50" t="s">
        <v>131</v>
      </c>
      <c r="C12" s="50" t="s">
        <v>490</v>
      </c>
      <c r="D12" s="50" t="s">
        <v>50</v>
      </c>
      <c r="E12" s="83" t="s">
        <v>697</v>
      </c>
      <c r="F12" s="86">
        <v>150</v>
      </c>
      <c r="G12" s="50">
        <v>151</v>
      </c>
      <c r="H12" s="50">
        <v>53511</v>
      </c>
      <c r="I12" s="83" t="s">
        <v>698</v>
      </c>
      <c r="J12" s="50">
        <v>53277</v>
      </c>
      <c r="K12" s="50" t="s">
        <v>54</v>
      </c>
      <c r="L12" s="11" t="str">
        <f>VLOOKUP(C12,'Trips&amp;Operators'!$C$1:$E$10000,3,FALSE)</f>
        <v>ROCHA</v>
      </c>
      <c r="M12" s="10" t="s">
        <v>113</v>
      </c>
      <c r="N12" s="11" t="s">
        <v>736</v>
      </c>
      <c r="P12" s="103" t="str">
        <f>VLOOKUP(C12,'Train Runs'!$A$13:$AE$953,31,0)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Q12" s="101" t="str">
        <f>VLOOKUP(C12,'Train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14:39:01-0600',mode:absolute,to:'2016-07-07 15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12" s="102" t="str">
        <f>VLOOKUP(C12,'Train Runs'!$A$13:$AF$953,32,0)</f>
        <v>"C:\Program Files (x86)\AstroGrep\AstroGrep.exe" /spath="C:\Users\stu\Documents\Analysis\2016-02-23 RTDC Observations" /stypes="*4013*20160707*" /stext=" 20:.+((prompt.+disp)|(slice.+state.+chan)|(ment ac)|(system.+state.+chan)|(\|lc)|(penalty)|(\[timeout))" /e /r /s</v>
      </c>
      <c r="S12" s="10" t="str">
        <f>MID(B12,13,4)</f>
        <v>4013</v>
      </c>
      <c r="T12" s="61">
        <f>A12+6/24</f>
        <v>42558.881111111114</v>
      </c>
    </row>
    <row r="13" spans="1:20" s="1" customFormat="1" x14ac:dyDescent="0.25">
      <c r="A13" s="61">
        <v>42558.891064814816</v>
      </c>
      <c r="B13" s="50" t="s">
        <v>165</v>
      </c>
      <c r="C13" s="50" t="s">
        <v>686</v>
      </c>
      <c r="D13" s="50" t="s">
        <v>55</v>
      </c>
      <c r="E13" s="83" t="s">
        <v>58</v>
      </c>
      <c r="F13" s="86">
        <v>150</v>
      </c>
      <c r="G13" s="50">
        <v>203</v>
      </c>
      <c r="H13" s="50">
        <v>5323</v>
      </c>
      <c r="I13" s="83" t="s">
        <v>59</v>
      </c>
      <c r="J13" s="50">
        <v>574</v>
      </c>
      <c r="K13" s="50" t="s">
        <v>53</v>
      </c>
      <c r="L13" s="11" t="str">
        <f>VLOOKUP(C13,'Trips&amp;Operators'!$C$1:$E$10000,3,FALSE)</f>
        <v>MAYBERRY</v>
      </c>
      <c r="M13" s="10" t="s">
        <v>113</v>
      </c>
      <c r="N13" s="11"/>
      <c r="P13" s="103" t="str">
        <f>VLOOKUP(C13,'Train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13" s="101" t="str">
        <f>VLOOKUP(C13,'Train Runs'!$A$13:$AE$953,22,0)</f>
        <v>https://search-rtdc-monitor-bjffxe2xuh6vdkpspy63sjmuny.us-east-1.es.amazonaws.com/_plugin/kibana/#/discover/Steve-Slow-Train-Analysis-(2080s-and-2083s)?_g=(refreshInterval:(display:Off,section:0,value:0),time:(from:'2016-07-07 21:17:43-0600',mode:absolute,to:'2016-07-07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3" s="102" t="str">
        <f>VLOOKUP(C13,'Train Runs'!$A$13:$AF$953,32,0)</f>
        <v>"C:\Program Files (x86)\AstroGrep\AstroGrep.exe" /spath="C:\Users\stu\Documents\Analysis\2016-02-23 RTDC Observations" /stypes="*4040*20160708*" /stext=" 03:.+((prompt.+disp)|(slice.+state.+chan)|(ment ac)|(system.+state.+chan)|(\|lc)|(penalty)|(\[timeout))" /e /r /s</v>
      </c>
      <c r="S13" s="10" t="str">
        <f>MID(B13,13,4)</f>
        <v>4040</v>
      </c>
      <c r="T13" s="61">
        <f>A13+6/24</f>
        <v>42559.141064814816</v>
      </c>
    </row>
    <row r="14" spans="1:20" s="1" customFormat="1" x14ac:dyDescent="0.25">
      <c r="A14" s="61">
        <v>42558.356296296297</v>
      </c>
      <c r="B14" s="50" t="s">
        <v>132</v>
      </c>
      <c r="C14" s="50" t="s">
        <v>690</v>
      </c>
      <c r="D14" s="50" t="s">
        <v>55</v>
      </c>
      <c r="E14" s="83" t="s">
        <v>58</v>
      </c>
      <c r="F14" s="86">
        <v>150</v>
      </c>
      <c r="G14" s="50">
        <v>201</v>
      </c>
      <c r="H14" s="50">
        <v>2811</v>
      </c>
      <c r="I14" s="83" t="s">
        <v>59</v>
      </c>
      <c r="J14" s="50">
        <v>574</v>
      </c>
      <c r="K14" s="50" t="s">
        <v>53</v>
      </c>
      <c r="L14" s="11" t="str">
        <f>VLOOKUP(C14,'Trips&amp;Operators'!$C$1:$E$10000,3,FALSE)</f>
        <v>BEAM</v>
      </c>
      <c r="M14" s="10" t="s">
        <v>113</v>
      </c>
      <c r="N14" s="11"/>
      <c r="P14" s="103" t="str">
        <f>VLOOKUP(C14,'Train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14" s="101" t="str">
        <f>VLOOKUP(C14,'Train Runs'!$A$13:$AE$953,22,0)</f>
        <v>https://search-rtdc-monitor-bjffxe2xuh6vdkpspy63sjmuny.us-east-1.es.amazonaws.com/_plugin/kibana/#/discover/Steve-Slow-Train-Analysis-(2080s-and-2083s)?_g=(refreshInterval:(display:Off,section:0,value:0),time:(from:'2016-07-07 08:27:30-0600',mode:absolute,to:'2016-07-07 08:39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14" s="102" t="str">
        <f>VLOOKUP(C14,'Train Runs'!$A$13:$AF$953,32,0)</f>
        <v>"C:\Program Files (x86)\AstroGrep\AstroGrep.exe" /spath="C:\Users\stu\Documents\Analysis\2016-02-23 RTDC Observations" /stypes="*4025*20160707*" /stext=" 14:.+((prompt.+disp)|(slice.+state.+chan)|(ment ac)|(system.+state.+chan)|(\|lc)|(penalty)|(\[timeout))" /e /r /s</v>
      </c>
      <c r="S14" s="10" t="str">
        <f>MID(B14,13,4)</f>
        <v>4025</v>
      </c>
      <c r="T14" s="61">
        <f>A14+6/24</f>
        <v>42558.606296296297</v>
      </c>
    </row>
    <row r="15" spans="1:20" s="1" customFormat="1" x14ac:dyDescent="0.25">
      <c r="A15" s="61">
        <v>42558.202002314814</v>
      </c>
      <c r="B15" s="50" t="s">
        <v>159</v>
      </c>
      <c r="C15" s="50" t="s">
        <v>295</v>
      </c>
      <c r="D15" s="50" t="s">
        <v>50</v>
      </c>
      <c r="E15" s="83" t="s">
        <v>58</v>
      </c>
      <c r="F15" s="86">
        <v>150</v>
      </c>
      <c r="G15" s="50">
        <v>188</v>
      </c>
      <c r="H15" s="50">
        <v>5119</v>
      </c>
      <c r="I15" s="83" t="s">
        <v>59</v>
      </c>
      <c r="J15" s="50">
        <v>4677</v>
      </c>
      <c r="K15" s="50" t="s">
        <v>54</v>
      </c>
      <c r="L15" s="11" t="str">
        <f>VLOOKUP(C15,'Trips&amp;Operators'!$C$1:$E$10000,3,FALSE)</f>
        <v>CANFIELD</v>
      </c>
      <c r="M15" s="10" t="s">
        <v>113</v>
      </c>
      <c r="N15" s="11"/>
      <c r="P15" s="103" t="str">
        <f>VLOOKUP(C15,'Train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15" s="101" t="str">
        <f>VLOOKUP(C15,'Train Runs'!$A$13:$AE$953,22,0)</f>
        <v>https://search-rtdc-monitor-bjffxe2xuh6vdkpspy63sjmuny.us-east-1.es.amazonaws.com/_plugin/kibana/#/discover/Steve-Slow-Train-Analysis-(2080s-and-2083s)?_g=(refreshInterval:(display:Off,section:0,value:0),time:(from:'2016-07-07 04:22:43-0600',mode:absolute,to:'2016-07-07 04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5" s="102" t="str">
        <f>VLOOKUP(C15,'Train Runs'!$A$13:$AF$953,32,0)</f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  <c r="S15" s="10" t="str">
        <f>MID(B15,13,4)</f>
        <v>4043</v>
      </c>
      <c r="T15" s="61">
        <f>A15+6/24</f>
        <v>42558.452002314814</v>
      </c>
    </row>
    <row r="16" spans="1:20" s="1" customFormat="1" x14ac:dyDescent="0.25">
      <c r="A16" s="61">
        <v>42558.56459490741</v>
      </c>
      <c r="B16" s="50" t="s">
        <v>158</v>
      </c>
      <c r="C16" s="50" t="s">
        <v>467</v>
      </c>
      <c r="D16" s="50" t="s">
        <v>50</v>
      </c>
      <c r="E16" s="83" t="s">
        <v>58</v>
      </c>
      <c r="F16" s="86">
        <v>150</v>
      </c>
      <c r="G16" s="50">
        <v>125</v>
      </c>
      <c r="H16" s="50">
        <v>4886</v>
      </c>
      <c r="I16" s="83" t="s">
        <v>59</v>
      </c>
      <c r="J16" s="50">
        <v>4677</v>
      </c>
      <c r="K16" s="50" t="s">
        <v>54</v>
      </c>
      <c r="L16" s="11" t="str">
        <f>VLOOKUP(C16,'Trips&amp;Operators'!$C$1:$E$10000,3,FALSE)</f>
        <v>ROCHA</v>
      </c>
      <c r="M16" s="10" t="s">
        <v>113</v>
      </c>
      <c r="N16" s="11"/>
      <c r="P16" s="103" t="str">
        <f>VLOOKUP(C16,'Train Runs'!$A$13:$AE$953,31,0)</f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Q16" s="101" t="str">
        <f>VLOOKUP(C16,'Train Runs'!$A$13:$AE$953,22,0)</f>
        <v>https://search-rtdc-monitor-bjffxe2xuh6vdkpspy63sjmuny.us-east-1.es.amazonaws.com/_plugin/kibana/#/discover/Steve-Slow-Train-Analysis-(2080s-and-2083s)?_g=(refreshInterval:(display:Off,section:0,value:0),time:(from:'2016-07-07 12:47:25-0600',mode:absolute,to:'2016-07-07 13:36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6" s="102" t="str">
        <f>VLOOKUP(C16,'Train Runs'!$A$13:$AF$953,32,0)</f>
        <v>"C:\Program Files (x86)\AstroGrep\AstroGrep.exe" /spath="C:\Users\stu\Documents\Analysis\2016-02-23 RTDC Observations" /stypes="*4008*20160707*" /stext=" 18:.+((prompt.+disp)|(slice.+state.+chan)|(ment ac)|(system.+state.+chan)|(\|lc)|(penalty)|(\[timeout))" /e /r /s</v>
      </c>
      <c r="S16" s="10" t="str">
        <f>MID(B16,13,4)</f>
        <v>4008</v>
      </c>
      <c r="T16" s="61">
        <f>A16+6/24</f>
        <v>42558.81459490741</v>
      </c>
    </row>
    <row r="17" spans="1:20" s="1" customFormat="1" x14ac:dyDescent="0.25">
      <c r="A17" s="61">
        <v>42558.719513888886</v>
      </c>
      <c r="B17" s="50" t="s">
        <v>159</v>
      </c>
      <c r="C17" s="50" t="s">
        <v>519</v>
      </c>
      <c r="D17" s="50" t="s">
        <v>50</v>
      </c>
      <c r="E17" s="83" t="s">
        <v>58</v>
      </c>
      <c r="F17" s="86">
        <v>150</v>
      </c>
      <c r="G17" s="50">
        <v>185</v>
      </c>
      <c r="H17" s="50">
        <v>4894</v>
      </c>
      <c r="I17" s="83" t="s">
        <v>59</v>
      </c>
      <c r="J17" s="50">
        <v>4677</v>
      </c>
      <c r="K17" s="50" t="s">
        <v>54</v>
      </c>
      <c r="L17" s="11" t="str">
        <f>VLOOKUP(C17,'Trips&amp;Operators'!$C$1:$E$10000,3,FALSE)</f>
        <v>STORY</v>
      </c>
      <c r="M17" s="10" t="s">
        <v>113</v>
      </c>
      <c r="N17" s="11"/>
      <c r="O17" s="33"/>
      <c r="P17" s="103" t="str">
        <f>VLOOKUP(C17,'Train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17" s="101" t="str">
        <f>VLOOKUP(C17,'Train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16:36:51-0600',mode:absolute,to:'2016-07-07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17" s="102" t="str">
        <f>VLOOKUP(C17,'Train Runs'!$A$13:$AF$953,32,0)</f>
        <v>"C:\Program Files (x86)\AstroGrep\AstroGrep.exe" /spath="C:\Users\stu\Documents\Analysis\2016-02-23 RTDC Observations" /stypes="*4043*20160707*" /stext=" 22:.+((prompt.+disp)|(slice.+state.+chan)|(ment ac)|(system.+state.+chan)|(\|lc)|(penalty)|(\[timeout))" /e /r /s</v>
      </c>
      <c r="S17" s="10" t="str">
        <f>MID(B17,13,4)</f>
        <v>4043</v>
      </c>
      <c r="T17" s="61">
        <f>A17+6/24</f>
        <v>42558.969513888886</v>
      </c>
    </row>
    <row r="18" spans="1:20" s="1" customFormat="1" x14ac:dyDescent="0.25">
      <c r="A18" s="61">
        <v>42558.80841435185</v>
      </c>
      <c r="B18" s="50" t="s">
        <v>165</v>
      </c>
      <c r="C18" s="50" t="s">
        <v>678</v>
      </c>
      <c r="D18" s="50" t="s">
        <v>55</v>
      </c>
      <c r="E18" s="83" t="s">
        <v>58</v>
      </c>
      <c r="F18" s="86">
        <v>200</v>
      </c>
      <c r="G18" s="50">
        <v>255</v>
      </c>
      <c r="H18" s="50">
        <v>6111</v>
      </c>
      <c r="I18" s="83" t="s">
        <v>59</v>
      </c>
      <c r="J18" s="50">
        <v>4790</v>
      </c>
      <c r="K18" s="50" t="s">
        <v>53</v>
      </c>
      <c r="L18" s="11" t="str">
        <f>VLOOKUP(C18,'Trips&amp;Operators'!$C$1:$E$10000,3,FALSE)</f>
        <v>MAYBERRY</v>
      </c>
      <c r="M18" s="10" t="s">
        <v>113</v>
      </c>
      <c r="N18" s="11"/>
      <c r="O18" s="33"/>
      <c r="P18" s="103" t="str">
        <f>VLOOKUP(C18,'Train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18" s="101" t="str">
        <f>VLOOKUP(C18,'Train Runs'!$A$13:$AE$953,22,0)</f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18" s="102" t="str">
        <f>VLOOKUP(C18,'Train Runs'!$A$13:$AF$953,32,0)</f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  <c r="S18" s="10" t="str">
        <f>MID(B18,13,4)</f>
        <v>4040</v>
      </c>
      <c r="T18" s="61">
        <f>A18+6/24</f>
        <v>42559.05841435185</v>
      </c>
    </row>
    <row r="19" spans="1:20" s="1" customFormat="1" x14ac:dyDescent="0.25">
      <c r="A19" s="61">
        <v>42558.661817129629</v>
      </c>
      <c r="B19" s="50" t="s">
        <v>193</v>
      </c>
      <c r="C19" s="50" t="s">
        <v>644</v>
      </c>
      <c r="D19" s="50" t="s">
        <v>50</v>
      </c>
      <c r="E19" s="83" t="s">
        <v>58</v>
      </c>
      <c r="F19" s="86">
        <v>150</v>
      </c>
      <c r="G19" s="50">
        <v>174</v>
      </c>
      <c r="H19" s="50">
        <v>5518</v>
      </c>
      <c r="I19" s="83" t="s">
        <v>59</v>
      </c>
      <c r="J19" s="50">
        <v>5315</v>
      </c>
      <c r="K19" s="50" t="s">
        <v>54</v>
      </c>
      <c r="L19" s="11" t="str">
        <f>VLOOKUP(C19,'Trips&amp;Operators'!$C$1:$E$10000,3,FALSE)</f>
        <v>MAYBERRY</v>
      </c>
      <c r="M19" s="10" t="s">
        <v>113</v>
      </c>
      <c r="N19" s="11"/>
      <c r="O19" s="33"/>
      <c r="P19" s="103" t="str">
        <f>VLOOKUP(C19,'Train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19" s="101" t="str">
        <f>VLOOKUP(C19,'Train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19" s="102" t="str">
        <f>VLOOKUP(C19,'Train Runs'!$A$13:$AF$953,32,0)</f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  <c r="S19" s="10" t="str">
        <f>MID(B19,13,4)</f>
        <v>4039</v>
      </c>
      <c r="T19" s="61">
        <f>A19+6/24</f>
        <v>42558.911817129629</v>
      </c>
    </row>
    <row r="20" spans="1:20" s="1" customFormat="1" x14ac:dyDescent="0.25">
      <c r="A20" s="61">
        <v>42558.661099537036</v>
      </c>
      <c r="B20" s="50" t="s">
        <v>193</v>
      </c>
      <c r="C20" s="50" t="s">
        <v>644</v>
      </c>
      <c r="D20" s="50" t="s">
        <v>50</v>
      </c>
      <c r="E20" s="83" t="s">
        <v>58</v>
      </c>
      <c r="F20" s="86">
        <v>200</v>
      </c>
      <c r="G20" s="50">
        <v>325</v>
      </c>
      <c r="H20" s="50">
        <v>7468</v>
      </c>
      <c r="I20" s="83" t="s">
        <v>59</v>
      </c>
      <c r="J20" s="50">
        <v>5990</v>
      </c>
      <c r="K20" s="50" t="s">
        <v>54</v>
      </c>
      <c r="L20" s="11" t="str">
        <f>VLOOKUP(C20,'Trips&amp;Operators'!$C$1:$E$10000,3,FALSE)</f>
        <v>MAYBERRY</v>
      </c>
      <c r="M20" s="10" t="s">
        <v>113</v>
      </c>
      <c r="N20" s="11"/>
      <c r="O20" s="33"/>
      <c r="P20" s="103" t="str">
        <f>VLOOKUP(C20,'Train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20" s="101" t="str">
        <f>VLOOKUP(C20,'Train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20" s="102" t="str">
        <f>VLOOKUP(C20,'Train Runs'!$A$13:$AF$953,32,0)</f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  <c r="S20" s="10" t="str">
        <f>MID(B20,13,4)</f>
        <v>4039</v>
      </c>
      <c r="T20" s="61">
        <f>A20+6/24</f>
        <v>42558.911099537036</v>
      </c>
    </row>
    <row r="21" spans="1:20" s="1" customFormat="1" x14ac:dyDescent="0.25">
      <c r="A21" s="61">
        <v>42558.373993055553</v>
      </c>
      <c r="B21" s="50" t="s">
        <v>133</v>
      </c>
      <c r="C21" s="50" t="s">
        <v>415</v>
      </c>
      <c r="D21" s="50" t="s">
        <v>50</v>
      </c>
      <c r="E21" s="83" t="s">
        <v>58</v>
      </c>
      <c r="F21" s="86">
        <v>450</v>
      </c>
      <c r="G21" s="50">
        <v>460</v>
      </c>
      <c r="H21" s="50">
        <v>17769</v>
      </c>
      <c r="I21" s="83" t="s">
        <v>59</v>
      </c>
      <c r="J21" s="50">
        <v>15167</v>
      </c>
      <c r="K21" s="50" t="s">
        <v>54</v>
      </c>
      <c r="L21" s="11" t="str">
        <f>VLOOKUP(C21,'Trips&amp;Operators'!$C$1:$E$10000,3,FALSE)</f>
        <v>STARKS</v>
      </c>
      <c r="M21" s="10" t="s">
        <v>113</v>
      </c>
      <c r="N21" s="11"/>
      <c r="P21" s="103" t="str">
        <f>VLOOKUP(C21,'Train Runs'!$A$13:$AE$953,31,0)</f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Q21" s="101" t="str">
        <f>VLOOKUP(C21,'Train Runs'!$A$13:$AE$953,22,0)</f>
        <v>https://search-rtdc-monitor-bjffxe2xuh6vdkpspy63sjmuny.us-east-1.es.amazonaws.com/_plugin/kibana/#/discover/Steve-Slow-Train-Analysis-(2080s-and-2083s)?_g=(refreshInterval:(display:Off,section:0,value:0),time:(from:'2016-07-07 08:17:29-0600',mode:absolute,to:'2016-07-07 09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1" s="102" t="str">
        <f>VLOOKUP(C21,'Train Runs'!$A$13:$AF$953,32,0)</f>
        <v>"C:\Program Files (x86)\AstroGrep\AstroGrep.exe" /spath="C:\Users\stu\Documents\Analysis\2016-02-23 RTDC Observations" /stypes="*4028*20160707*" /stext=" 14:.+((prompt.+disp)|(slice.+state.+chan)|(ment ac)|(system.+state.+chan)|(\|lc)|(penalty)|(\[timeout))" /e /r /s</v>
      </c>
      <c r="S21" s="10" t="str">
        <f>MID(B21,13,4)</f>
        <v>4028</v>
      </c>
      <c r="T21" s="61">
        <f>A21+6/24</f>
        <v>42558.623993055553</v>
      </c>
    </row>
    <row r="22" spans="1:20" s="1" customFormat="1" x14ac:dyDescent="0.25">
      <c r="A22" s="61">
        <v>42558.77065972222</v>
      </c>
      <c r="B22" s="50" t="s">
        <v>124</v>
      </c>
      <c r="C22" s="50" t="s">
        <v>532</v>
      </c>
      <c r="D22" s="50" t="s">
        <v>50</v>
      </c>
      <c r="E22" s="83" t="s">
        <v>58</v>
      </c>
      <c r="F22" s="86">
        <v>450</v>
      </c>
      <c r="G22" s="50">
        <v>450</v>
      </c>
      <c r="H22" s="50">
        <v>17475</v>
      </c>
      <c r="I22" s="83" t="s">
        <v>59</v>
      </c>
      <c r="J22" s="50">
        <v>15167</v>
      </c>
      <c r="K22" s="50" t="s">
        <v>54</v>
      </c>
      <c r="L22" s="11" t="str">
        <f>VLOOKUP(C22,'Trips&amp;Operators'!$C$1:$E$10000,3,FALSE)</f>
        <v>COOLAHAN</v>
      </c>
      <c r="M22" s="10" t="s">
        <v>113</v>
      </c>
      <c r="N22" s="11"/>
      <c r="P22" s="103" t="str">
        <f>VLOOKUP(C22,'Train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22" s="101" t="str">
        <f>VLOOKUP(C22,'Train Runs'!$A$13:$AE$953,22,0)</f>
        <v>https://search-rtdc-monitor-bjffxe2xuh6vdkpspy63sjmuny.us-east-1.es.amazonaws.com/_plugin/kibana/#/discover/Steve-Slow-Train-Analysis-(2080s-and-2083s)?_g=(refreshInterval:(display:Off,section:0,value:0),time:(from:'2016-07-07 17:49:25-0600',mode:absolute,to:'2016-07-07 18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2" s="102" t="str">
        <f>VLOOKUP(C22,'Train Runs'!$A$13:$AF$953,32,0)</f>
        <v>"C:\Program Files (x86)\AstroGrep\AstroGrep.exe" /spath="C:\Users\stu\Documents\Analysis\2016-02-23 RTDC Observations" /stypes="*4012*20160707*" /stext=" 23:.+((prompt.+disp)|(slice.+state.+chan)|(ment ac)|(system.+state.+chan)|(\|lc)|(penalty)|(\[timeout))" /e /r /s</v>
      </c>
      <c r="S22" s="10" t="str">
        <f>MID(B22,13,4)</f>
        <v>4012</v>
      </c>
      <c r="T22" s="61">
        <f>A22+6/24</f>
        <v>42559.02065972222</v>
      </c>
    </row>
    <row r="23" spans="1:20" s="1" customFormat="1" x14ac:dyDescent="0.25">
      <c r="A23" s="61">
        <v>42558.822233796294</v>
      </c>
      <c r="B23" s="50" t="s">
        <v>134</v>
      </c>
      <c r="C23" s="50" t="s">
        <v>552</v>
      </c>
      <c r="D23" s="50" t="s">
        <v>50</v>
      </c>
      <c r="E23" s="83" t="s">
        <v>58</v>
      </c>
      <c r="F23" s="86">
        <v>450</v>
      </c>
      <c r="G23" s="50">
        <v>445</v>
      </c>
      <c r="H23" s="50">
        <v>17548</v>
      </c>
      <c r="I23" s="83" t="s">
        <v>59</v>
      </c>
      <c r="J23" s="50">
        <v>15167</v>
      </c>
      <c r="K23" s="50" t="s">
        <v>54</v>
      </c>
      <c r="L23" s="11" t="str">
        <f>VLOOKUP(C23,'Trips&amp;Operators'!$C$1:$E$10000,3,FALSE)</f>
        <v>ADANE</v>
      </c>
      <c r="M23" s="10" t="s">
        <v>113</v>
      </c>
      <c r="N23" s="11"/>
      <c r="P23" s="103" t="str">
        <f>VLOOKUP(C23,'Train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23" s="101" t="str">
        <f>VLOOKUP(C23,'Train Runs'!$A$13:$AE$953,22,0)</f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3" s="102" t="str">
        <f>VLOOKUP(C23,'Train Runs'!$A$13:$AF$953,32,0)</f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  <c r="S23" s="10" t="str">
        <f>MID(B23,13,4)</f>
        <v>4037</v>
      </c>
      <c r="T23" s="61">
        <f>A23+6/24</f>
        <v>42559.072233796294</v>
      </c>
    </row>
    <row r="24" spans="1:20" s="1" customFormat="1" x14ac:dyDescent="0.25">
      <c r="A24" s="61">
        <v>42558.644421296296</v>
      </c>
      <c r="B24" s="50" t="s">
        <v>165</v>
      </c>
      <c r="C24" s="50" t="s">
        <v>641</v>
      </c>
      <c r="D24" s="50" t="s">
        <v>50</v>
      </c>
      <c r="E24" s="83" t="s">
        <v>58</v>
      </c>
      <c r="F24" s="86">
        <v>300</v>
      </c>
      <c r="G24" s="50">
        <v>412</v>
      </c>
      <c r="H24" s="50">
        <v>19405</v>
      </c>
      <c r="I24" s="83" t="s">
        <v>59</v>
      </c>
      <c r="J24" s="50">
        <v>21299</v>
      </c>
      <c r="K24" s="50" t="s">
        <v>53</v>
      </c>
      <c r="L24" s="11" t="str">
        <f>VLOOKUP(C24,'Trips&amp;Operators'!$C$1:$E$10000,3,FALSE)</f>
        <v>MAYBERRY</v>
      </c>
      <c r="M24" s="10" t="s">
        <v>113</v>
      </c>
      <c r="N24" s="11"/>
      <c r="P24" s="103" t="str">
        <f>VLOOKUP(C24,'Train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24" s="101" t="str">
        <f>VLOOKUP(C24,'Train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15:14:14-0600',mode:absolute,to:'2016-07-07 15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4" s="102" t="str">
        <f>VLOOKUP(C24,'Train Runs'!$A$13:$AF$953,32,0)</f>
        <v>"C:\Program Files (x86)\AstroGrep\AstroGrep.exe" /spath="C:\Users\stu\Documents\Analysis\2016-02-23 RTDC Observations" /stypes="*4040*20160707*" /stext=" 21:.+((prompt.+disp)|(slice.+state.+chan)|(ment ac)|(system.+state.+chan)|(\|lc)|(penalty)|(\[timeout))" /e /r /s</v>
      </c>
      <c r="S24" s="10" t="str">
        <f>MID(B24,13,4)</f>
        <v>4040</v>
      </c>
      <c r="T24" s="61">
        <f>A24+6/24</f>
        <v>42558.894421296296</v>
      </c>
    </row>
    <row r="25" spans="1:20" s="1" customFormat="1" x14ac:dyDescent="0.25">
      <c r="A25" s="61">
        <v>42558.351956018516</v>
      </c>
      <c r="B25" s="50" t="s">
        <v>165</v>
      </c>
      <c r="C25" s="50" t="s">
        <v>612</v>
      </c>
      <c r="D25" s="50" t="s">
        <v>50</v>
      </c>
      <c r="E25" s="83" t="s">
        <v>58</v>
      </c>
      <c r="F25" s="86">
        <v>300</v>
      </c>
      <c r="G25" s="50">
        <v>265</v>
      </c>
      <c r="H25" s="50">
        <v>19425</v>
      </c>
      <c r="I25" s="83" t="s">
        <v>59</v>
      </c>
      <c r="J25" s="50">
        <v>21314</v>
      </c>
      <c r="K25" s="50" t="s">
        <v>53</v>
      </c>
      <c r="L25" s="11" t="str">
        <f>VLOOKUP(C25,'Trips&amp;Operators'!$C$1:$E$10000,3,FALSE)</f>
        <v>NELSON</v>
      </c>
      <c r="M25" s="10" t="s">
        <v>113</v>
      </c>
      <c r="N25" s="11"/>
      <c r="P25" s="103" t="str">
        <f>VLOOKUP(C25,'Train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25" s="101" t="str">
        <f>VLOOKUP(C25,'Train Runs'!$A$13:$AE$953,22,0)</f>
        <v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5" s="102" t="str">
        <f>VLOOKUP(C25,'Train Runs'!$A$13:$AF$953,32,0)</f>
        <v>"C:\Program Files (x86)\AstroGrep\AstroGrep.exe" /spath="C:\Users\stu\Documents\Analysis\2016-02-23 RTDC Observations" /stypes="*4040*20160707*" /stext=" 14:.+((prompt.+disp)|(slice.+state.+chan)|(ment ac)|(system.+state.+chan)|(\|lc)|(penalty)|(\[timeout))" /e /r /s</v>
      </c>
      <c r="S25" s="10" t="str">
        <f>MID(B25,13,4)</f>
        <v>4040</v>
      </c>
      <c r="T25" s="61">
        <f>A25+6/24</f>
        <v>42558.601956018516</v>
      </c>
    </row>
    <row r="26" spans="1:20" s="1" customFormat="1" x14ac:dyDescent="0.25">
      <c r="A26" s="61">
        <v>42558.198703703703</v>
      </c>
      <c r="B26" s="50" t="s">
        <v>159</v>
      </c>
      <c r="C26" s="50" t="s">
        <v>295</v>
      </c>
      <c r="D26" s="50" t="s">
        <v>50</v>
      </c>
      <c r="E26" s="83" t="s">
        <v>58</v>
      </c>
      <c r="F26" s="86">
        <v>300</v>
      </c>
      <c r="G26" s="50">
        <v>434</v>
      </c>
      <c r="H26" s="50">
        <v>23458</v>
      </c>
      <c r="I26" s="83" t="s">
        <v>59</v>
      </c>
      <c r="J26" s="50">
        <v>21848</v>
      </c>
      <c r="K26" s="50" t="s">
        <v>54</v>
      </c>
      <c r="L26" s="11" t="str">
        <f>VLOOKUP(C26,'Trips&amp;Operators'!$C$1:$E$10000,3,FALSE)</f>
        <v>CANFIELD</v>
      </c>
      <c r="M26" s="10" t="s">
        <v>113</v>
      </c>
      <c r="N26" s="11"/>
      <c r="P26" s="103" t="str">
        <f>VLOOKUP(C26,'Train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26" s="101" t="str">
        <f>VLOOKUP(C26,'Train Runs'!$A$13:$AE$953,22,0)</f>
        <v>https://search-rtdc-monitor-bjffxe2xuh6vdkpspy63sjmuny.us-east-1.es.amazonaws.com/_plugin/kibana/#/discover/Steve-Slow-Train-Analysis-(2080s-and-2083s)?_g=(refreshInterval:(display:Off,section:0,value:0),time:(from:'2016-07-07 04:22:43-0600',mode:absolute,to:'2016-07-07 04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6" s="102" t="str">
        <f>VLOOKUP(C26,'Train Runs'!$A$13:$AF$953,32,0)</f>
        <v>"C:\Program Files (x86)\AstroGrep\AstroGrep.exe" /spath="C:\Users\stu\Documents\Analysis\2016-02-23 RTDC Observations" /stypes="*4043*20160707*" /stext=" 10:.+((prompt.+disp)|(slice.+state.+chan)|(ment ac)|(system.+state.+chan)|(\|lc)|(penalty)|(\[timeout))" /e /r /s</v>
      </c>
      <c r="S26" s="10" t="str">
        <f>MID(B26,13,4)</f>
        <v>4043</v>
      </c>
      <c r="T26" s="61">
        <f>A26+6/24</f>
        <v>42558.448703703703</v>
      </c>
    </row>
    <row r="27" spans="1:20" s="1" customFormat="1" x14ac:dyDescent="0.25">
      <c r="A27" s="61">
        <v>42558.768703703703</v>
      </c>
      <c r="B27" s="50" t="s">
        <v>124</v>
      </c>
      <c r="C27" s="50" t="s">
        <v>532</v>
      </c>
      <c r="D27" s="50" t="s">
        <v>50</v>
      </c>
      <c r="E27" s="83" t="s">
        <v>58</v>
      </c>
      <c r="F27" s="86">
        <v>300</v>
      </c>
      <c r="G27" s="50">
        <v>394</v>
      </c>
      <c r="H27" s="50">
        <v>23018</v>
      </c>
      <c r="I27" s="83" t="s">
        <v>59</v>
      </c>
      <c r="J27" s="50">
        <v>21848</v>
      </c>
      <c r="K27" s="50" t="s">
        <v>54</v>
      </c>
      <c r="L27" s="11" t="str">
        <f>VLOOKUP(C27,'Trips&amp;Operators'!$C$1:$E$10000,3,FALSE)</f>
        <v>COOLAHAN</v>
      </c>
      <c r="M27" s="10" t="s">
        <v>113</v>
      </c>
      <c r="N27" s="11"/>
      <c r="P27" s="103" t="str">
        <f>VLOOKUP(C27,'Train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27" s="101" t="str">
        <f>VLOOKUP(C27,'Train Runs'!$A$13:$AE$953,22,0)</f>
        <v>https://search-rtdc-monitor-bjffxe2xuh6vdkpspy63sjmuny.us-east-1.es.amazonaws.com/_plugin/kibana/#/discover/Steve-Slow-Train-Analysis-(2080s-and-2083s)?_g=(refreshInterval:(display:Off,section:0,value:0),time:(from:'2016-07-07 17:49:25-0600',mode:absolute,to:'2016-07-07 18:37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27" s="102" t="str">
        <f>VLOOKUP(C27,'Train Runs'!$A$13:$AF$953,32,0)</f>
        <v>"C:\Program Files (x86)\AstroGrep\AstroGrep.exe" /spath="C:\Users\stu\Documents\Analysis\2016-02-23 RTDC Observations" /stypes="*4012*20160707*" /stext=" 23:.+((prompt.+disp)|(slice.+state.+chan)|(ment ac)|(system.+state.+chan)|(\|lc)|(penalty)|(\[timeout))" /e /r /s</v>
      </c>
      <c r="S27" s="10" t="str">
        <f>MID(B27,13,4)</f>
        <v>4012</v>
      </c>
      <c r="T27" s="61">
        <f>A27+6/24</f>
        <v>42559.018703703703</v>
      </c>
    </row>
    <row r="28" spans="1:20" x14ac:dyDescent="0.25">
      <c r="A28" s="61">
        <v>42558.382407407407</v>
      </c>
      <c r="B28" s="50" t="s">
        <v>134</v>
      </c>
      <c r="C28" s="50" t="s">
        <v>417</v>
      </c>
      <c r="D28" s="50" t="s">
        <v>50</v>
      </c>
      <c r="E28" s="50" t="s">
        <v>58</v>
      </c>
      <c r="F28" s="86">
        <v>200</v>
      </c>
      <c r="G28" s="50">
        <v>242</v>
      </c>
      <c r="H28" s="50">
        <v>31097</v>
      </c>
      <c r="I28" s="50" t="s">
        <v>59</v>
      </c>
      <c r="J28" s="50">
        <v>30562</v>
      </c>
      <c r="K28" s="50" t="s">
        <v>54</v>
      </c>
      <c r="L28" s="11" t="str">
        <f>VLOOKUP(C28,'Trips&amp;Operators'!$C$1:$E$10000,3,FALSE)</f>
        <v>YORK</v>
      </c>
      <c r="M28" s="10" t="s">
        <v>113</v>
      </c>
      <c r="N28" s="11"/>
      <c r="O28" s="33"/>
      <c r="P28" s="103" t="str">
        <f>VLOOKUP(C28,'Train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28" s="101" t="str">
        <f>VLOOKUP(C28,'Train Runs'!$A$13:$AE$953,22,0)</f>
        <v>https://search-rtdc-monitor-bjffxe2xuh6vdkpspy63sjmuny.us-east-1.es.amazonaws.com/_plugin/kibana/#/discover/Steve-Slow-Train-Analysis-(2080s-and-2083s)?_g=(refreshInterval:(display:Off,section:0,value:0),time:(from:'2016-07-07 08:21:30-0600',mode:absolute,to:'2016-07-07 09:19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8" s="102" t="str">
        <f>VLOOKUP(C28,'Train Runs'!$A$13:$AF$953,32,0)</f>
        <v>"C:\Program Files (x86)\AstroGrep\AstroGrep.exe" /spath="C:\Users\stu\Documents\Analysis\2016-02-23 RTDC Observations" /stypes="*4037*20160707*" /stext=" 14:.+((prompt.+disp)|(slice.+state.+chan)|(ment ac)|(system.+state.+chan)|(\|lc)|(penalty)|(\[timeout))" /e /r /s</v>
      </c>
      <c r="S28" s="10" t="str">
        <f>MID(B28,13,4)</f>
        <v>4037</v>
      </c>
      <c r="T28" s="61">
        <f>A28+6/24</f>
        <v>42558.632407407407</v>
      </c>
    </row>
    <row r="29" spans="1:20" x14ac:dyDescent="0.25">
      <c r="A29" s="61">
        <v>42558.768969907411</v>
      </c>
      <c r="B29" s="50" t="s">
        <v>165</v>
      </c>
      <c r="C29" s="50" t="s">
        <v>667</v>
      </c>
      <c r="D29" s="50" t="s">
        <v>50</v>
      </c>
      <c r="E29" s="83" t="s">
        <v>58</v>
      </c>
      <c r="F29" s="86">
        <v>600</v>
      </c>
      <c r="G29" s="50">
        <v>652</v>
      </c>
      <c r="H29" s="50">
        <v>29083</v>
      </c>
      <c r="I29" s="83" t="s">
        <v>59</v>
      </c>
      <c r="J29" s="50">
        <v>30784</v>
      </c>
      <c r="K29" s="50" t="s">
        <v>53</v>
      </c>
      <c r="L29" s="11" t="str">
        <f>VLOOKUP(C29,'Trips&amp;Operators'!$C$1:$E$10000,3,FALSE)</f>
        <v>MAYBERRY</v>
      </c>
      <c r="M29" s="10" t="s">
        <v>113</v>
      </c>
      <c r="N29" s="11"/>
      <c r="O29" s="33"/>
      <c r="P29" s="103" t="str">
        <f>VLOOKUP(C29,'Train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29" s="101" t="str">
        <f>VLOOKUP(C29,'Train Runs'!$A$13:$AE$953,22,0)</f>
        <v>https://search-rtdc-monitor-bjffxe2xuh6vdkpspy63sjmuny.us-east-1.es.amazonaws.com/_plugin/kibana/#/discover/Steve-Slow-Train-Analysis-(2080s-and-2083s)?_g=(refreshInterval:(display:Off,section:0,value:0),time:(from:'2016-07-07 18:16:10-0600',mode:absolute,to:'2016-07-07 18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29" s="102" t="str">
        <f>VLOOKUP(C29,'Train Runs'!$A$13:$AF$953,32,0)</f>
        <v>"C:\Program Files (x86)\AstroGrep\AstroGrep.exe" /spath="C:\Users\stu\Documents\Analysis\2016-02-23 RTDC Observations" /stypes="*4040*20160708*" /stext=" 00:.+((prompt.+disp)|(slice.+state.+chan)|(ment ac)|(system.+state.+chan)|(\|lc)|(penalty)|(\[timeout))" /e /r /s</v>
      </c>
      <c r="S29" s="10" t="str">
        <f>MID(B29,13,4)</f>
        <v>4040</v>
      </c>
      <c r="T29" s="61">
        <f>A29+6/24</f>
        <v>42559.018969907411</v>
      </c>
    </row>
    <row r="30" spans="1:20" x14ac:dyDescent="0.25">
      <c r="A30" s="61">
        <v>42558.649687500001</v>
      </c>
      <c r="B30" s="50" t="s">
        <v>165</v>
      </c>
      <c r="C30" s="50" t="s">
        <v>641</v>
      </c>
      <c r="D30" s="50" t="s">
        <v>50</v>
      </c>
      <c r="E30" s="83" t="s">
        <v>58</v>
      </c>
      <c r="F30" s="86">
        <v>150</v>
      </c>
      <c r="G30" s="50">
        <v>111</v>
      </c>
      <c r="H30" s="50">
        <v>56849</v>
      </c>
      <c r="I30" s="83" t="s">
        <v>59</v>
      </c>
      <c r="J30" s="50">
        <v>57008</v>
      </c>
      <c r="K30" s="50" t="s">
        <v>53</v>
      </c>
      <c r="L30" s="11" t="str">
        <f>VLOOKUP(C30,'Trips&amp;Operators'!$C$1:$E$10000,3,FALSE)</f>
        <v>MAYBERRY</v>
      </c>
      <c r="M30" s="10" t="s">
        <v>113</v>
      </c>
      <c r="N30" s="11"/>
      <c r="O30" s="1"/>
      <c r="P30" s="103" t="str">
        <f>VLOOKUP(C30,'Train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30" s="101" t="str">
        <f>VLOOKUP(C30,'Train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15:14:14-0600',mode:absolute,to:'2016-07-07 15:38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30" s="102" t="str">
        <f>VLOOKUP(C30,'Train Runs'!$A$13:$AF$953,32,0)</f>
        <v>"C:\Program Files (x86)\AstroGrep\AstroGrep.exe" /spath="C:\Users\stu\Documents\Analysis\2016-02-23 RTDC Observations" /stypes="*4040*20160707*" /stext=" 21:.+((prompt.+disp)|(slice.+state.+chan)|(ment ac)|(system.+state.+chan)|(\|lc)|(penalty)|(\[timeout))" /e /r /s</v>
      </c>
      <c r="S30" s="10" t="str">
        <f>MID(B30,13,4)</f>
        <v>4040</v>
      </c>
      <c r="T30" s="61">
        <f>A30+6/24</f>
        <v>42558.899687500001</v>
      </c>
    </row>
    <row r="31" spans="1:20" x14ac:dyDescent="0.25">
      <c r="A31" s="61">
        <v>42558.206817129627</v>
      </c>
      <c r="B31" s="50" t="s">
        <v>132</v>
      </c>
      <c r="C31" s="50" t="s">
        <v>288</v>
      </c>
      <c r="D31" s="50" t="s">
        <v>50</v>
      </c>
      <c r="E31" s="50" t="s">
        <v>58</v>
      </c>
      <c r="F31" s="86">
        <v>150</v>
      </c>
      <c r="G31" s="50">
        <v>150</v>
      </c>
      <c r="H31" s="50">
        <v>56589</v>
      </c>
      <c r="I31" s="50" t="s">
        <v>59</v>
      </c>
      <c r="J31" s="50">
        <v>57008</v>
      </c>
      <c r="K31" s="50" t="s">
        <v>53</v>
      </c>
      <c r="L31" s="11" t="str">
        <f>VLOOKUP(C31,'Trips&amp;Operators'!$C$1:$E$10000,3,FALSE)</f>
        <v>BEAM</v>
      </c>
      <c r="M31" s="10" t="s">
        <v>113</v>
      </c>
      <c r="N31" s="11"/>
      <c r="O31" s="1"/>
      <c r="P31" s="103" t="str">
        <f>VLOOKUP(C31,'Train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31" s="101" t="str">
        <f>VLOOKUP(C31,'Train Runs'!$A$13:$AE$953,22,0)</f>
        <v>https://search-rtdc-monitor-bjffxe2xuh6vdkpspy63sjmuny.us-east-1.es.amazonaws.com/_plugin/kibana/#/discover/Steve-Slow-Train-Analysis-(2080s-and-2083s)?_g=(refreshInterval:(display:Off,section:0,value:0),time:(from:'2016-07-07 04:46:27-0600',mode:absolute,to:'2016-07-07 05:02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31" s="102" t="str">
        <f>VLOOKUP(C31,'Train Runs'!$A$13:$AF$953,32,0)</f>
        <v>"C:\Program Files (x86)\AstroGrep\AstroGrep.exe" /spath="C:\Users\stu\Documents\Analysis\2016-02-23 RTDC Observations" /stypes="*4025*20160707*" /stext=" 10:.+((prompt.+disp)|(slice.+state.+chan)|(ment ac)|(system.+state.+chan)|(\|lc)|(penalty)|(\[timeout))" /e /r /s</v>
      </c>
      <c r="S31" s="10" t="str">
        <f>MID(B31,13,4)</f>
        <v>4025</v>
      </c>
      <c r="T31" s="61">
        <f>A31+6/24</f>
        <v>42558.456817129627</v>
      </c>
    </row>
    <row r="32" spans="1:20" x14ac:dyDescent="0.25">
      <c r="A32" s="13">
        <v>42558.259421296294</v>
      </c>
      <c r="B32" s="12" t="s">
        <v>129</v>
      </c>
      <c r="C32" s="12" t="s">
        <v>309</v>
      </c>
      <c r="D32" s="12" t="s">
        <v>55</v>
      </c>
      <c r="E32" s="84" t="s">
        <v>58</v>
      </c>
      <c r="F32" s="87">
        <v>150</v>
      </c>
      <c r="G32" s="12">
        <v>200</v>
      </c>
      <c r="H32" s="12">
        <v>56693</v>
      </c>
      <c r="I32" s="84" t="s">
        <v>59</v>
      </c>
      <c r="J32" s="12">
        <v>59050</v>
      </c>
      <c r="K32" s="11" t="s">
        <v>54</v>
      </c>
      <c r="L32" s="11" t="str">
        <f>VLOOKUP(C32,'Trips&amp;Operators'!$C$1:$E$10000,3,FALSE)</f>
        <v>BEAM</v>
      </c>
      <c r="M32" s="10" t="s">
        <v>113</v>
      </c>
      <c r="N32" s="11"/>
      <c r="O32" s="1"/>
      <c r="P32" s="103" t="str">
        <f>VLOOKUP(C32,'Train Runs'!$A$13:$AE$953,31,0)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32" s="101" t="str">
        <f>VLOOKUP(C32,'Train Runs'!$A$13:$AE$953,22,0)</f>
        <v>https://search-rtdc-monitor-bjffxe2xuh6vdkpspy63sjmuny.us-east-1.es.amazonaws.com/_plugin/kibana/#/discover/Steve-Slow-Train-Analysis-(2080s-and-2083s)?_g=(refreshInterval:(display:Off,section:0,value:0),time:(from:'2016-07-07 06:08:38-0600',mode:absolute,to:'2016-07-07 06:25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32" s="102" t="str">
        <f>VLOOKUP(C32,'Train Runs'!$A$13:$AF$953,32,0)</f>
        <v>"C:\Program Files (x86)\AstroGrep\AstroGrep.exe" /spath="C:\Users\stu\Documents\Analysis\2016-02-23 RTDC Observations" /stypes="*4026*20160707*" /stext=" 12:.+((prompt.+disp)|(slice.+state.+chan)|(ment ac)|(system.+state.+chan)|(\|lc)|(penalty)|(\[timeout))" /e /r /s</v>
      </c>
      <c r="S32" s="10" t="str">
        <f>MID(B32,13,4)</f>
        <v>4026</v>
      </c>
      <c r="T32" s="61">
        <f>A32+6/24</f>
        <v>42558.509421296294</v>
      </c>
    </row>
    <row r="33" spans="1:20" x14ac:dyDescent="0.25">
      <c r="A33" s="61">
        <v>42558.655462962961</v>
      </c>
      <c r="B33" s="50" t="s">
        <v>193</v>
      </c>
      <c r="C33" s="50" t="s">
        <v>644</v>
      </c>
      <c r="D33" s="50" t="s">
        <v>55</v>
      </c>
      <c r="E33" s="83" t="s">
        <v>58</v>
      </c>
      <c r="F33" s="86">
        <v>150</v>
      </c>
      <c r="G33" s="50">
        <v>212</v>
      </c>
      <c r="H33" s="50">
        <v>56883</v>
      </c>
      <c r="I33" s="83" t="s">
        <v>59</v>
      </c>
      <c r="J33" s="50">
        <v>59050</v>
      </c>
      <c r="K33" s="50" t="s">
        <v>54</v>
      </c>
      <c r="L33" s="11" t="str">
        <f>VLOOKUP(C33,'Trips&amp;Operators'!$C$1:$E$10000,3,FALSE)</f>
        <v>MAYBERRY</v>
      </c>
      <c r="M33" s="10" t="s">
        <v>113</v>
      </c>
      <c r="N33" s="11"/>
      <c r="O33" s="1"/>
      <c r="P33" s="103" t="str">
        <f>VLOOKUP(C33,'Train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33" s="101" t="str">
        <f>VLOOKUP(C33,'Train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15:37:51-0600',mode:absolute,to:'2016-07-07 15:57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3" s="102" t="str">
        <f>VLOOKUP(C33,'Train Runs'!$A$13:$AF$953,32,0)</f>
        <v>"C:\Program Files (x86)\AstroGrep\AstroGrep.exe" /spath="C:\Users\stu\Documents\Analysis\2016-02-23 RTDC Observations" /stypes="*4039*20160707*" /stext=" 21:.+((prompt.+disp)|(slice.+state.+chan)|(ment ac)|(system.+state.+chan)|(\|lc)|(penalty)|(\[timeout))" /e /r /s</v>
      </c>
      <c r="S33" s="10" t="str">
        <f>MID(B33,13,4)</f>
        <v>4039</v>
      </c>
      <c r="T33" s="61">
        <f>A33+6/24</f>
        <v>42558.905462962961</v>
      </c>
    </row>
    <row r="34" spans="1:20" x14ac:dyDescent="0.25">
      <c r="A34" s="61">
        <v>42558.780219907407</v>
      </c>
      <c r="B34" s="50" t="s">
        <v>193</v>
      </c>
      <c r="C34" s="50" t="s">
        <v>670</v>
      </c>
      <c r="D34" s="50" t="s">
        <v>55</v>
      </c>
      <c r="E34" s="83" t="s">
        <v>58</v>
      </c>
      <c r="F34" s="86">
        <v>150</v>
      </c>
      <c r="G34" s="50">
        <v>208</v>
      </c>
      <c r="H34" s="50">
        <v>56896</v>
      </c>
      <c r="I34" s="83" t="s">
        <v>59</v>
      </c>
      <c r="J34" s="50">
        <v>59050</v>
      </c>
      <c r="K34" s="50" t="s">
        <v>54</v>
      </c>
      <c r="L34" s="11" t="str">
        <f>VLOOKUP(C34,'Trips&amp;Operators'!$C$1:$E$10000,3,FALSE)</f>
        <v>MAYBERRY</v>
      </c>
      <c r="M34" s="10" t="s">
        <v>113</v>
      </c>
      <c r="N34" s="11"/>
      <c r="O34" s="1"/>
      <c r="P34" s="103" t="str">
        <f>VLOOKUP(C34,'Train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34" s="101" t="str">
        <f>VLOOKUP(C34,'Train Runs'!$A$13:$AE$953,22,0)</f>
        <v>https://search-rtdc-monitor-bjffxe2xuh6vdkpspy63sjmuny.us-east-1.es.amazonaws.com/_plugin/kibana/#/discover/Steve-Slow-Train-Analysis-(2080s-and-2083s)?_g=(refreshInterval:(display:Off,section:0,value:0),time:(from:'2016-07-07 18:35:05-0600',mode:absolute,to:'2016-07-07 18:56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34" s="102" t="str">
        <f>VLOOKUP(C34,'Train Runs'!$A$13:$AF$953,32,0)</f>
        <v>"C:\Program Files (x86)\AstroGrep\AstroGrep.exe" /spath="C:\Users\stu\Documents\Analysis\2016-02-23 RTDC Observations" /stypes="*4039*20160708*" /stext=" 00:.+((prompt.+disp)|(slice.+state.+chan)|(ment ac)|(system.+state.+chan)|(\|lc)|(penalty)|(\[timeout))" /e /r /s</v>
      </c>
      <c r="S34" s="10" t="str">
        <f>MID(B34,13,4)</f>
        <v>4039</v>
      </c>
      <c r="T34" s="61">
        <f>A34+6/24</f>
        <v>42559.030219907407</v>
      </c>
    </row>
    <row r="35" spans="1:20" x14ac:dyDescent="0.25">
      <c r="A35" s="61">
        <v>42558.655428240738</v>
      </c>
      <c r="B35" s="50" t="s">
        <v>133</v>
      </c>
      <c r="C35" s="50" t="s">
        <v>502</v>
      </c>
      <c r="D35" s="50" t="s">
        <v>55</v>
      </c>
      <c r="E35" s="83" t="s">
        <v>58</v>
      </c>
      <c r="F35" s="86">
        <v>400</v>
      </c>
      <c r="G35" s="50">
        <v>451</v>
      </c>
      <c r="H35" s="50">
        <v>116760</v>
      </c>
      <c r="I35" s="83" t="s">
        <v>59</v>
      </c>
      <c r="J35" s="50">
        <v>119716</v>
      </c>
      <c r="K35" s="50" t="s">
        <v>54</v>
      </c>
      <c r="L35" s="11" t="str">
        <f>VLOOKUP(C35,'Trips&amp;Operators'!$C$1:$E$10000,3,FALSE)</f>
        <v>BARTLETT</v>
      </c>
      <c r="M35" s="10" t="s">
        <v>113</v>
      </c>
      <c r="N35" s="11"/>
      <c r="O35" s="1"/>
      <c r="P35" s="103" t="str">
        <f>VLOOKUP(C35,'Train Runs'!$A$13:$AE$953,31,0)</f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Q35" s="101" t="str">
        <f>VLOOKUP(C35,'Train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15:17:33-0600',mode:absolute,to:'2016-07-07 16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35" s="102" t="str">
        <f>VLOOKUP(C35,'Train Runs'!$A$13:$AF$953,32,0)</f>
        <v>"C:\Program Files (x86)\AstroGrep\AstroGrep.exe" /spath="C:\Users\stu\Documents\Analysis\2016-02-23 RTDC Observations" /stypes="*4028*20160707*" /stext=" 21:.+((prompt.+disp)|(slice.+state.+chan)|(ment ac)|(system.+state.+chan)|(\|lc)|(penalty)|(\[timeout))" /e /r /s</v>
      </c>
      <c r="S35" s="10" t="str">
        <f>MID(B35,13,4)</f>
        <v>4028</v>
      </c>
      <c r="T35" s="61">
        <f>A35+6/24</f>
        <v>42558.905428240738</v>
      </c>
    </row>
    <row r="36" spans="1:20" x14ac:dyDescent="0.25">
      <c r="A36" s="61">
        <v>42558.810636574075</v>
      </c>
      <c r="B36" s="50" t="s">
        <v>134</v>
      </c>
      <c r="C36" s="50" t="s">
        <v>552</v>
      </c>
      <c r="D36" s="50" t="s">
        <v>50</v>
      </c>
      <c r="E36" s="83" t="s">
        <v>58</v>
      </c>
      <c r="F36" s="86">
        <v>400</v>
      </c>
      <c r="G36" s="50">
        <v>562</v>
      </c>
      <c r="H36" s="50">
        <v>122623</v>
      </c>
      <c r="I36" s="83" t="s">
        <v>59</v>
      </c>
      <c r="J36" s="50">
        <v>119716</v>
      </c>
      <c r="K36" s="50" t="s">
        <v>54</v>
      </c>
      <c r="L36" s="11" t="str">
        <f>VLOOKUP(C36,'Trips&amp;Operators'!$C$1:$E$10000,3,FALSE)</f>
        <v>ADANE</v>
      </c>
      <c r="M36" s="10" t="s">
        <v>113</v>
      </c>
      <c r="N36" s="11"/>
      <c r="O36" s="1"/>
      <c r="P36" s="103" t="str">
        <f>VLOOKUP(C36,'Train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36" s="101" t="str">
        <f>VLOOKUP(C36,'Train Runs'!$A$13:$AE$953,22,0)</f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6" s="102" t="str">
        <f>VLOOKUP(C36,'Train Runs'!$A$13:$AF$953,32,0)</f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  <c r="S36" s="10" t="str">
        <f>MID(B36,13,4)</f>
        <v>4037</v>
      </c>
      <c r="T36" s="61">
        <f>A36+6/24</f>
        <v>42559.060636574075</v>
      </c>
    </row>
    <row r="37" spans="1:20" x14ac:dyDescent="0.25">
      <c r="A37" s="61">
        <v>42558.804548611108</v>
      </c>
      <c r="B37" s="50" t="s">
        <v>134</v>
      </c>
      <c r="C37" s="50" t="s">
        <v>552</v>
      </c>
      <c r="D37" s="50" t="s">
        <v>55</v>
      </c>
      <c r="E37" s="83" t="s">
        <v>58</v>
      </c>
      <c r="F37" s="86">
        <v>600</v>
      </c>
      <c r="G37" s="50">
        <v>651</v>
      </c>
      <c r="H37" s="50">
        <v>184487</v>
      </c>
      <c r="I37" s="83" t="s">
        <v>59</v>
      </c>
      <c r="J37" s="50">
        <v>190834</v>
      </c>
      <c r="K37" s="50" t="s">
        <v>54</v>
      </c>
      <c r="L37" s="11" t="str">
        <f>VLOOKUP(C37,'Trips&amp;Operators'!$C$1:$E$10000,3,FALSE)</f>
        <v>ADANE</v>
      </c>
      <c r="M37" s="10" t="s">
        <v>113</v>
      </c>
      <c r="N37" s="11"/>
      <c r="O37" s="1"/>
      <c r="P37" s="103" t="str">
        <f>VLOOKUP(C37,'Train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37" s="101" t="str">
        <f>VLOOKUP(C37,'Train Runs'!$A$13:$AE$953,22,0)</f>
        <v>https://search-rtdc-monitor-bjffxe2xuh6vdkpspy63sjmuny.us-east-1.es.amazonaws.com/_plugin/kibana/#/discover/Steve-Slow-Train-Analysis-(2080s-and-2083s)?_g=(refreshInterval:(display:Off,section:0,value:0),time:(from:'2016-07-07 19:06:07-0600',mode:absolute,to:'2016-07-07 19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37" s="102" t="str">
        <f>VLOOKUP(C37,'Train Runs'!$A$13:$AF$953,32,0)</f>
        <v>"C:\Program Files (x86)\AstroGrep\AstroGrep.exe" /spath="C:\Users\stu\Documents\Analysis\2016-02-23 RTDC Observations" /stypes="*4037*20160708*" /stext=" 01:.+((prompt.+disp)|(slice.+state.+chan)|(ment ac)|(system.+state.+chan)|(\|lc)|(penalty)|(\[timeout))" /e /r /s</v>
      </c>
      <c r="S37" s="10" t="str">
        <f>MID(B37,13,4)</f>
        <v>4037</v>
      </c>
      <c r="T37" s="61">
        <f>A37+6/24</f>
        <v>42559.054548611108</v>
      </c>
    </row>
    <row r="38" spans="1:20" x14ac:dyDescent="0.25">
      <c r="A38" s="13">
        <v>42558.398506944446</v>
      </c>
      <c r="B38" s="12" t="s">
        <v>79</v>
      </c>
      <c r="C38" s="12" t="s">
        <v>431</v>
      </c>
      <c r="D38" s="12" t="s">
        <v>50</v>
      </c>
      <c r="E38" s="84" t="s">
        <v>58</v>
      </c>
      <c r="F38" s="87">
        <v>150</v>
      </c>
      <c r="G38" s="12">
        <v>215</v>
      </c>
      <c r="H38" s="12">
        <v>229712</v>
      </c>
      <c r="I38" s="84" t="s">
        <v>59</v>
      </c>
      <c r="J38" s="12">
        <v>230436</v>
      </c>
      <c r="K38" s="11" t="s">
        <v>53</v>
      </c>
      <c r="L38" s="11" t="str">
        <f>VLOOKUP(C38,'Trips&amp;Operators'!$C$1:$E$10000,3,FALSE)</f>
        <v>MALAVE</v>
      </c>
      <c r="M38" s="10" t="s">
        <v>113</v>
      </c>
      <c r="N38" s="11"/>
      <c r="O38" s="1"/>
      <c r="P38" s="103" t="str">
        <f>VLOOKUP(C38,'Train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38" s="101" t="str">
        <f>VLOOKUP(C38,'Train Runs'!$A$13:$AE$953,22,0)</f>
        <v>https://search-rtdc-monitor-bjffxe2xuh6vdkpspy63sjmuny.us-east-1.es.amazonaws.com/_plugin/kibana/#/discover/Steve-Slow-Train-Analysis-(2080s-and-2083s)?_g=(refreshInterval:(display:Off,section:0,value:0),time:(from:'2016-07-07 08:57:12-0600',mode:absolute,to:'2016-07-07 09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38" s="102" t="str">
        <f>VLOOKUP(C38,'Train Runs'!$A$13:$AF$953,32,0)</f>
        <v>"C:\Program Files (x86)\AstroGrep\AstroGrep.exe" /spath="C:\Users\stu\Documents\Analysis\2016-02-23 RTDC Observations" /stypes="*4031*20160707*" /stext=" 14:.+((prompt.+disp)|(slice.+state.+chan)|(ment ac)|(system.+state.+chan)|(\|lc)|(penalty)|(\[timeout))" /e /r /s</v>
      </c>
      <c r="S38" s="10" t="str">
        <f>MID(B38,13,4)</f>
        <v>4031</v>
      </c>
      <c r="T38" s="61">
        <f>A38+6/24</f>
        <v>42558.648506944446</v>
      </c>
    </row>
    <row r="39" spans="1:20" x14ac:dyDescent="0.25">
      <c r="A39" s="61">
        <v>42558.482256944444</v>
      </c>
      <c r="B39" s="50" t="s">
        <v>138</v>
      </c>
      <c r="C39" s="50" t="s">
        <v>452</v>
      </c>
      <c r="D39" s="50" t="s">
        <v>50</v>
      </c>
      <c r="E39" s="50" t="s">
        <v>58</v>
      </c>
      <c r="F39" s="86">
        <v>150</v>
      </c>
      <c r="G39" s="50">
        <v>191</v>
      </c>
      <c r="H39" s="50">
        <v>231615</v>
      </c>
      <c r="I39" s="50" t="s">
        <v>59</v>
      </c>
      <c r="J39" s="50">
        <v>232107</v>
      </c>
      <c r="K39" s="50" t="s">
        <v>53</v>
      </c>
      <c r="L39" s="11" t="str">
        <f>VLOOKUP(C39,'Trips&amp;Operators'!$C$1:$E$10000,3,FALSE)</f>
        <v>MALAVE</v>
      </c>
      <c r="M39" s="10" t="s">
        <v>113</v>
      </c>
      <c r="N39" s="11"/>
      <c r="O39" s="33"/>
      <c r="P39" s="103" t="str">
        <f>VLOOKUP(C39,'Train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39" s="101" t="str">
        <f>VLOOKUP(C39,'Train Runs'!$A$13:$AE$953,22,0)</f>
        <v>https://search-rtdc-monitor-bjffxe2xuh6vdkpspy63sjmuny.us-east-1.es.amazonaws.com/_plugin/kibana/#/discover/Steve-Slow-Train-Analysis-(2080s-and-2083s)?_g=(refreshInterval:(display:Off,section:0,value:0),time:(from:'2016-07-07 10:56:28-0600',mode:absolute,to:'2016-07-07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39" s="102" t="str">
        <f>VLOOKUP(C39,'Train Runs'!$A$13:$AF$953,32,0)</f>
        <v>"C:\Program Files (x86)\AstroGrep\AstroGrep.exe" /spath="C:\Users\stu\Documents\Analysis\2016-02-23 RTDC Observations" /stypes="*4027*20160707*" /stext=" 16:.+((prompt.+disp)|(slice.+state.+chan)|(ment ac)|(system.+state.+chan)|(\|lc)|(penalty)|(\[timeout))" /e /r /s</v>
      </c>
      <c r="S39" s="10" t="str">
        <f>MID(B39,13,4)</f>
        <v>4027</v>
      </c>
      <c r="T39" s="61">
        <f>A39+6/24</f>
        <v>42558.732256944444</v>
      </c>
    </row>
    <row r="40" spans="1:20" x14ac:dyDescent="0.25">
      <c r="A40" s="61">
        <v>42558.161469907405</v>
      </c>
      <c r="B40" s="50" t="s">
        <v>79</v>
      </c>
      <c r="C40" s="50" t="s">
        <v>289</v>
      </c>
      <c r="D40" s="50" t="s">
        <v>55</v>
      </c>
      <c r="E40" s="83" t="s">
        <v>56</v>
      </c>
      <c r="F40" s="86">
        <v>200</v>
      </c>
      <c r="G40" s="50">
        <v>254</v>
      </c>
      <c r="H40" s="50">
        <v>20507</v>
      </c>
      <c r="I40" s="83" t="s">
        <v>57</v>
      </c>
      <c r="J40" s="50">
        <v>10800</v>
      </c>
      <c r="K40" s="50" t="s">
        <v>53</v>
      </c>
      <c r="L40" s="11" t="str">
        <f>VLOOKUP(C40,'Trips&amp;Operators'!$C$1:$E$10000,3,FALSE)</f>
        <v>STARKS</v>
      </c>
      <c r="M40" s="10" t="s">
        <v>113</v>
      </c>
      <c r="N40" s="11" t="s">
        <v>736</v>
      </c>
      <c r="O40" s="1"/>
      <c r="P40" s="103" t="str">
        <f>VLOOKUP(C40,'Train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40" s="101" t="str">
        <f>VLOOKUP(C40,'Train Runs'!$A$13:$AE$953,22,0)</f>
        <v>https://search-rtdc-monitor-bjffxe2xuh6vdkpspy63sjmuny.us-east-1.es.amazonaws.com/_plugin/kibana/#/discover/Steve-Slow-Train-Analysis-(2080s-and-2083s)?_g=(refreshInterval:(display:Off,section:0,value:0),time:(from:'2016-07-07 03:49:47-0600',mode:absolute,to:'2016-07-07 04:14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40" s="102" t="str">
        <f>VLOOKUP(C40,'Train Runs'!$A$13:$AF$953,32,0)</f>
        <v>"C:\Program Files (x86)\AstroGrep\AstroGrep.exe" /spath="C:\Users\stu\Documents\Analysis\2016-02-23 RTDC Observations" /stypes="*4031*20160707*" /stext=" 09:.+((prompt.+disp)|(slice.+state.+chan)|(ment ac)|(system.+state.+chan)|(\|lc)|(penalty)|(\[timeout))" /e /r /s</v>
      </c>
      <c r="S40" s="10" t="str">
        <f>MID(B40,13,4)</f>
        <v>4031</v>
      </c>
      <c r="T40" s="61">
        <f>A40+6/24</f>
        <v>42558.411469907405</v>
      </c>
    </row>
    <row r="41" spans="1:20" x14ac:dyDescent="0.25">
      <c r="A41" s="61">
        <v>42558.351203703707</v>
      </c>
      <c r="B41" s="50" t="s">
        <v>165</v>
      </c>
      <c r="C41" s="50" t="s">
        <v>612</v>
      </c>
      <c r="D41" s="50" t="s">
        <v>50</v>
      </c>
      <c r="E41" s="83" t="s">
        <v>56</v>
      </c>
      <c r="F41" s="86">
        <v>0</v>
      </c>
      <c r="G41" s="50">
        <v>433</v>
      </c>
      <c r="H41" s="50">
        <v>17712</v>
      </c>
      <c r="I41" s="83" t="s">
        <v>57</v>
      </c>
      <c r="J41" s="50">
        <v>18990</v>
      </c>
      <c r="K41" s="50" t="s">
        <v>53</v>
      </c>
      <c r="L41" s="11" t="str">
        <f>VLOOKUP(C41,'Trips&amp;Operators'!$C$1:$E$10000,3,FALSE)</f>
        <v>NELSON</v>
      </c>
      <c r="M41" s="10" t="s">
        <v>112</v>
      </c>
      <c r="N41" s="11" t="s">
        <v>144</v>
      </c>
      <c r="O41" s="33"/>
      <c r="P41" s="103" t="str">
        <f>VLOOKUP(C41,'Train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41" s="101" t="str">
        <f>VLOOKUP(C41,'Train Runs'!$A$13:$AE$953,22,0)</f>
        <v>https://search-rtdc-monitor-bjffxe2xuh6vdkpspy63sjmuny.us-east-1.es.amazonaws.com/_plugin/kibana/#/discover/Steve-Slow-Train-Analysis-(2080s-and-2083s)?_g=(refreshInterval:(display:Off,section:0,value:0),time:(from:'2016-07-07 08:03:39-0600',mode:absolute,to:'2016-07-07 08:37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41" s="102" t="str">
        <f>VLOOKUP(C41,'Train Runs'!$A$13:$AF$953,32,0)</f>
        <v>"C:\Program Files (x86)\AstroGrep\AstroGrep.exe" /spath="C:\Users\stu\Documents\Analysis\2016-02-23 RTDC Observations" /stypes="*4040*20160707*" /stext=" 14:.+((prompt.+disp)|(slice.+state.+chan)|(ment ac)|(system.+state.+chan)|(\|lc)|(penalty)|(\[timeout))" /e /r /s</v>
      </c>
      <c r="S41" s="10" t="str">
        <f>MID(B41,13,4)</f>
        <v>4040</v>
      </c>
      <c r="T41" s="61">
        <f>A41+6/24</f>
        <v>42558.601203703707</v>
      </c>
    </row>
    <row r="42" spans="1:20" x14ac:dyDescent="0.25">
      <c r="A42" s="61">
        <v>42558.331631944442</v>
      </c>
      <c r="B42" s="50" t="s">
        <v>132</v>
      </c>
      <c r="C42" s="50" t="s">
        <v>607</v>
      </c>
      <c r="D42" s="50" t="s">
        <v>50</v>
      </c>
      <c r="E42" s="50" t="s">
        <v>56</v>
      </c>
      <c r="F42" s="86">
        <v>0</v>
      </c>
      <c r="G42" s="50">
        <v>488</v>
      </c>
      <c r="H42" s="50">
        <v>32163</v>
      </c>
      <c r="I42" s="50" t="s">
        <v>57</v>
      </c>
      <c r="J42" s="50">
        <v>33252</v>
      </c>
      <c r="K42" s="50" t="s">
        <v>53</v>
      </c>
      <c r="L42" s="11" t="str">
        <f>VLOOKUP(C42,'Trips&amp;Operators'!$C$1:$E$10000,3,FALSE)</f>
        <v>BEAM</v>
      </c>
      <c r="M42" s="10" t="s">
        <v>112</v>
      </c>
      <c r="N42" s="11" t="s">
        <v>144</v>
      </c>
      <c r="O42" s="33"/>
      <c r="P42" s="103" t="str">
        <f>VLOOKUP(C42,'Train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42" s="101" t="str">
        <f>VLOOKUP(C42,'Train Runs'!$A$13:$AE$953,22,0)</f>
        <v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42" s="102" t="str">
        <f>VLOOKUP(C42,'Train Runs'!$A$13:$AF$953,32,0)</f>
        <v>"C:\Program Files (x86)\AstroGrep\AstroGrep.exe" /spath="C:\Users\stu\Documents\Analysis\2016-02-23 RTDC Observations" /stypes="*4025*20160707*" /stext=" 13:.+((prompt.+disp)|(slice.+state.+chan)|(ment ac)|(system.+state.+chan)|(\|lc)|(penalty)|(\[timeout))" /e /r /s</v>
      </c>
      <c r="S42" s="10" t="str">
        <f>MID(B42,13,4)</f>
        <v>4025</v>
      </c>
      <c r="T42" s="61">
        <f>A42+6/24</f>
        <v>42558.581631944442</v>
      </c>
    </row>
    <row r="43" spans="1:20" x14ac:dyDescent="0.25">
      <c r="A43" s="61">
        <v>42558.488171296296</v>
      </c>
      <c r="B43" s="50" t="s">
        <v>193</v>
      </c>
      <c r="C43" s="50" t="s">
        <v>626</v>
      </c>
      <c r="D43" s="50" t="s">
        <v>50</v>
      </c>
      <c r="E43" s="83" t="s">
        <v>56</v>
      </c>
      <c r="F43" s="86">
        <v>0</v>
      </c>
      <c r="G43" s="50">
        <v>38</v>
      </c>
      <c r="H43" s="50">
        <v>57785</v>
      </c>
      <c r="I43" s="83" t="s">
        <v>57</v>
      </c>
      <c r="J43" s="50">
        <v>33261</v>
      </c>
      <c r="K43" s="50" t="s">
        <v>54</v>
      </c>
      <c r="L43" s="11" t="str">
        <f>VLOOKUP(C43,'Trips&amp;Operators'!$C$1:$E$10000,3,FALSE)</f>
        <v>NELSON</v>
      </c>
      <c r="M43" s="10" t="s">
        <v>738</v>
      </c>
      <c r="N43" s="11"/>
      <c r="O43" s="1"/>
      <c r="P43" s="103" t="str">
        <f>VLOOKUP(C43,'Train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43" s="101" t="str">
        <f>VLOOKUP(C43,'Train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3" s="102" t="str">
        <f>VLOOKUP(C43,'Train Runs'!$A$13:$AF$953,32,0)</f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  <c r="S43" s="10" t="str">
        <f>MID(B43,13,4)</f>
        <v>4039</v>
      </c>
      <c r="T43" s="61">
        <f>A43+6/24</f>
        <v>42558.738171296296</v>
      </c>
    </row>
    <row r="44" spans="1:20" x14ac:dyDescent="0.25">
      <c r="A44" s="61">
        <v>42558.488854166666</v>
      </c>
      <c r="B44" s="50" t="s">
        <v>193</v>
      </c>
      <c r="C44" s="50" t="s">
        <v>626</v>
      </c>
      <c r="D44" s="50" t="s">
        <v>50</v>
      </c>
      <c r="E44" s="83" t="s">
        <v>56</v>
      </c>
      <c r="F44" s="86">
        <v>0</v>
      </c>
      <c r="G44" s="50">
        <v>38</v>
      </c>
      <c r="H44" s="50">
        <v>57785</v>
      </c>
      <c r="I44" s="83" t="s">
        <v>57</v>
      </c>
      <c r="J44" s="50">
        <v>33261</v>
      </c>
      <c r="K44" s="50" t="s">
        <v>54</v>
      </c>
      <c r="L44" s="11" t="str">
        <f>VLOOKUP(C44,'Trips&amp;Operators'!$C$1:$E$10000,3,FALSE)</f>
        <v>NELSON</v>
      </c>
      <c r="M44" s="10" t="s">
        <v>738</v>
      </c>
      <c r="N44" s="11"/>
      <c r="O44" s="33"/>
      <c r="P44" s="103" t="str">
        <f>VLOOKUP(C44,'Train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44" s="101" t="str">
        <f>VLOOKUP(C44,'Train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4" s="102" t="str">
        <f>VLOOKUP(C44,'Train Runs'!$A$13:$AF$953,32,0)</f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  <c r="S44" s="10" t="str">
        <f>MID(B44,13,4)</f>
        <v>4039</v>
      </c>
      <c r="T44" s="61">
        <f>A44+6/24</f>
        <v>42558.738854166666</v>
      </c>
    </row>
    <row r="45" spans="1:20" x14ac:dyDescent="0.25">
      <c r="A45" s="61">
        <v>42558.489548611113</v>
      </c>
      <c r="B45" s="50" t="s">
        <v>193</v>
      </c>
      <c r="C45" s="50" t="s">
        <v>626</v>
      </c>
      <c r="D45" s="50" t="s">
        <v>50</v>
      </c>
      <c r="E45" s="83" t="s">
        <v>56</v>
      </c>
      <c r="F45" s="86">
        <v>0</v>
      </c>
      <c r="G45" s="50">
        <v>38</v>
      </c>
      <c r="H45" s="50">
        <v>57785</v>
      </c>
      <c r="I45" s="83" t="s">
        <v>57</v>
      </c>
      <c r="J45" s="50">
        <v>33261</v>
      </c>
      <c r="K45" s="50" t="s">
        <v>54</v>
      </c>
      <c r="L45" s="11" t="str">
        <f>VLOOKUP(C45,'Trips&amp;Operators'!$C$1:$E$10000,3,FALSE)</f>
        <v>NELSON</v>
      </c>
      <c r="M45" s="10" t="s">
        <v>738</v>
      </c>
      <c r="N45" s="11"/>
      <c r="O45" s="33"/>
      <c r="P45" s="103" t="str">
        <f>VLOOKUP(C45,'Train Runs'!$A$13:$AE$953,31,0)</f>
        <v>aws s3 cp s3://rtdc.mdm.uploadarchive/RTDC4039/2016-07-07/ "C:\Users\stu\Documents\Analysis\2016-02-23 RTDC Observations"\RTDC4039\2016-07-07 --recursive &amp; "C:\Users\stu\Documents\GitHub\mrs-test-scripts\Headless Mode &amp; Sideloading\WalkAndUnGZ.bat" "C:\Users\stu\Documents\Analysis\2016-02-23 RTDC Observations"\RTDC4039\2016-07-07 &amp; aws s3 cp s3://rtdc.mdm.uploadarchive/RTDC4039/2016-07-08/ "C:\Users\stu\Documents\Analysis\2016-02-23 RTDC Observations"\RTDC4039\2016-07-08 --recursive &amp; "C:\Users\stu\Documents\GitHub\mrs-test-scripts\Headless Mode &amp; Sideloading\WalkAndUnGZ.bat" "C:\Users\stu\Documents\Analysis\2016-02-23 RTDC Observations"\RTDC4039\2016-07-08</v>
      </c>
      <c r="Q45" s="101" t="str">
        <f>VLOOKUP(C45,'Train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11:39:00-0600',mode:absolute,to:'2016-07-07 11:57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R45" s="102" t="str">
        <f>VLOOKUP(C45,'Train Runs'!$A$13:$AF$953,32,0)</f>
        <v>"C:\Program Files (x86)\AstroGrep\AstroGrep.exe" /spath="C:\Users\stu\Documents\Analysis\2016-02-23 RTDC Observations" /stypes="*4039*20160707*" /stext=" 17:.+((prompt.+disp)|(slice.+state.+chan)|(ment ac)|(system.+state.+chan)|(\|lc)|(penalty)|(\[timeout))" /e /r /s</v>
      </c>
      <c r="S45" s="10" t="str">
        <f>MID(B45,13,4)</f>
        <v>4039</v>
      </c>
      <c r="T45" s="61">
        <f>A45+6/24</f>
        <v>42558.739548611113</v>
      </c>
    </row>
    <row r="46" spans="1:20" x14ac:dyDescent="0.25">
      <c r="A46" s="13">
        <v>42558.318831018521</v>
      </c>
      <c r="B46" s="12" t="s">
        <v>138</v>
      </c>
      <c r="C46" s="12" t="s">
        <v>413</v>
      </c>
      <c r="D46" s="12" t="s">
        <v>50</v>
      </c>
      <c r="E46" s="84" t="s">
        <v>56</v>
      </c>
      <c r="F46" s="87">
        <v>0</v>
      </c>
      <c r="G46" s="12">
        <v>511</v>
      </c>
      <c r="H46" s="12">
        <v>34843</v>
      </c>
      <c r="I46" s="84" t="s">
        <v>57</v>
      </c>
      <c r="J46" s="12">
        <v>36645</v>
      </c>
      <c r="K46" s="11" t="s">
        <v>53</v>
      </c>
      <c r="L46" s="11" t="str">
        <f>VLOOKUP(C46,'Trips&amp;Operators'!$C$1:$E$10000,3,FALSE)</f>
        <v>STARKS</v>
      </c>
      <c r="M46" s="10" t="s">
        <v>112</v>
      </c>
      <c r="N46" s="11" t="s">
        <v>739</v>
      </c>
      <c r="O46" s="1"/>
      <c r="P46" s="103" t="str">
        <f>VLOOKUP(C46,'Train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46" s="101" t="str">
        <f>VLOOKUP(C46,'Train Runs'!$A$13:$AE$953,22,0)</f>
        <v>https://search-rtdc-monitor-bjffxe2xuh6vdkpspy63sjmuny.us-east-1.es.amazonaws.com/_plugin/kibana/#/discover/Steve-Slow-Train-Analysis-(2080s-and-2083s)?_g=(refreshInterval:(display:Off,section:0,value:0),time:(from:'2016-07-07 07:27:28-0600',mode:absolute,to:'2016-07-07 08:06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6" s="102" t="str">
        <f>VLOOKUP(C46,'Train Runs'!$A$13:$AF$953,32,0)</f>
        <v>"C:\Program Files (x86)\AstroGrep\AstroGrep.exe" /spath="C:\Users\stu\Documents\Analysis\2016-02-23 RTDC Observations" /stypes="*4027*20160707*" /stext=" 13:.+((prompt.+disp)|(slice.+state.+chan)|(ment ac)|(system.+state.+chan)|(\|lc)|(penalty)|(\[timeout))" /e /r /s</v>
      </c>
      <c r="S46" s="10" t="str">
        <f>MID(B46,13,4)</f>
        <v>4027</v>
      </c>
      <c r="T46" s="61">
        <f>A46+6/24</f>
        <v>42558.568831018521</v>
      </c>
    </row>
    <row r="47" spans="1:20" x14ac:dyDescent="0.25">
      <c r="A47" s="61">
        <v>42558.698796296296</v>
      </c>
      <c r="B47" s="50" t="s">
        <v>134</v>
      </c>
      <c r="C47" s="50" t="s">
        <v>505</v>
      </c>
      <c r="D47" s="50" t="s">
        <v>55</v>
      </c>
      <c r="E47" s="83" t="s">
        <v>56</v>
      </c>
      <c r="F47" s="86">
        <v>0</v>
      </c>
      <c r="G47" s="50">
        <v>14</v>
      </c>
      <c r="H47" s="50">
        <v>64732</v>
      </c>
      <c r="I47" s="83" t="s">
        <v>57</v>
      </c>
      <c r="J47" s="50">
        <v>63995</v>
      </c>
      <c r="K47" s="50" t="s">
        <v>53</v>
      </c>
      <c r="L47" s="11" t="str">
        <f>VLOOKUP(C47,'Trips&amp;Operators'!$C$1:$E$10000,3,FALSE)</f>
        <v>SPECTOR</v>
      </c>
      <c r="M47" s="10" t="s">
        <v>112</v>
      </c>
      <c r="N47" s="11" t="s">
        <v>362</v>
      </c>
      <c r="O47" s="33"/>
      <c r="P47" s="103" t="str">
        <f>VLOOKUP(C47,'Train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47" s="101" t="str">
        <f>VLOOKUP(C47,'Train Runs'!$A$13:$AE$953,22,0)</f>
        <v>https://search-rtdc-monitor-bjffxe2xuh6vdkpspy63sjmuny.us-east-1.es.amazonaws.com/_plugin/kibana/#/discover/Steve-Slow-Train-Analysis-(2080s-and-2083s)?_g=(refreshInterval:(display:Off,section:0,value:0),time:(from:'2016-07-07 15:31:34-0600',mode:absolute,to:'2016-07-07 16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47" s="102" t="str">
        <f>VLOOKUP(C47,'Train Runs'!$A$13:$AF$953,32,0)</f>
        <v>"C:\Program Files (x86)\AstroGrep\AstroGrep.exe" /spath="C:\Users\stu\Documents\Analysis\2016-02-23 RTDC Observations" /stypes="*4037*20160707*" /stext=" 21:.+((prompt.+disp)|(slice.+state.+chan)|(ment ac)|(system.+state.+chan)|(\|lc)|(penalty)|(\[timeout))" /e /r /s</v>
      </c>
      <c r="S47" s="10" t="str">
        <f>MID(B47,13,4)</f>
        <v>4037</v>
      </c>
      <c r="T47" s="61">
        <f>A47+6/24</f>
        <v>42558.948796296296</v>
      </c>
    </row>
    <row r="48" spans="1:20" x14ac:dyDescent="0.25">
      <c r="A48" s="61">
        <v>42558.520787037036</v>
      </c>
      <c r="B48" s="50" t="s">
        <v>155</v>
      </c>
      <c r="C48" s="50" t="s">
        <v>469</v>
      </c>
      <c r="D48" s="50" t="s">
        <v>50</v>
      </c>
      <c r="E48" s="83" t="s">
        <v>56</v>
      </c>
      <c r="F48" s="86">
        <v>0</v>
      </c>
      <c r="G48" s="50">
        <v>651</v>
      </c>
      <c r="H48" s="50">
        <v>70542</v>
      </c>
      <c r="I48" s="83" t="s">
        <v>57</v>
      </c>
      <c r="J48" s="50">
        <v>75566</v>
      </c>
      <c r="K48" s="50" t="s">
        <v>53</v>
      </c>
      <c r="L48" s="11" t="str">
        <f>VLOOKUP(C48,'Trips&amp;Operators'!$C$1:$E$10000,3,FALSE)</f>
        <v>BEAM</v>
      </c>
      <c r="M48" s="10" t="s">
        <v>112</v>
      </c>
      <c r="N48" s="11" t="s">
        <v>144</v>
      </c>
      <c r="O48" s="1"/>
      <c r="P48" s="103" t="str">
        <f>VLOOKUP(C48,'Train Runs'!$A$13:$AE$953,31,0)</f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Q48" s="101" t="str">
        <f>VLOOKUP(C48,'Train Runs'!$A$13:$AE$953,22,0)</f>
        <v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8" s="102" t="str">
        <f>VLOOKUP(C48,'Train Runs'!$A$13:$AF$953,32,0)</f>
        <v>"C:\Program Files (x86)\AstroGrep\AstroGrep.exe" /spath="C:\Users\stu\Documents\Analysis\2016-02-23 RTDC Observations" /stypes="*4044*20160707*" /stext=" 18:.+((prompt.+disp)|(slice.+state.+chan)|(ment ac)|(system.+state.+chan)|(\|lc)|(penalty)|(\[timeout))" /e /r /s</v>
      </c>
      <c r="S48" s="10" t="str">
        <f>MID(B48,13,4)</f>
        <v>4044</v>
      </c>
      <c r="T48" s="61">
        <f>A48+6/24</f>
        <v>42558.770787037036</v>
      </c>
    </row>
    <row r="49" spans="1:20" x14ac:dyDescent="0.25">
      <c r="A49" s="61">
        <v>42558.521481481483</v>
      </c>
      <c r="B49" s="50" t="s">
        <v>155</v>
      </c>
      <c r="C49" s="50" t="s">
        <v>469</v>
      </c>
      <c r="D49" s="50" t="s">
        <v>50</v>
      </c>
      <c r="E49" s="83" t="s">
        <v>56</v>
      </c>
      <c r="F49" s="86">
        <v>0</v>
      </c>
      <c r="G49" s="50">
        <v>651</v>
      </c>
      <c r="H49" s="50">
        <v>70542</v>
      </c>
      <c r="I49" s="83" t="s">
        <v>57</v>
      </c>
      <c r="J49" s="50">
        <v>75566</v>
      </c>
      <c r="K49" s="50" t="s">
        <v>53</v>
      </c>
      <c r="L49" s="11" t="str">
        <f>VLOOKUP(C49,'Trips&amp;Operators'!$C$1:$E$10000,3,FALSE)</f>
        <v>BEAM</v>
      </c>
      <c r="M49" s="10" t="s">
        <v>112</v>
      </c>
      <c r="N49" s="11" t="s">
        <v>144</v>
      </c>
      <c r="O49" s="1"/>
      <c r="P49" s="103" t="str">
        <f>VLOOKUP(C49,'Train Runs'!$A$13:$AE$953,31,0)</f>
        <v>aws s3 cp s3://rtdc.mdm.uploadarchive/RTDC4044/2016-07-07/ "C:\Users\stu\Documents\Analysis\2016-02-23 RTDC Observations"\RTDC4044\2016-07-07 --recursive &amp; "C:\Users\stu\Documents\GitHub\mrs-test-scripts\Headless Mode &amp; Sideloading\WalkAndUnGZ.bat" "C:\Users\stu\Documents\Analysis\2016-02-23 RTDC Observations"\RTDC4044\2016-07-07 &amp; aws s3 cp s3://rtdc.mdm.uploadarchive/RTDC4044/2016-07-08/ "C:\Users\stu\Documents\Analysis\2016-02-23 RTDC Observations"\RTDC4044\2016-07-08 --recursive &amp; "C:\Users\stu\Documents\GitHub\mrs-test-scripts\Headless Mode &amp; Sideloading\WalkAndUnGZ.bat" "C:\Users\stu\Documents\Analysis\2016-02-23 RTDC Observations"\RTDC4044\2016-07-08</v>
      </c>
      <c r="Q49" s="101" t="str">
        <f>VLOOKUP(C49,'Train Runs'!$A$13:$AE$953,22,0)</f>
        <v>https://search-rtdc-monitor-bjffxe2xuh6vdkpspy63sjmuny.us-east-1.es.amazonaws.com/_plugin/kibana/#/discover/Steve-Slow-Train-Analysis-(2080s-and-2083s)?_g=(refreshInterval:(display:Off,section:0,value:0),time:(from:'2016-07-07 12:06:35-0600',mode:absolute,to:'2016-07-07 12:33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9" s="102" t="str">
        <f>VLOOKUP(C49,'Train Runs'!$A$13:$AF$953,32,0)</f>
        <v>"C:\Program Files (x86)\AstroGrep\AstroGrep.exe" /spath="C:\Users\stu\Documents\Analysis\2016-02-23 RTDC Observations" /stypes="*4044*20160707*" /stext=" 18:.+((prompt.+disp)|(slice.+state.+chan)|(ment ac)|(system.+state.+chan)|(\|lc)|(penalty)|(\[timeout))" /e /r /s</v>
      </c>
      <c r="S49" s="10" t="str">
        <f>MID(B49,13,4)</f>
        <v>4044</v>
      </c>
      <c r="T49" s="61">
        <f>A49+6/24</f>
        <v>42558.771481481483</v>
      </c>
    </row>
    <row r="50" spans="1:20" x14ac:dyDescent="0.25">
      <c r="A50" s="61">
        <v>42558.694618055553</v>
      </c>
      <c r="B50" s="50" t="s">
        <v>131</v>
      </c>
      <c r="C50" s="50" t="s">
        <v>514</v>
      </c>
      <c r="D50" s="50" t="s">
        <v>55</v>
      </c>
      <c r="E50" s="83" t="s">
        <v>56</v>
      </c>
      <c r="F50" s="86">
        <v>200</v>
      </c>
      <c r="G50" s="50">
        <v>286</v>
      </c>
      <c r="H50" s="50">
        <v>153220</v>
      </c>
      <c r="I50" s="83" t="s">
        <v>57</v>
      </c>
      <c r="J50" s="50">
        <v>157300</v>
      </c>
      <c r="K50" s="50" t="s">
        <v>54</v>
      </c>
      <c r="L50" s="11" t="str">
        <f>VLOOKUP(C50,'Trips&amp;Operators'!$C$1:$E$10000,3,FALSE)</f>
        <v>ROCHA</v>
      </c>
      <c r="M50" s="10" t="s">
        <v>113</v>
      </c>
      <c r="N50" s="11" t="s">
        <v>365</v>
      </c>
      <c r="O50" s="1"/>
      <c r="P50" s="103" t="str">
        <f>VLOOKUP(C50,'Train Runs'!$A$13:$AE$953,31,0)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Q50" s="101" t="str">
        <f>VLOOKUP(C50,'Train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16:37:11-0600',mode:absolute,to:'2016-07-07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50" s="102" t="str">
        <f>VLOOKUP(C50,'Train Runs'!$A$13:$AF$953,32,0)</f>
        <v>"C:\Program Files (x86)\AstroGrep\AstroGrep.exe" /spath="C:\Users\stu\Documents\Analysis\2016-02-23 RTDC Observations" /stypes="*4013*20160707*" /stext=" 22:.+((prompt.+disp)|(slice.+state.+chan)|(ment ac)|(system.+state.+chan)|(\|lc)|(penalty)|(\[timeout))" /e /r /s</v>
      </c>
      <c r="S50" s="10" t="str">
        <f>MID(B50,13,4)</f>
        <v>4013</v>
      </c>
      <c r="T50" s="61">
        <f>A50+6/24</f>
        <v>42558.944618055553</v>
      </c>
    </row>
    <row r="51" spans="1:20" x14ac:dyDescent="0.25">
      <c r="A51" s="61">
        <v>42558.520891203705</v>
      </c>
      <c r="B51" s="50" t="s">
        <v>77</v>
      </c>
      <c r="C51" s="50" t="s">
        <v>460</v>
      </c>
      <c r="D51" s="50" t="s">
        <v>50</v>
      </c>
      <c r="E51" s="83" t="s">
        <v>56</v>
      </c>
      <c r="F51" s="86">
        <v>0</v>
      </c>
      <c r="G51" s="50">
        <v>753</v>
      </c>
      <c r="H51" s="50">
        <v>211340</v>
      </c>
      <c r="I51" s="83" t="s">
        <v>57</v>
      </c>
      <c r="J51" s="50">
        <v>210941</v>
      </c>
      <c r="K51" s="50" t="s">
        <v>54</v>
      </c>
      <c r="L51" s="11" t="str">
        <f>VLOOKUP(C51,'Trips&amp;Operators'!$C$1:$E$10000,3,FALSE)</f>
        <v>STAMBAUGH</v>
      </c>
      <c r="M51" s="10" t="s">
        <v>112</v>
      </c>
      <c r="N51" s="11" t="s">
        <v>144</v>
      </c>
      <c r="O51" s="1"/>
      <c r="P51" s="103" t="str">
        <f>VLOOKUP(C51,'Train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51" s="101" t="str">
        <f>VLOOKUP(C51,'Train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1" s="102" t="str">
        <f>VLOOKUP(C51,'Train Runs'!$A$13:$AF$953,32,0)</f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  <c r="S51" s="10" t="str">
        <f>MID(B51,13,4)</f>
        <v>4017</v>
      </c>
      <c r="T51" s="61">
        <f>A51+6/24</f>
        <v>42558.770891203705</v>
      </c>
    </row>
    <row r="52" spans="1:20" x14ac:dyDescent="0.25">
      <c r="A52" s="61">
        <v>42558.521585648145</v>
      </c>
      <c r="B52" s="50" t="s">
        <v>77</v>
      </c>
      <c r="C52" s="50" t="s">
        <v>460</v>
      </c>
      <c r="D52" s="50" t="s">
        <v>50</v>
      </c>
      <c r="E52" s="83" t="s">
        <v>56</v>
      </c>
      <c r="F52" s="86">
        <v>0</v>
      </c>
      <c r="G52" s="50">
        <v>753</v>
      </c>
      <c r="H52" s="50">
        <v>211340</v>
      </c>
      <c r="I52" s="83" t="s">
        <v>57</v>
      </c>
      <c r="J52" s="50">
        <v>210941</v>
      </c>
      <c r="K52" s="50" t="s">
        <v>54</v>
      </c>
      <c r="L52" s="11" t="str">
        <f>VLOOKUP(C52,'Trips&amp;Operators'!$C$1:$E$10000,3,FALSE)</f>
        <v>STAMBAUGH</v>
      </c>
      <c r="M52" s="10" t="s">
        <v>112</v>
      </c>
      <c r="N52" s="11" t="s">
        <v>144</v>
      </c>
      <c r="O52" s="1"/>
      <c r="P52" s="103" t="str">
        <f>VLOOKUP(C52,'Train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52" s="101" t="str">
        <f>VLOOKUP(C52,'Train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52" s="102" t="str">
        <f>VLOOKUP(C52,'Train Runs'!$A$13:$AF$953,32,0)</f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  <c r="S52" s="10" t="str">
        <f>MID(B52,13,4)</f>
        <v>4017</v>
      </c>
      <c r="T52" s="61">
        <f>A52+6/24</f>
        <v>42558.771585648145</v>
      </c>
    </row>
    <row r="53" spans="1:20" x14ac:dyDescent="0.25">
      <c r="A53" s="61">
        <v>42558.439502314817</v>
      </c>
      <c r="B53" s="50" t="s">
        <v>123</v>
      </c>
      <c r="C53" s="50" t="s">
        <v>440</v>
      </c>
      <c r="D53" s="50" t="s">
        <v>50</v>
      </c>
      <c r="E53" s="83" t="s">
        <v>56</v>
      </c>
      <c r="F53" s="86">
        <v>0</v>
      </c>
      <c r="G53" s="50">
        <v>274</v>
      </c>
      <c r="H53" s="50">
        <v>223081</v>
      </c>
      <c r="I53" s="83" t="s">
        <v>57</v>
      </c>
      <c r="J53" s="50">
        <v>224231</v>
      </c>
      <c r="K53" s="50" t="s">
        <v>53</v>
      </c>
      <c r="L53" s="11" t="str">
        <f>VLOOKUP(C53,'Trips&amp;Operators'!$C$1:$E$10000,3,FALSE)</f>
        <v>MAELZER</v>
      </c>
      <c r="M53" s="10" t="s">
        <v>112</v>
      </c>
      <c r="N53" s="11" t="s">
        <v>144</v>
      </c>
      <c r="O53" s="1"/>
      <c r="P53" s="103" t="str">
        <f>VLOOKUP(C53,'Train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53" s="101" t="str">
        <f>VLOOKUP(C53,'Train Runs'!$A$13:$AE$953,22,0)</f>
        <v>https://search-rtdc-monitor-bjffxe2xuh6vdkpspy63sjmuny.us-east-1.es.amazonaws.com/_plugin/kibana/#/discover/Steve-Slow-Train-Analysis-(2080s-and-2083s)?_g=(refreshInterval:(display:Off,section:0,value:0),time:(from:'2016-07-07 09:52:02-0600',mode:absolute,to:'2016-07-07 10:37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53" s="102" t="str">
        <f>VLOOKUP(C53,'Train Runs'!$A$13:$AF$953,32,0)</f>
        <v>"C:\Program Files (x86)\AstroGrep\AstroGrep.exe" /spath="C:\Users\stu\Documents\Analysis\2016-02-23 RTDC Observations" /stypes="*4011*20160707*" /stext=" 15:.+((prompt.+disp)|(slice.+state.+chan)|(ment ac)|(system.+state.+chan)|(\|lc)|(penalty)|(\[timeout))" /e /r /s</v>
      </c>
      <c r="S53" s="10" t="str">
        <f>MID(B53,13,4)</f>
        <v>4011</v>
      </c>
      <c r="T53" s="61">
        <f>A53+6/24</f>
        <v>42558.689502314817</v>
      </c>
    </row>
    <row r="54" spans="1:20" x14ac:dyDescent="0.25">
      <c r="A54" s="61">
        <v>42558.520810185182</v>
      </c>
      <c r="B54" s="50" t="s">
        <v>165</v>
      </c>
      <c r="C54" s="50" t="s">
        <v>627</v>
      </c>
      <c r="D54" s="50" t="s">
        <v>50</v>
      </c>
      <c r="E54" s="83" t="s">
        <v>110</v>
      </c>
      <c r="F54" s="86">
        <v>0</v>
      </c>
      <c r="G54" s="50">
        <v>298</v>
      </c>
      <c r="H54" s="50">
        <v>21530</v>
      </c>
      <c r="I54" s="83" t="s">
        <v>111</v>
      </c>
      <c r="J54" s="50">
        <v>22372</v>
      </c>
      <c r="K54" s="50" t="s">
        <v>53</v>
      </c>
      <c r="L54" s="11" t="str">
        <f>VLOOKUP(C54,'Trips&amp;Operators'!$C$1:$E$10000,3,FALSE)</f>
        <v>NELSON</v>
      </c>
      <c r="M54" s="10" t="s">
        <v>112</v>
      </c>
      <c r="N54" s="11" t="s">
        <v>144</v>
      </c>
      <c r="O54" s="1"/>
      <c r="P54" s="103" t="str">
        <f>VLOOKUP(C54,'Train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54" s="101" t="str">
        <f>VLOOKUP(C54,'Train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4" s="102" t="str">
        <f>VLOOKUP(C54,'Train Runs'!$A$13:$AF$953,32,0)</f>
        <v>"C:\Program Files (x86)\AstroGrep\AstroGrep.exe" /spath="C:\Users\stu\Documents\Analysis\2016-02-23 RTDC Observations" /stypes="*4040*20160707*" /stext=" 18:.+((prompt.+disp)|(slice.+state.+chan)|(ment ac)|(system.+state.+chan)|(\|lc)|(penalty)|(\[timeout))" /e /r /s</v>
      </c>
      <c r="S54" s="10" t="str">
        <f>MID(B54,13,4)</f>
        <v>4040</v>
      </c>
      <c r="T54" s="61">
        <f>A54+6/24</f>
        <v>42558.770810185182</v>
      </c>
    </row>
    <row r="55" spans="1:20" x14ac:dyDescent="0.25">
      <c r="A55" s="61">
        <v>42558.521493055552</v>
      </c>
      <c r="B55" s="50" t="s">
        <v>165</v>
      </c>
      <c r="C55" s="50" t="s">
        <v>627</v>
      </c>
      <c r="D55" s="50" t="s">
        <v>50</v>
      </c>
      <c r="E55" s="83" t="s">
        <v>110</v>
      </c>
      <c r="F55" s="86">
        <v>0</v>
      </c>
      <c r="G55" s="50">
        <v>298</v>
      </c>
      <c r="H55" s="50">
        <v>21530</v>
      </c>
      <c r="I55" s="83" t="s">
        <v>111</v>
      </c>
      <c r="J55" s="50">
        <v>22372</v>
      </c>
      <c r="K55" s="50" t="s">
        <v>53</v>
      </c>
      <c r="L55" s="11" t="str">
        <f>VLOOKUP(C55,'Trips&amp;Operators'!$C$1:$E$10000,3,FALSE)</f>
        <v>NELSON</v>
      </c>
      <c r="M55" s="10" t="s">
        <v>112</v>
      </c>
      <c r="N55" s="11" t="s">
        <v>144</v>
      </c>
      <c r="O55" s="1"/>
      <c r="P55" s="103" t="str">
        <f>VLOOKUP(C55,'Train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55" s="101" t="str">
        <f>VLOOKUP(C55,'Train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12:10:57-0600',mode:absolute,to:'2016-07-07 12:34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55" s="102" t="str">
        <f>VLOOKUP(C55,'Train Runs'!$A$13:$AF$953,32,0)</f>
        <v>"C:\Program Files (x86)\AstroGrep\AstroGrep.exe" /spath="C:\Users\stu\Documents\Analysis\2016-02-23 RTDC Observations" /stypes="*4040*20160707*" /stext=" 18:.+((prompt.+disp)|(slice.+state.+chan)|(ment ac)|(system.+state.+chan)|(\|lc)|(penalty)|(\[timeout))" /e /r /s</v>
      </c>
      <c r="S55" s="10" t="str">
        <f>MID(B55,13,4)</f>
        <v>4040</v>
      </c>
      <c r="T55" s="61">
        <f>A55+6/24</f>
        <v>42558.771493055552</v>
      </c>
    </row>
    <row r="56" spans="1:20" x14ac:dyDescent="0.25">
      <c r="A56" s="61">
        <v>42558.346203703702</v>
      </c>
      <c r="B56" s="50" t="s">
        <v>129</v>
      </c>
      <c r="C56" s="50" t="s">
        <v>609</v>
      </c>
      <c r="D56" s="50" t="s">
        <v>50</v>
      </c>
      <c r="E56" s="50" t="s">
        <v>110</v>
      </c>
      <c r="F56" s="86">
        <v>0</v>
      </c>
      <c r="G56" s="50">
        <v>336</v>
      </c>
      <c r="H56" s="50">
        <v>24793</v>
      </c>
      <c r="I56" s="50" t="s">
        <v>111</v>
      </c>
      <c r="J56" s="50">
        <v>24193</v>
      </c>
      <c r="K56" s="50" t="s">
        <v>54</v>
      </c>
      <c r="L56" s="11" t="str">
        <f>VLOOKUP(C56,'Trips&amp;Operators'!$C$1:$E$10000,3,FALSE)</f>
        <v>BEAM</v>
      </c>
      <c r="M56" s="10" t="s">
        <v>112</v>
      </c>
      <c r="N56" s="11" t="s">
        <v>144</v>
      </c>
      <c r="O56" s="33"/>
      <c r="P56" s="103" t="str">
        <f>VLOOKUP(C56,'Train Runs'!$A$13:$AE$953,31,0)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56" s="101" t="str">
        <f>VLOOKUP(C56,'Train Runs'!$A$13:$AE$953,22,0)</f>
        <v>https://search-rtdc-monitor-bjffxe2xuh6vdkpspy63sjmuny.us-east-1.es.amazonaws.com/_plugin/kibana/#/discover/Steve-Slow-Train-Analysis-(2080s-and-2083s)?_g=(refreshInterval:(display:Off,section:0,value:0),time:(from:'2016-07-07 08:09:43-0600',mode:absolute,to:'2016-07-07 08:20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56" s="102" t="str">
        <f>VLOOKUP(C56,'Train Runs'!$A$13:$AF$953,32,0)</f>
        <v>"C:\Program Files (x86)\AstroGrep\AstroGrep.exe" /spath="C:\Users\stu\Documents\Analysis\2016-02-23 RTDC Observations" /stypes="*4026*20160707*" /stext=" 14:.+((prompt.+disp)|(slice.+state.+chan)|(ment ac)|(system.+state.+chan)|(\|lc)|(penalty)|(\[timeout))" /e /r /s</v>
      </c>
      <c r="S56" s="10" t="str">
        <f>MID(B56,13,4)</f>
        <v>4026</v>
      </c>
      <c r="T56" s="61">
        <f>A56+6/24</f>
        <v>42558.596203703702</v>
      </c>
    </row>
    <row r="57" spans="1:20" x14ac:dyDescent="0.25">
      <c r="A57" s="61">
        <v>42558.520289351851</v>
      </c>
      <c r="B57" s="50" t="s">
        <v>134</v>
      </c>
      <c r="C57" s="50" t="s">
        <v>456</v>
      </c>
      <c r="D57" s="50" t="s">
        <v>55</v>
      </c>
      <c r="E57" s="83" t="s">
        <v>110</v>
      </c>
      <c r="F57" s="86">
        <v>0</v>
      </c>
      <c r="G57" s="50">
        <v>290</v>
      </c>
      <c r="H57" s="50">
        <v>127174</v>
      </c>
      <c r="I57" s="83" t="s">
        <v>111</v>
      </c>
      <c r="J57" s="50">
        <v>127587</v>
      </c>
      <c r="K57" s="50" t="s">
        <v>54</v>
      </c>
      <c r="L57" s="11" t="str">
        <f>VLOOKUP(C57,'Trips&amp;Operators'!$C$1:$E$10000,3,FALSE)</f>
        <v>SPECTOR</v>
      </c>
      <c r="M57" s="10" t="s">
        <v>112</v>
      </c>
      <c r="N57" s="11" t="s">
        <v>144</v>
      </c>
      <c r="O57" s="33"/>
      <c r="P57" s="103" t="str">
        <f>VLOOKUP(C57,'Train Runs'!$A$13:$AE$953,31,0)</f>
        <v>aws s3 cp s3://rtdc.mdm.uploadarchive/RTDC4037/2016-07-07/ "C:\Users\stu\Documents\Analysis\2016-02-23 RTDC Observations"\RTDC4037\2016-07-07 --recursive &amp; "C:\Users\stu\Documents\GitHub\mrs-test-scripts\Headless Mode &amp; Sideloading\WalkAndUnGZ.bat" "C:\Users\stu\Documents\Analysis\2016-02-23 RTDC Observations"\RTDC4037\2016-07-07 &amp; 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</v>
      </c>
      <c r="Q57" s="101" t="str">
        <f>VLOOKUP(C57,'Train Runs'!$A$13:$AE$953,22,0)</f>
        <v>https://search-rtdc-monitor-bjffxe2xuh6vdkpspy63sjmuny.us-east-1.es.amazonaws.com/_plugin/kibana/#/discover/Steve-Slow-Train-Analysis-(2080s-and-2083s)?_g=(refreshInterval:(display:Off,section:0,value:0),time:(from:'2016-07-07 12:20:52-0600',mode:absolute,to:'2016-07-07 12:33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57" s="102" t="str">
        <f>VLOOKUP(C57,'Train Runs'!$A$13:$AF$953,32,0)</f>
        <v>"C:\Program Files (x86)\AstroGrep\AstroGrep.exe" /spath="C:\Users\stu\Documents\Analysis\2016-02-23 RTDC Observations" /stypes="*4037*20160707*" /stext=" 18:.+((prompt.+disp)|(slice.+state.+chan)|(ment ac)|(system.+state.+chan)|(\|lc)|(penalty)|(\[timeout))" /e /r /s</v>
      </c>
      <c r="S57" s="10" t="str">
        <f>MID(B57,13,4)</f>
        <v>4037</v>
      </c>
      <c r="T57" s="61">
        <f>A57+6/24</f>
        <v>42558.770289351851</v>
      </c>
    </row>
    <row r="58" spans="1:20" x14ac:dyDescent="0.25">
      <c r="A58" s="61">
        <v>42558.404918981483</v>
      </c>
      <c r="B58" s="50" t="s">
        <v>138</v>
      </c>
      <c r="C58" s="50" t="s">
        <v>435</v>
      </c>
      <c r="D58" s="50" t="s">
        <v>50</v>
      </c>
      <c r="E58" s="83" t="s">
        <v>110</v>
      </c>
      <c r="F58" s="86">
        <v>0</v>
      </c>
      <c r="G58" s="50">
        <v>748</v>
      </c>
      <c r="H58" s="50">
        <v>149426</v>
      </c>
      <c r="I58" s="83" t="s">
        <v>111</v>
      </c>
      <c r="J58" s="50">
        <v>155600</v>
      </c>
      <c r="K58" s="50" t="s">
        <v>53</v>
      </c>
      <c r="L58" s="11" t="str">
        <f>VLOOKUP(C58,'Trips&amp;Operators'!$C$1:$E$10000,3,FALSE)</f>
        <v>STARKS</v>
      </c>
      <c r="M58" s="10" t="s">
        <v>112</v>
      </c>
      <c r="N58" s="11" t="s">
        <v>144</v>
      </c>
      <c r="O58" s="1"/>
      <c r="P58" s="103" t="str">
        <f>VLOOKUP(C58,'Train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58" s="101" t="str">
        <f>VLOOKUP(C58,'Train Runs'!$A$13:$AE$953,22,0)</f>
        <v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58" s="102" t="str">
        <f>VLOOKUP(C58,'Train Runs'!$A$13:$AF$953,32,0)</f>
        <v>"C:\Program Files (x86)\AstroGrep\AstroGrep.exe" /spath="C:\Users\stu\Documents\Analysis\2016-02-23 RTDC Observations" /stypes="*4027*20160707*" /stext=" 15:.+((prompt.+disp)|(slice.+state.+chan)|(ment ac)|(system.+state.+chan)|(\|lc)|(penalty)|(\[timeout))" /e /r /s</v>
      </c>
      <c r="S58" s="10" t="str">
        <f>MID(B58,13,4)</f>
        <v>4027</v>
      </c>
      <c r="T58" s="61">
        <f>A58+6/24</f>
        <v>42558.654918981483</v>
      </c>
    </row>
    <row r="59" spans="1:20" x14ac:dyDescent="0.25">
      <c r="A59" s="61">
        <v>42558.520613425928</v>
      </c>
      <c r="B59" s="50" t="s">
        <v>162</v>
      </c>
      <c r="C59" s="50" t="s">
        <v>465</v>
      </c>
      <c r="D59" s="50" t="s">
        <v>50</v>
      </c>
      <c r="E59" s="83" t="s">
        <v>110</v>
      </c>
      <c r="F59" s="86">
        <v>0</v>
      </c>
      <c r="G59" s="50">
        <v>622</v>
      </c>
      <c r="H59" s="50">
        <v>186400</v>
      </c>
      <c r="I59" s="83" t="s">
        <v>111</v>
      </c>
      <c r="J59" s="50">
        <v>190834</v>
      </c>
      <c r="K59" s="50" t="s">
        <v>53</v>
      </c>
      <c r="L59" s="11" t="str">
        <f>VLOOKUP(C59,'Trips&amp;Operators'!$C$1:$E$10000,3,FALSE)</f>
        <v>ROCHA</v>
      </c>
      <c r="M59" s="10" t="s">
        <v>112</v>
      </c>
      <c r="N59" s="11" t="s">
        <v>144</v>
      </c>
      <c r="O59" s="33"/>
      <c r="P59" s="103" t="str">
        <f>VLOOKUP(C59,'Train Runs'!$A$13:$AE$953,31,0)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Q59" s="101" t="str">
        <f>VLOOKUP(C59,'Train Runs'!$A$13:$AE$953,22,0)</f>
        <v>https://search-rtdc-monitor-bjffxe2xuh6vdkpspy63sjmuny.us-east-1.es.amazonaws.com/_plugin/kibana/#/discover/Steve-Slow-Train-Analysis-(2080s-and-2083s)?_g=(refreshInterval:(display:Off,section:0,value:0),time:(from:'2016-07-07 11:55:21-0600',mode:absolute,to:'2016-07-07 12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59" s="102" t="str">
        <f>VLOOKUP(C59,'Train Runs'!$A$13:$AF$953,32,0)</f>
        <v>"C:\Program Files (x86)\AstroGrep\AstroGrep.exe" /spath="C:\Users\stu\Documents\Analysis\2016-02-23 RTDC Observations" /stypes="*4007*20160707*" /stext=" 17:.+((prompt.+disp)|(slice.+state.+chan)|(ment ac)|(system.+state.+chan)|(\|lc)|(penalty)|(\[timeout))" /e /r /s</v>
      </c>
      <c r="S59" s="10" t="str">
        <f>MID(B59,13,4)</f>
        <v>4007</v>
      </c>
      <c r="T59" s="61">
        <f>A59+6/24</f>
        <v>42558.770613425928</v>
      </c>
    </row>
    <row r="60" spans="1:20" x14ac:dyDescent="0.25">
      <c r="A60" s="61">
        <v>42558.605636574073</v>
      </c>
      <c r="B60" s="50" t="s">
        <v>124</v>
      </c>
      <c r="C60" s="50" t="s">
        <v>486</v>
      </c>
      <c r="D60" s="50" t="s">
        <v>50</v>
      </c>
      <c r="E60" s="83" t="s">
        <v>110</v>
      </c>
      <c r="F60" s="86">
        <v>0</v>
      </c>
      <c r="G60" s="50">
        <v>436</v>
      </c>
      <c r="H60" s="50">
        <v>192931</v>
      </c>
      <c r="I60" s="83" t="s">
        <v>111</v>
      </c>
      <c r="J60" s="50">
        <v>191723</v>
      </c>
      <c r="K60" s="50" t="s">
        <v>54</v>
      </c>
      <c r="L60" s="11" t="str">
        <f>VLOOKUP(C60,'Trips&amp;Operators'!$C$1:$E$10000,3,FALSE)</f>
        <v>COOLAHAN</v>
      </c>
      <c r="M60" s="10" t="s">
        <v>112</v>
      </c>
      <c r="N60" s="11" t="s">
        <v>144</v>
      </c>
      <c r="O60" s="1"/>
      <c r="P60" s="103" t="str">
        <f>VLOOKUP(C60,'Train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60" s="101" t="str">
        <f>VLOOKUP(C60,'Train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60" s="102" t="str">
        <f>VLOOKUP(C60,'Train Runs'!$A$13:$AF$953,32,0)</f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  <c r="S60" s="10" t="str">
        <f>MID(B60,13,4)</f>
        <v>4012</v>
      </c>
      <c r="T60" s="61">
        <f>A60+6/24</f>
        <v>42558.855636574073</v>
      </c>
    </row>
    <row r="61" spans="1:20" x14ac:dyDescent="0.25">
      <c r="A61" s="61">
        <v>42558.221574074072</v>
      </c>
      <c r="B61" s="50" t="s">
        <v>133</v>
      </c>
      <c r="C61" s="50" t="s">
        <v>303</v>
      </c>
      <c r="D61" s="50" t="s">
        <v>50</v>
      </c>
      <c r="E61" s="83" t="s">
        <v>51</v>
      </c>
      <c r="F61" s="86">
        <v>0</v>
      </c>
      <c r="G61" s="50">
        <v>8</v>
      </c>
      <c r="H61" s="50">
        <v>110</v>
      </c>
      <c r="I61" s="83" t="s">
        <v>52</v>
      </c>
      <c r="J61" s="50">
        <v>1</v>
      </c>
      <c r="K61" s="50" t="s">
        <v>54</v>
      </c>
      <c r="L61" s="11" t="str">
        <f>VLOOKUP(C61,'Trips&amp;Operators'!$C$1:$E$10000,3,FALSE)</f>
        <v>STARKS</v>
      </c>
      <c r="M61" s="10" t="s">
        <v>113</v>
      </c>
      <c r="N61" s="11"/>
      <c r="O61" s="1"/>
      <c r="P61" s="103" t="str">
        <f>VLOOKUP(C61,'Train Runs'!$A$13:$AE$953,31,0)</f>
        <v>aws s3 cp s3://rtdc.mdm.uploadarchive/RTDC4028/2016-07-07/ "C:\Users\stu\Documents\Analysis\2016-02-23 RTDC Observations"\RTDC4028\2016-07-07 --recursive &amp; "C:\Users\stu\Documents\GitHub\mrs-test-scripts\Headless Mode &amp; Sideloading\WalkAndUnGZ.bat" "C:\Users\stu\Documents\Analysis\2016-02-23 RTDC Observations"\RTDC4028\2016-07-07 &amp; aws s3 cp s3://rtdc.mdm.uploadarchive/RTDC4028/2016-07-08/ "C:\Users\stu\Documents\Analysis\2016-02-23 RTDC Observations"\RTDC4028\2016-07-08 --recursive &amp; "C:\Users\stu\Documents\GitHub\mrs-test-scripts\Headless Mode &amp; Sideloading\WalkAndUnGZ.bat" "C:\Users\stu\Documents\Analysis\2016-02-23 RTDC Observations"\RTDC4028\2016-07-08</v>
      </c>
      <c r="Q61" s="101" t="str">
        <f>VLOOKUP(C61,'Train Runs'!$A$13:$AE$953,22,0)</f>
        <v>https://search-rtdc-monitor-bjffxe2xuh6vdkpspy63sjmuny.us-east-1.es.amazonaws.com/_plugin/kibana/#/discover/Steve-Slow-Train-Analysis-(2080s-and-2083s)?_g=(refreshInterval:(display:Off,section:0,value:0),time:(from:'2016-07-07 04:38:52-0600',mode:absolute,to:'2016-07-07 05:21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61" s="102" t="str">
        <f>VLOOKUP(C61,'Train Runs'!$A$13:$AF$953,32,0)</f>
        <v>"C:\Program Files (x86)\AstroGrep\AstroGrep.exe" /spath="C:\Users\stu\Documents\Analysis\2016-02-23 RTDC Observations" /stypes="*4028*20160707*" /stext=" 10:.+((prompt.+disp)|(slice.+state.+chan)|(ment ac)|(system.+state.+chan)|(\|lc)|(penalty)|(\[timeout))" /e /r /s</v>
      </c>
      <c r="S61" s="10" t="str">
        <f>MID(B61,13,4)</f>
        <v>4028</v>
      </c>
      <c r="T61" s="61">
        <f>A61+6/24</f>
        <v>42558.471574074072</v>
      </c>
    </row>
    <row r="62" spans="1:20" x14ac:dyDescent="0.25">
      <c r="A62" s="13">
        <v>42558.251944444448</v>
      </c>
      <c r="B62" s="12" t="s">
        <v>77</v>
      </c>
      <c r="C62" s="12" t="s">
        <v>270</v>
      </c>
      <c r="D62" s="12" t="s">
        <v>50</v>
      </c>
      <c r="E62" s="84" t="s">
        <v>51</v>
      </c>
      <c r="F62" s="87">
        <v>0</v>
      </c>
      <c r="G62" s="12">
        <v>55</v>
      </c>
      <c r="H62" s="12">
        <v>220</v>
      </c>
      <c r="I62" s="84" t="s">
        <v>52</v>
      </c>
      <c r="J62" s="12">
        <v>1</v>
      </c>
      <c r="K62" s="11" t="s">
        <v>54</v>
      </c>
      <c r="L62" s="11" t="str">
        <f>VLOOKUP(C62,'Trips&amp;Operators'!$C$1:$E$10000,3,FALSE)</f>
        <v>KILLION</v>
      </c>
      <c r="M62" s="10" t="s">
        <v>113</v>
      </c>
      <c r="N62" s="11"/>
      <c r="O62" s="1"/>
      <c r="P62" s="103" t="str">
        <f>VLOOKUP(C62,'Train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62" s="101" t="str">
        <f>VLOOKUP(C62,'Train Runs'!$A$13:$AE$953,22,0)</f>
        <v>https://search-rtdc-monitor-bjffxe2xuh6vdkpspy63sjmuny.us-east-1.es.amazonaws.com/_plugin/kibana/#/discover/Steve-Slow-Train-Analysis-(2080s-and-2083s)?_g=(refreshInterval:(display:Off,section:0,value:0),time:(from:'2016-07-07 05:09:10-0600',mode:absolute,to:'2016-07-07 06:03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2" s="102" t="str">
        <f>VLOOKUP(C62,'Train Runs'!$A$13:$AF$953,32,0)</f>
        <v>"C:\Program Files (x86)\AstroGrep\AstroGrep.exe" /spath="C:\Users\stu\Documents\Analysis\2016-02-23 RTDC Observations" /stypes="*4017*20160707*" /stext=" 11:.+((prompt.+disp)|(slice.+state.+chan)|(ment ac)|(system.+state.+chan)|(\|lc)|(penalty)|(\[timeout))" /e /r /s</v>
      </c>
      <c r="S62" s="10" t="str">
        <f>MID(B62,13,4)</f>
        <v>4017</v>
      </c>
      <c r="T62" s="61">
        <f>A62+6/24</f>
        <v>42558.501944444448</v>
      </c>
    </row>
    <row r="63" spans="1:20" x14ac:dyDescent="0.25">
      <c r="A63" s="61">
        <v>42558.293634259258</v>
      </c>
      <c r="B63" s="50" t="s">
        <v>69</v>
      </c>
      <c r="C63" s="50" t="s">
        <v>275</v>
      </c>
      <c r="D63" s="50" t="s">
        <v>50</v>
      </c>
      <c r="E63" s="50" t="s">
        <v>51</v>
      </c>
      <c r="F63" s="86">
        <v>0</v>
      </c>
      <c r="G63" s="50">
        <v>5</v>
      </c>
      <c r="H63" s="50">
        <v>138</v>
      </c>
      <c r="I63" s="50" t="s">
        <v>52</v>
      </c>
      <c r="J63" s="50">
        <v>1</v>
      </c>
      <c r="K63" s="50" t="s">
        <v>54</v>
      </c>
      <c r="L63" s="11" t="str">
        <f>VLOOKUP(C63,'Trips&amp;Operators'!$C$1:$E$10000,3,FALSE)</f>
        <v>MALAVE</v>
      </c>
      <c r="M63" s="10" t="s">
        <v>113</v>
      </c>
      <c r="N63" s="11"/>
      <c r="O63" s="33"/>
      <c r="P63" s="103" t="str">
        <f>VLOOKUP(C63,'Train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63" s="101" t="str">
        <f>VLOOKUP(C63,'Train Runs'!$A$13:$AE$953,22,0)</f>
        <v>https://search-rtdc-monitor-bjffxe2xuh6vdkpspy63sjmuny.us-east-1.es.amazonaws.com/_plugin/kibana/#/discover/Steve-Slow-Train-Analysis-(2080s-and-2083s)?_g=(refreshInterval:(display:Off,section:0,value:0),time:(from:'2016-07-07 06:22:58-0600',mode:absolute,to:'2016-07-07 07:03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3" s="102" t="str">
        <f>VLOOKUP(C63,'Train Runs'!$A$13:$AF$953,32,0)</f>
        <v>"C:\Program Files (x86)\AstroGrep\AstroGrep.exe" /spath="C:\Users\stu\Documents\Analysis\2016-02-23 RTDC Observations" /stypes="*4032*20160707*" /stext=" 12:.+((prompt.+disp)|(slice.+state.+chan)|(ment ac)|(system.+state.+chan)|(\|lc)|(penalty)|(\[timeout))" /e /r /s</v>
      </c>
      <c r="S63" s="10" t="str">
        <f>MID(B63,13,4)</f>
        <v>4032</v>
      </c>
      <c r="T63" s="61">
        <f>A63+6/24</f>
        <v>42558.543634259258</v>
      </c>
    </row>
    <row r="64" spans="1:20" x14ac:dyDescent="0.25">
      <c r="A64" s="13">
        <v>42558.335405092592</v>
      </c>
      <c r="B64" s="12" t="s">
        <v>124</v>
      </c>
      <c r="C64" s="12" t="s">
        <v>405</v>
      </c>
      <c r="D64" s="12" t="s">
        <v>50</v>
      </c>
      <c r="E64" s="84" t="s">
        <v>51</v>
      </c>
      <c r="F64" s="87">
        <v>0</v>
      </c>
      <c r="G64" s="12">
        <v>9</v>
      </c>
      <c r="H64" s="12">
        <v>105</v>
      </c>
      <c r="I64" s="84" t="s">
        <v>52</v>
      </c>
      <c r="J64" s="12">
        <v>1</v>
      </c>
      <c r="K64" s="11" t="s">
        <v>54</v>
      </c>
      <c r="L64" s="11" t="str">
        <f>VLOOKUP(C64,'Trips&amp;Operators'!$C$1:$E$10000,3,FALSE)</f>
        <v>MAELZER</v>
      </c>
      <c r="M64" s="10" t="s">
        <v>113</v>
      </c>
      <c r="N64" s="11"/>
      <c r="O64" s="33"/>
      <c r="P64" s="103" t="str">
        <f>VLOOKUP(C64,'Train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64" s="101" t="str">
        <f>VLOOKUP(C64,'Train Runs'!$A$13:$AE$953,22,0)</f>
        <v>https://search-rtdc-monitor-bjffxe2xuh6vdkpspy63sjmuny.us-east-1.es.amazonaws.com/_plugin/kibana/#/discover/Steve-Slow-Train-Analysis-(2080s-and-2083s)?_g=(refreshInterval:(display:Off,section:0,value:0),time:(from:'2016-07-07 07:20:03-0600',mode:absolute,to:'2016-07-07 08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64" s="102" t="str">
        <f>VLOOKUP(C64,'Train Runs'!$A$13:$AF$953,32,0)</f>
        <v>"C:\Program Files (x86)\AstroGrep\AstroGrep.exe" /spath="C:\Users\stu\Documents\Analysis\2016-02-23 RTDC Observations" /stypes="*4012*20160707*" /stext=" 13:.+((prompt.+disp)|(slice.+state.+chan)|(ment ac)|(system.+state.+chan)|(\|lc)|(penalty)|(\[timeout))" /e /r /s</v>
      </c>
      <c r="S64" s="10" t="str">
        <f>MID(B64,13,4)</f>
        <v>4012</v>
      </c>
      <c r="T64" s="61">
        <f>A64+6/24</f>
        <v>42558.585405092592</v>
      </c>
    </row>
    <row r="65" spans="1:20" x14ac:dyDescent="0.25">
      <c r="A65" s="61">
        <v>42558.419016203705</v>
      </c>
      <c r="B65" s="50" t="s">
        <v>158</v>
      </c>
      <c r="C65" s="50" t="s">
        <v>426</v>
      </c>
      <c r="D65" s="50" t="s">
        <v>50</v>
      </c>
      <c r="E65" s="83" t="s">
        <v>51</v>
      </c>
      <c r="F65" s="86">
        <v>0</v>
      </c>
      <c r="G65" s="50">
        <v>6</v>
      </c>
      <c r="H65" s="50">
        <v>129</v>
      </c>
      <c r="I65" s="83" t="s">
        <v>52</v>
      </c>
      <c r="J65" s="50">
        <v>1</v>
      </c>
      <c r="K65" s="50" t="s">
        <v>54</v>
      </c>
      <c r="L65" s="11" t="str">
        <f>VLOOKUP(C65,'Trips&amp;Operators'!$C$1:$E$10000,3,FALSE)</f>
        <v>MOSES</v>
      </c>
      <c r="M65" s="10" t="s">
        <v>113</v>
      </c>
      <c r="N65" s="11"/>
      <c r="O65" s="1"/>
      <c r="P65" s="103" t="str">
        <f>VLOOKUP(C65,'Train Runs'!$A$13:$AE$953,31,0)</f>
        <v>aws s3 cp s3://rtdc.mdm.uploadarchive/RTDC4008/2016-07-07/ "C:\Users\stu\Documents\Analysis\2016-02-23 RTDC Observations"\RTDC4008\2016-07-07 --recursive &amp; "C:\Users\stu\Documents\GitHub\mrs-test-scripts\Headless Mode &amp; Sideloading\WalkAndUnGZ.bat" "C:\Users\stu\Documents\Analysis\2016-02-23 RTDC Observations"\RTDC4008\2016-07-07 &amp; aws s3 cp s3://rtdc.mdm.uploadarchive/RTDC4008/2016-07-08/ "C:\Users\stu\Documents\Analysis\2016-02-23 RTDC Observations"\RTDC4008\2016-07-08 --recursive &amp; "C:\Users\stu\Documents\GitHub\mrs-test-scripts\Headless Mode &amp; Sideloading\WalkAndUnGZ.bat" "C:\Users\stu\Documents\Analysis\2016-02-23 RTDC Observations"\RTDC4008\2016-07-08</v>
      </c>
      <c r="Q65" s="101" t="str">
        <f>VLOOKUP(C65,'Train Runs'!$A$13:$AE$953,22,0)</f>
        <v>https://search-rtdc-monitor-bjffxe2xuh6vdkpspy63sjmuny.us-east-1.es.amazonaws.com/_plugin/kibana/#/discover/Steve-Slow-Train-Analysis-(2080s-and-2083s)?_g=(refreshInterval:(display:Off,section:0,value:0),time:(from:'2016-07-07 09:16:35-0600',mode:absolute,to:'2016-07-07 10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65" s="102" t="str">
        <f>VLOOKUP(C65,'Train Runs'!$A$13:$AF$953,32,0)</f>
        <v>"C:\Program Files (x86)\AstroGrep\AstroGrep.exe" /spath="C:\Users\stu\Documents\Analysis\2016-02-23 RTDC Observations" /stypes="*4008*20160707*" /stext=" 15:.+((prompt.+disp)|(slice.+state.+chan)|(ment ac)|(system.+state.+chan)|(\|lc)|(penalty)|(\[timeout))" /e /r /s</v>
      </c>
      <c r="S65" s="10" t="str">
        <f>MID(B65,13,4)</f>
        <v>4008</v>
      </c>
      <c r="T65" s="61">
        <f>A65+6/24</f>
        <v>42558.669016203705</v>
      </c>
    </row>
    <row r="66" spans="1:20" x14ac:dyDescent="0.25">
      <c r="A66" s="61">
        <v>42558.439675925925</v>
      </c>
      <c r="B66" s="50" t="s">
        <v>69</v>
      </c>
      <c r="C66" s="50" t="s">
        <v>433</v>
      </c>
      <c r="D66" s="50" t="s">
        <v>50</v>
      </c>
      <c r="E66" s="50" t="s">
        <v>51</v>
      </c>
      <c r="F66" s="86">
        <v>0</v>
      </c>
      <c r="G66" s="50">
        <v>6</v>
      </c>
      <c r="H66" s="50">
        <v>129</v>
      </c>
      <c r="I66" s="50" t="s">
        <v>52</v>
      </c>
      <c r="J66" s="50">
        <v>1</v>
      </c>
      <c r="K66" s="50" t="s">
        <v>54</v>
      </c>
      <c r="L66" s="11" t="str">
        <f>VLOOKUP(C66,'Trips&amp;Operators'!$C$1:$E$10000,3,FALSE)</f>
        <v>MALAVE</v>
      </c>
      <c r="M66" s="10" t="s">
        <v>113</v>
      </c>
      <c r="N66" s="11"/>
      <c r="O66" s="33"/>
      <c r="P66" s="103" t="str">
        <f>VLOOKUP(C66,'Train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66" s="101" t="str">
        <f>VLOOKUP(C66,'Train Runs'!$A$13:$AE$953,22,0)</f>
        <v>https://search-rtdc-monitor-bjffxe2xuh6vdkpspy63sjmuny.us-east-1.es.amazonaws.com/_plugin/kibana/#/discover/Steve-Slow-Train-Analysis-(2080s-and-2083s)?_g=(refreshInterval:(display:Off,section:0,value:0),time:(from:'2016-07-07 09:51:54-0600',mode:absolute,to:'2016-07-07 10:34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6" s="102" t="str">
        <f>VLOOKUP(C66,'Train Runs'!$A$13:$AF$953,32,0)</f>
        <v>"C:\Program Files (x86)\AstroGrep\AstroGrep.exe" /spath="C:\Users\stu\Documents\Analysis\2016-02-23 RTDC Observations" /stypes="*4032*20160707*" /stext=" 15:.+((prompt.+disp)|(slice.+state.+chan)|(ment ac)|(system.+state.+chan)|(\|lc)|(penalty)|(\[timeout))" /e /r /s</v>
      </c>
      <c r="S66" s="10" t="str">
        <f>MID(B66,13,4)</f>
        <v>4032</v>
      </c>
      <c r="T66" s="61">
        <f>A66+6/24</f>
        <v>42558.689675925925</v>
      </c>
    </row>
    <row r="67" spans="1:20" x14ac:dyDescent="0.25">
      <c r="A67" s="61">
        <v>42558.501851851855</v>
      </c>
      <c r="B67" s="50" t="s">
        <v>159</v>
      </c>
      <c r="C67" s="50" t="s">
        <v>446</v>
      </c>
      <c r="D67" s="50" t="s">
        <v>50</v>
      </c>
      <c r="E67" s="83" t="s">
        <v>51</v>
      </c>
      <c r="F67" s="86">
        <v>0</v>
      </c>
      <c r="G67" s="50">
        <v>35</v>
      </c>
      <c r="H67" s="50">
        <v>76</v>
      </c>
      <c r="I67" s="83" t="s">
        <v>52</v>
      </c>
      <c r="J67" s="50">
        <v>1</v>
      </c>
      <c r="K67" s="50" t="s">
        <v>54</v>
      </c>
      <c r="L67" s="11" t="str">
        <f>VLOOKUP(C67,'Trips&amp;Operators'!$C$1:$E$10000,3,FALSE)</f>
        <v>MOSES</v>
      </c>
      <c r="M67" s="10" t="s">
        <v>113</v>
      </c>
      <c r="N67" s="11"/>
      <c r="O67" s="1"/>
      <c r="P67" s="103" t="str">
        <f>VLOOKUP(C67,'Train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67" s="101" t="str">
        <f>VLOOKUP(C67,'Train Runs'!$A$13:$AE$953,22,0)</f>
        <v>https://search-rtdc-monitor-bjffxe2xuh6vdkpspy63sjmuny.us-east-1.es.amazonaws.com/_plugin/kibana/#/discover/Steve-Slow-Train-Analysis-(2080s-and-2083s)?_g=(refreshInterval:(display:Off,section:0,value:0),time:(from:'2016-07-07 11:16:39-0600',mode:absolute,to:'2016-07-07 12:03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67" s="102" t="str">
        <f>VLOOKUP(C67,'Train Runs'!$A$13:$AF$953,32,0)</f>
        <v>"C:\Program Files (x86)\AstroGrep\AstroGrep.exe" /spath="C:\Users\stu\Documents\Analysis\2016-02-23 RTDC Observations" /stypes="*4043*20160707*" /stext=" 17:.+((prompt.+disp)|(slice.+state.+chan)|(ment ac)|(system.+state.+chan)|(\|lc)|(penalty)|(\[timeout))" /e /r /s</v>
      </c>
      <c r="S67" s="10" t="str">
        <f>MID(B67,13,4)</f>
        <v>4043</v>
      </c>
      <c r="T67" s="61">
        <f>A67+6/24</f>
        <v>42558.751851851855</v>
      </c>
    </row>
    <row r="68" spans="1:20" x14ac:dyDescent="0.25">
      <c r="A68" s="61">
        <v>42558.515879629631</v>
      </c>
      <c r="B68" s="50" t="s">
        <v>69</v>
      </c>
      <c r="C68" s="50" t="s">
        <v>450</v>
      </c>
      <c r="D68" s="50" t="s">
        <v>50</v>
      </c>
      <c r="E68" s="83" t="s">
        <v>51</v>
      </c>
      <c r="F68" s="86">
        <v>0</v>
      </c>
      <c r="G68" s="50">
        <v>62</v>
      </c>
      <c r="H68" s="50">
        <v>225</v>
      </c>
      <c r="I68" s="83" t="s">
        <v>52</v>
      </c>
      <c r="J68" s="50">
        <v>1</v>
      </c>
      <c r="K68" s="50" t="s">
        <v>54</v>
      </c>
      <c r="L68" s="11" t="str">
        <f>VLOOKUP(C68,'Trips&amp;Operators'!$C$1:$E$10000,3,FALSE)</f>
        <v>STEWART</v>
      </c>
      <c r="M68" s="10" t="s">
        <v>113</v>
      </c>
      <c r="N68" s="11"/>
      <c r="O68" s="33"/>
      <c r="P68" s="103" t="str">
        <f>VLOOKUP(C68,'Train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68" s="101" t="str">
        <f>VLOOKUP(C68,'Train Runs'!$A$13:$AE$953,22,0)</f>
        <v>https://search-rtdc-monitor-bjffxe2xuh6vdkpspy63sjmuny.us-east-1.es.amazonaws.com/_plugin/kibana/#/discover/Steve-Slow-Train-Analysis-(2080s-and-2083s)?_g=(refreshInterval:(display:Off,section:0,value:0),time:(from:'2016-07-07 11:51:59-0600',mode:absolute,to:'2016-07-07 12:24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68" s="102" t="str">
        <f>VLOOKUP(C68,'Train Runs'!$A$13:$AF$953,32,0)</f>
        <v>"C:\Program Files (x86)\AstroGrep\AstroGrep.exe" /spath="C:\Users\stu\Documents\Analysis\2016-02-23 RTDC Observations" /stypes="*4032*20160707*" /stext=" 17:.+((prompt.+disp)|(slice.+state.+chan)|(ment ac)|(system.+state.+chan)|(\|lc)|(penalty)|(\[timeout))" /e /r /s</v>
      </c>
      <c r="S68" s="10" t="str">
        <f>MID(B68,13,4)</f>
        <v>4032</v>
      </c>
      <c r="T68" s="61">
        <f>A68+6/24</f>
        <v>42558.765879629631</v>
      </c>
    </row>
    <row r="69" spans="1:20" x14ac:dyDescent="0.25">
      <c r="A69" s="61">
        <v>42558.544409722221</v>
      </c>
      <c r="B69" s="50" t="s">
        <v>77</v>
      </c>
      <c r="C69" s="50" t="s">
        <v>460</v>
      </c>
      <c r="D69" s="50" t="s">
        <v>50</v>
      </c>
      <c r="E69" s="83" t="s">
        <v>51</v>
      </c>
      <c r="F69" s="86">
        <v>0</v>
      </c>
      <c r="G69" s="50">
        <v>44</v>
      </c>
      <c r="H69" s="50">
        <v>154</v>
      </c>
      <c r="I69" s="83" t="s">
        <v>52</v>
      </c>
      <c r="J69" s="50">
        <v>1</v>
      </c>
      <c r="K69" s="50" t="s">
        <v>54</v>
      </c>
      <c r="L69" s="11" t="str">
        <f>VLOOKUP(C69,'Trips&amp;Operators'!$C$1:$E$10000,3,FALSE)</f>
        <v>STAMBAUGH</v>
      </c>
      <c r="M69" s="10" t="s">
        <v>113</v>
      </c>
      <c r="N69" s="11"/>
      <c r="O69" s="1"/>
      <c r="P69" s="103" t="str">
        <f>VLOOKUP(C69,'Train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69" s="101" t="str">
        <f>VLOOKUP(C69,'Train Runs'!$A$13:$AE$953,22,0)</f>
        <v>https://search-rtdc-monitor-bjffxe2xuh6vdkpspy63sjmuny.us-east-1.es.amazonaws.com/_plugin/kibana/#/discover/Steve-Slow-Train-Analysis-(2080s-and-2083s)?_g=(refreshInterval:(display:Off,section:0,value:0),time:(from:'2016-07-07 12:18:46-0600',mode:absolute,to:'2016-07-07 13:05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69" s="102" t="str">
        <f>VLOOKUP(C69,'Train Runs'!$A$13:$AF$953,32,0)</f>
        <v>"C:\Program Files (x86)\AstroGrep\AstroGrep.exe" /spath="C:\Users\stu\Documents\Analysis\2016-02-23 RTDC Observations" /stypes="*4017*20160707*" /stext=" 18:.+((prompt.+disp)|(slice.+state.+chan)|(ment ac)|(system.+state.+chan)|(\|lc)|(penalty)|(\[timeout))" /e /r /s</v>
      </c>
      <c r="S69" s="10" t="str">
        <f>MID(B69,13,4)</f>
        <v>4017</v>
      </c>
      <c r="T69" s="61">
        <f>A69+6/24</f>
        <v>42558.794409722221</v>
      </c>
    </row>
    <row r="70" spans="1:20" x14ac:dyDescent="0.25">
      <c r="A70" s="61">
        <v>42558.554328703707</v>
      </c>
      <c r="B70" s="50" t="s">
        <v>124</v>
      </c>
      <c r="C70" s="50" t="s">
        <v>462</v>
      </c>
      <c r="D70" s="50" t="s">
        <v>50</v>
      </c>
      <c r="E70" s="83" t="s">
        <v>51</v>
      </c>
      <c r="F70" s="86">
        <v>0</v>
      </c>
      <c r="G70" s="50">
        <v>80</v>
      </c>
      <c r="H70" s="50">
        <v>285</v>
      </c>
      <c r="I70" s="83" t="s">
        <v>52</v>
      </c>
      <c r="J70" s="50">
        <v>1</v>
      </c>
      <c r="K70" s="50" t="s">
        <v>54</v>
      </c>
      <c r="L70" s="11" t="str">
        <f>VLOOKUP(C70,'Trips&amp;Operators'!$C$1:$E$10000,3,FALSE)</f>
        <v>COOLAHAN</v>
      </c>
      <c r="M70" s="10" t="s">
        <v>113</v>
      </c>
      <c r="N70" s="11"/>
      <c r="O70" s="1"/>
      <c r="P70" s="103" t="str">
        <f>VLOOKUP(C70,'Train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70" s="101" t="str">
        <f>VLOOKUP(C70,'Train Runs'!$A$13:$AE$953,22,0)</f>
        <v>https://search-rtdc-monitor-bjffxe2xuh6vdkpspy63sjmuny.us-east-1.es.amazonaws.com/_plugin/kibana/#/discover/Steve-Slow-Train-Analysis-(2080s-and-2083s)?_g=(refreshInterval:(display:Off,section:0,value:0),time:(from:'2016-07-07 12:33:29-0600',mode:absolute,to:'2016-07-07 13:19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70" s="102" t="str">
        <f>VLOOKUP(C70,'Train Runs'!$A$13:$AF$953,32,0)</f>
        <v>"C:\Program Files (x86)\AstroGrep\AstroGrep.exe" /spath="C:\Users\stu\Documents\Analysis\2016-02-23 RTDC Observations" /stypes="*4012*20160707*" /stext=" 18:.+((prompt.+disp)|(slice.+state.+chan)|(ment ac)|(system.+state.+chan)|(\|lc)|(penalty)|(\[timeout))" /e /r /s</v>
      </c>
      <c r="S70" s="10" t="str">
        <f>MID(B70,13,4)</f>
        <v>4012</v>
      </c>
      <c r="T70" s="61">
        <f>A70+6/24</f>
        <v>42558.804328703707</v>
      </c>
    </row>
    <row r="71" spans="1:20" x14ac:dyDescent="0.25">
      <c r="A71" s="61">
        <v>42558.57471064815</v>
      </c>
      <c r="B71" s="50" t="s">
        <v>159</v>
      </c>
      <c r="C71" s="50" t="s">
        <v>472</v>
      </c>
      <c r="D71" s="50" t="s">
        <v>50</v>
      </c>
      <c r="E71" s="83" t="s">
        <v>51</v>
      </c>
      <c r="F71" s="86">
        <v>0</v>
      </c>
      <c r="G71" s="50">
        <v>52</v>
      </c>
      <c r="H71" s="50">
        <v>150</v>
      </c>
      <c r="I71" s="83" t="s">
        <v>52</v>
      </c>
      <c r="J71" s="50">
        <v>1</v>
      </c>
      <c r="K71" s="50" t="s">
        <v>54</v>
      </c>
      <c r="L71" s="11" t="str">
        <f>VLOOKUP(C71,'Trips&amp;Operators'!$C$1:$E$10000,3,FALSE)</f>
        <v>BEAM</v>
      </c>
      <c r="M71" s="10" t="s">
        <v>113</v>
      </c>
      <c r="N71" s="11"/>
      <c r="O71" s="1"/>
      <c r="P71" s="103" t="str">
        <f>VLOOKUP(C71,'Train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71" s="101" t="str">
        <f>VLOOKUP(C71,'Train Runs'!$A$13:$AE$953,22,0)</f>
        <v>https://search-rtdc-monitor-bjffxe2xuh6vdkpspy63sjmuny.us-east-1.es.amazonaws.com/_plugin/kibana/#/discover/Steve-Slow-Train-Analysis-(2080s-and-2083s)?_g=(refreshInterval:(display:Off,section:0,value:0),time:(from:'2016-07-07 12:57:44-0600',mode:absolute,to:'2016-07-07 13:48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1" s="102" t="str">
        <f>VLOOKUP(C71,'Train Runs'!$A$13:$AF$953,32,0)</f>
        <v>"C:\Program Files (x86)\AstroGrep\AstroGrep.exe" /spath="C:\Users\stu\Documents\Analysis\2016-02-23 RTDC Observations" /stypes="*4043*20160707*" /stext=" 19:.+((prompt.+disp)|(slice.+state.+chan)|(ment ac)|(system.+state.+chan)|(\|lc)|(penalty)|(\[timeout))" /e /r /s</v>
      </c>
      <c r="S71" s="10" t="str">
        <f>MID(B71,13,4)</f>
        <v>4043</v>
      </c>
      <c r="T71" s="61">
        <f>A71+6/24</f>
        <v>42558.82471064815</v>
      </c>
    </row>
    <row r="72" spans="1:20" x14ac:dyDescent="0.25">
      <c r="A72" s="61">
        <v>42558.585509259261</v>
      </c>
      <c r="B72" s="50" t="s">
        <v>69</v>
      </c>
      <c r="C72" s="50" t="s">
        <v>475</v>
      </c>
      <c r="D72" s="50" t="s">
        <v>50</v>
      </c>
      <c r="E72" s="83" t="s">
        <v>51</v>
      </c>
      <c r="F72" s="86">
        <v>0</v>
      </c>
      <c r="G72" s="50">
        <v>9</v>
      </c>
      <c r="H72" s="50">
        <v>134</v>
      </c>
      <c r="I72" s="83" t="s">
        <v>52</v>
      </c>
      <c r="J72" s="50">
        <v>1</v>
      </c>
      <c r="K72" s="50" t="s">
        <v>54</v>
      </c>
      <c r="L72" s="11" t="str">
        <f>VLOOKUP(C72,'Trips&amp;Operators'!$C$1:$E$10000,3,FALSE)</f>
        <v>STEWART</v>
      </c>
      <c r="M72" s="10" t="s">
        <v>113</v>
      </c>
      <c r="N72" s="11"/>
      <c r="O72" s="1"/>
      <c r="P72" s="103" t="str">
        <f>VLOOKUP(C72,'Train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72" s="101" t="str">
        <f>VLOOKUP(C72,'Train Runs'!$A$13:$AE$953,22,0)</f>
        <v>https://search-rtdc-monitor-bjffxe2xuh6vdkpspy63sjmuny.us-east-1.es.amazonaws.com/_plugin/kibana/#/discover/Steve-Slow-Train-Analysis-(2080s-and-2083s)?_g=(refreshInterval:(display:Off,section:0,value:0),time:(from:'2016-07-07 13:19:56-0600',mode:absolute,to:'2016-07-07 14:04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2" s="102" t="str">
        <f>VLOOKUP(C72,'Train Runs'!$A$13:$AF$953,32,0)</f>
        <v>"C:\Program Files (x86)\AstroGrep\AstroGrep.exe" /spath="C:\Users\stu\Documents\Analysis\2016-02-23 RTDC Observations" /stypes="*4032*20160707*" /stext=" 19:.+((prompt.+disp)|(slice.+state.+chan)|(ment ac)|(system.+state.+chan)|(\|lc)|(penalty)|(\[timeout))" /e /r /s</v>
      </c>
      <c r="S72" s="10" t="str">
        <f>MID(B72,13,4)</f>
        <v>4032</v>
      </c>
      <c r="T72" s="61">
        <f>A72+6/24</f>
        <v>42558.835509259261</v>
      </c>
    </row>
    <row r="73" spans="1:20" x14ac:dyDescent="0.25">
      <c r="A73" s="61">
        <v>42558.631620370368</v>
      </c>
      <c r="B73" s="50" t="s">
        <v>124</v>
      </c>
      <c r="C73" s="50" t="s">
        <v>486</v>
      </c>
      <c r="D73" s="50" t="s">
        <v>50</v>
      </c>
      <c r="E73" s="83" t="s">
        <v>51</v>
      </c>
      <c r="F73" s="86">
        <v>0</v>
      </c>
      <c r="G73" s="50">
        <v>63</v>
      </c>
      <c r="H73" s="50">
        <v>203</v>
      </c>
      <c r="I73" s="83" t="s">
        <v>52</v>
      </c>
      <c r="J73" s="50">
        <v>1</v>
      </c>
      <c r="K73" s="50" t="s">
        <v>54</v>
      </c>
      <c r="L73" s="11" t="str">
        <f>VLOOKUP(C73,'Trips&amp;Operators'!$C$1:$E$10000,3,FALSE)</f>
        <v>COOLAHAN</v>
      </c>
      <c r="M73" s="10" t="s">
        <v>113</v>
      </c>
      <c r="N73" s="11"/>
      <c r="O73" s="1"/>
      <c r="P73" s="103" t="str">
        <f>VLOOKUP(C73,'Train Runs'!$A$13:$AE$953,31,0)</f>
        <v>aws s3 cp s3://rtdc.mdm.uploadarchive/RTDC4012/2016-07-07/ "C:\Users\stu\Documents\Analysis\2016-02-23 RTDC Observations"\RTDC4012\2016-07-07 --recursive &amp; "C:\Users\stu\Documents\GitHub\mrs-test-scripts\Headless Mode &amp; Sideloading\WalkAndUnGZ.bat" "C:\Users\stu\Documents\Analysis\2016-02-23 RTDC Observations"\RTDC4012\2016-07-07 &amp; aws s3 cp s3://rtdc.mdm.uploadarchive/RTDC4012/2016-07-08/ "C:\Users\stu\Documents\Analysis\2016-02-23 RTDC Observations"\RTDC4012\2016-07-08 --recursive &amp; "C:\Users\stu\Documents\GitHub\mrs-test-scripts\Headless Mode &amp; Sideloading\WalkAndUnGZ.bat" "C:\Users\stu\Documents\Analysis\2016-02-23 RTDC Observations"\RTDC4012\2016-07-08</v>
      </c>
      <c r="Q73" s="101" t="str">
        <f>VLOOKUP(C73,'Train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14:37:12-0600',mode:absolute,to:'2016-07-07 15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R73" s="102" t="str">
        <f>VLOOKUP(C73,'Train Runs'!$A$13:$AF$953,32,0)</f>
        <v>"C:\Program Files (x86)\AstroGrep\AstroGrep.exe" /spath="C:\Users\stu\Documents\Analysis\2016-02-23 RTDC Observations" /stypes="*4012*20160707*" /stext=" 20:.+((prompt.+disp)|(slice.+state.+chan)|(ment ac)|(system.+state.+chan)|(\|lc)|(penalty)|(\[timeout))" /e /r /s</v>
      </c>
      <c r="S73" s="10" t="str">
        <f>MID(B73,13,4)</f>
        <v>4012</v>
      </c>
      <c r="T73" s="61">
        <f>A73+6/24</f>
        <v>42558.881620370368</v>
      </c>
    </row>
    <row r="74" spans="1:20" x14ac:dyDescent="0.25">
      <c r="A74" s="61">
        <v>42558.712800925925</v>
      </c>
      <c r="B74" s="50" t="s">
        <v>131</v>
      </c>
      <c r="C74" s="50" t="s">
        <v>514</v>
      </c>
      <c r="D74" s="50" t="s">
        <v>50</v>
      </c>
      <c r="E74" s="83" t="s">
        <v>51</v>
      </c>
      <c r="F74" s="86">
        <v>0</v>
      </c>
      <c r="G74" s="50">
        <v>4</v>
      </c>
      <c r="H74" s="50">
        <v>112</v>
      </c>
      <c r="I74" s="83" t="s">
        <v>52</v>
      </c>
      <c r="J74" s="50">
        <v>1</v>
      </c>
      <c r="K74" s="50" t="s">
        <v>54</v>
      </c>
      <c r="L74" s="11" t="str">
        <f>VLOOKUP(C74,'Trips&amp;Operators'!$C$1:$E$10000,3,FALSE)</f>
        <v>ROCHA</v>
      </c>
      <c r="M74" s="10" t="s">
        <v>113</v>
      </c>
      <c r="N74" s="11"/>
      <c r="O74" s="1"/>
      <c r="P74" s="103" t="str">
        <f>VLOOKUP(C74,'Train Runs'!$A$13:$AE$953,31,0)</f>
        <v>aws s3 cp s3://rtdc.mdm.uploadarchive/RTDC4013/2016-07-07/ "C:\Users\stu\Documents\Analysis\2016-02-23 RTDC Observations"\RTDC4013\2016-07-07 --recursive &amp; "C:\Users\stu\Documents\GitHub\mrs-test-scripts\Headless Mode &amp; Sideloading\WalkAndUnGZ.bat" "C:\Users\stu\Documents\Analysis\2016-02-23 RTDC Observations"\RTDC4013\2016-07-07 &amp; aws s3 cp s3://rtdc.mdm.uploadarchive/RTDC4013/2016-07-08/ "C:\Users\stu\Documents\Analysis\2016-02-23 RTDC Observations"\RTDC4013\2016-07-08 --recursive &amp; "C:\Users\stu\Documents\GitHub\mrs-test-scripts\Headless Mode &amp; Sideloading\WalkAndUnGZ.bat" "C:\Users\stu\Documents\Analysis\2016-02-23 RTDC Observations"\RTDC4013\2016-07-08</v>
      </c>
      <c r="Q74" s="101" t="str">
        <f>VLOOKUP(C74,'Train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16:37:11-0600',mode:absolute,to:'2016-07-07 17:07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R74" s="102" t="str">
        <f>VLOOKUP(C74,'Train Runs'!$A$13:$AF$953,32,0)</f>
        <v>"C:\Program Files (x86)\AstroGrep\AstroGrep.exe" /spath="C:\Users\stu\Documents\Analysis\2016-02-23 RTDC Observations" /stypes="*4013*20160707*" /stext=" 22:.+((prompt.+disp)|(slice.+state.+chan)|(ment ac)|(system.+state.+chan)|(\|lc)|(penalty)|(\[timeout))" /e /r /s</v>
      </c>
      <c r="S74" s="10" t="str">
        <f>MID(B74,13,4)</f>
        <v>4013</v>
      </c>
      <c r="T74" s="61">
        <f>A74+6/24</f>
        <v>42558.962800925925</v>
      </c>
    </row>
    <row r="75" spans="1:20" x14ac:dyDescent="0.25">
      <c r="A75" s="61">
        <v>42558.721215277779</v>
      </c>
      <c r="B75" s="50" t="s">
        <v>159</v>
      </c>
      <c r="C75" s="50" t="s">
        <v>519</v>
      </c>
      <c r="D75" s="50" t="s">
        <v>50</v>
      </c>
      <c r="E75" s="83" t="s">
        <v>51</v>
      </c>
      <c r="F75" s="86">
        <v>0</v>
      </c>
      <c r="G75" s="50">
        <v>57</v>
      </c>
      <c r="H75" s="50">
        <v>160</v>
      </c>
      <c r="I75" s="83" t="s">
        <v>52</v>
      </c>
      <c r="J75" s="50">
        <v>1</v>
      </c>
      <c r="K75" s="50" t="s">
        <v>54</v>
      </c>
      <c r="L75" s="11" t="str">
        <f>VLOOKUP(C75,'Trips&amp;Operators'!$C$1:$E$10000,3,FALSE)</f>
        <v>STORY</v>
      </c>
      <c r="M75" s="10" t="s">
        <v>113</v>
      </c>
      <c r="N75" s="11"/>
      <c r="O75" s="33"/>
      <c r="P75" s="103" t="str">
        <f>VLOOKUP(C75,'Train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75" s="101" t="str">
        <f>VLOOKUP(C75,'Train Runs'!$A$13:$AE$953,22,0)</f>
        <v>https://search-rtdc-monitor-bjffxe2xuh6vdkpspy63sjmuny.us-east-1.es.amazonaws.com/_plugin/kibana/#/discover/Steve-Slow-Train-Analysis-(2080s-and-2083s)?_g=(refreshInterval:(display:Off,section:0,value:0),time:(from:'2016-07-07 16:36:51-0600',mode:absolute,to:'2016-07-07 17:19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5" s="102" t="str">
        <f>VLOOKUP(C75,'Train Runs'!$A$13:$AF$953,32,0)</f>
        <v>"C:\Program Files (x86)\AstroGrep\AstroGrep.exe" /spath="C:\Users\stu\Documents\Analysis\2016-02-23 RTDC Observations" /stypes="*4043*20160707*" /stext=" 22:.+((prompt.+disp)|(slice.+state.+chan)|(ment ac)|(system.+state.+chan)|(\|lc)|(penalty)|(\[timeout))" /e /r /s</v>
      </c>
      <c r="S75" s="10" t="str">
        <f>MID(B75,13,4)</f>
        <v>4043</v>
      </c>
      <c r="T75" s="61">
        <f>A75+6/24</f>
        <v>42558.971215277779</v>
      </c>
    </row>
    <row r="76" spans="1:20" x14ac:dyDescent="0.25">
      <c r="A76" s="61">
        <v>42558.762453703705</v>
      </c>
      <c r="B76" s="50" t="s">
        <v>77</v>
      </c>
      <c r="C76" s="50" t="s">
        <v>530</v>
      </c>
      <c r="D76" s="50" t="s">
        <v>50</v>
      </c>
      <c r="E76" s="83" t="s">
        <v>51</v>
      </c>
      <c r="F76" s="86">
        <v>0</v>
      </c>
      <c r="G76" s="50">
        <v>45</v>
      </c>
      <c r="H76" s="50">
        <v>154</v>
      </c>
      <c r="I76" s="83" t="s">
        <v>52</v>
      </c>
      <c r="J76" s="50">
        <v>1</v>
      </c>
      <c r="K76" s="50" t="s">
        <v>54</v>
      </c>
      <c r="L76" s="11" t="str">
        <f>VLOOKUP(C76,'Trips&amp;Operators'!$C$1:$E$10000,3,FALSE)</f>
        <v>STAMBAUGH</v>
      </c>
      <c r="M76" s="10" t="s">
        <v>113</v>
      </c>
      <c r="N76" s="11"/>
      <c r="O76" s="1"/>
      <c r="P76" s="103" t="str">
        <f>VLOOKUP(C76,'Train Runs'!$A$13:$AE$953,31,0)</f>
        <v>aws s3 cp s3://rtdc.mdm.uploadarchive/RTDC4017/2016-07-07/ "C:\Users\stu\Documents\Analysis\2016-02-23 RTDC Observations"\RTDC4017\2016-07-07 --recursive &amp; "C:\Users\stu\Documents\GitHub\mrs-test-scripts\Headless Mode &amp; Sideloading\WalkAndUnGZ.bat" "C:\Users\stu\Documents\Analysis\2016-02-23 RTDC Observations"\RTDC4017\2016-07-07 &amp; aws s3 cp s3://rtdc.mdm.uploadarchive/RTDC4017/2016-07-08/ "C:\Users\stu\Documents\Analysis\2016-02-23 RTDC Observations"\RTDC4017\2016-07-08 --recursive &amp; "C:\Users\stu\Documents\GitHub\mrs-test-scripts\Headless Mode &amp; Sideloading\WalkAndUnGZ.bat" "C:\Users\stu\Documents\Analysis\2016-02-23 RTDC Observations"\RTDC4017\2016-07-08</v>
      </c>
      <c r="Q76" s="101" t="str">
        <f>VLOOKUP(C76,'Train Runs'!$A$13:$AE$953,22,0)</f>
        <v>https://search-rtdc-monitor-bjffxe2xuh6vdkpspy63sjmuny.us-east-1.es.amazonaws.com/_plugin/kibana/#/discover/Steve-Slow-Train-Analysis-(2080s-and-2083s)?_g=(refreshInterval:(display:Off,section:0,value:0),time:(from:'2016-07-07 17:35:56-0600',mode:absolute,to:'2016-07-07 18:18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76" s="102" t="str">
        <f>VLOOKUP(C76,'Train Runs'!$A$13:$AF$953,32,0)</f>
        <v>"C:\Program Files (x86)\AstroGrep\AstroGrep.exe" /spath="C:\Users\stu\Documents\Analysis\2016-02-23 RTDC Observations" /stypes="*4017*20160707*" /stext=" 23:.+((prompt.+disp)|(slice.+state.+chan)|(ment ac)|(system.+state.+chan)|(\|lc)|(penalty)|(\[timeout))" /e /r /s</v>
      </c>
      <c r="S76" s="10" t="str">
        <f>MID(B76,13,4)</f>
        <v>4017</v>
      </c>
      <c r="T76" s="61">
        <f>A76+6/24</f>
        <v>42559.012453703705</v>
      </c>
    </row>
    <row r="77" spans="1:20" x14ac:dyDescent="0.25">
      <c r="A77" s="61">
        <v>42558.794074074074</v>
      </c>
      <c r="B77" s="50" t="s">
        <v>159</v>
      </c>
      <c r="C77" s="50" t="s">
        <v>542</v>
      </c>
      <c r="D77" s="50" t="s">
        <v>50</v>
      </c>
      <c r="E77" s="83" t="s">
        <v>51</v>
      </c>
      <c r="F77" s="86">
        <v>0</v>
      </c>
      <c r="G77" s="50">
        <v>53</v>
      </c>
      <c r="H77" s="50">
        <v>170</v>
      </c>
      <c r="I77" s="83" t="s">
        <v>52</v>
      </c>
      <c r="J77" s="50">
        <v>1</v>
      </c>
      <c r="K77" s="50" t="s">
        <v>54</v>
      </c>
      <c r="L77" s="11" t="str">
        <f>VLOOKUP(C77,'Trips&amp;Operators'!$C$1:$E$10000,3,FALSE)</f>
        <v>STORY</v>
      </c>
      <c r="M77" s="10" t="s">
        <v>113</v>
      </c>
      <c r="N77" s="11"/>
      <c r="O77" s="33"/>
      <c r="P77" s="103" t="str">
        <f>VLOOKUP(C77,'Train Runs'!$A$13:$AE$953,31,0)</f>
        <v>aws s3 cp s3://rtdc.mdm.uploadarchive/RTDC4043/2016-07-07/ "C:\Users\stu\Documents\Analysis\2016-02-23 RTDC Observations"\RTDC4043\2016-07-07 --recursive &amp; "C:\Users\stu\Documents\GitHub\mrs-test-scripts\Headless Mode &amp; Sideloading\WalkAndUnGZ.bat" "C:\Users\stu\Documents\Analysis\2016-02-23 RTDC Observations"\RTDC4043\2016-07-07 &amp; aws s3 cp s3://rtdc.mdm.uploadarchive/RTDC4043/2016-07-08/ "C:\Users\stu\Documents\Analysis\2016-02-23 RTDC Observations"\RTDC4043\2016-07-08 --recursive &amp; "C:\Users\stu\Documents\GitHub\mrs-test-scripts\Headless Mode &amp; Sideloading\WalkAndUnGZ.bat" "C:\Users\stu\Documents\Analysis\2016-02-23 RTDC Observations"\RTDC4043\2016-07-08</v>
      </c>
      <c r="Q77" s="101" t="str">
        <f>VLOOKUP(C77,'Train Runs'!$A$13:$AE$953,22,0)</f>
        <v>https://search-rtdc-monitor-bjffxe2xuh6vdkpspy63sjmuny.us-east-1.es.amazonaws.com/_plugin/kibana/#/discover/Steve-Slow-Train-Analysis-(2080s-and-2083s)?_g=(refreshInterval:(display:Off,section:0,value:0),time:(from:'2016-07-07 18:14:59-0600',mode:absolute,to:'2016-07-07 19:04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7" s="102" t="str">
        <f>VLOOKUP(C77,'Train Runs'!$A$13:$AF$953,32,0)</f>
        <v>"C:\Program Files (x86)\AstroGrep\AstroGrep.exe" /spath="C:\Users\stu\Documents\Analysis\2016-02-23 RTDC Observations" /stypes="*4043*20160708*" /stext=" 00:.+((prompt.+disp)|(slice.+state.+chan)|(ment ac)|(system.+state.+chan)|(\|lc)|(penalty)|(\[timeout))" /e /r /s</v>
      </c>
      <c r="S77" s="10" t="str">
        <f>MID(B77,13,4)</f>
        <v>4043</v>
      </c>
      <c r="T77" s="61">
        <f>A77+6/24</f>
        <v>42559.044074074074</v>
      </c>
    </row>
    <row r="78" spans="1:20" x14ac:dyDescent="0.25">
      <c r="A78" s="61">
        <v>42558.960520833331</v>
      </c>
      <c r="B78" s="50" t="s">
        <v>69</v>
      </c>
      <c r="C78" s="50" t="s">
        <v>575</v>
      </c>
      <c r="D78" s="50" t="s">
        <v>50</v>
      </c>
      <c r="E78" s="83" t="s">
        <v>51</v>
      </c>
      <c r="F78" s="86">
        <v>0</v>
      </c>
      <c r="G78" s="50">
        <v>7</v>
      </c>
      <c r="H78" s="50">
        <v>287</v>
      </c>
      <c r="I78" s="83" t="s">
        <v>52</v>
      </c>
      <c r="J78" s="50">
        <v>1</v>
      </c>
      <c r="K78" s="50" t="s">
        <v>54</v>
      </c>
      <c r="L78" s="11" t="str">
        <f>VLOOKUP(C78,'Trips&amp;Operators'!$C$1:$E$10000,3,FALSE)</f>
        <v>DAVIS</v>
      </c>
      <c r="M78" s="10" t="s">
        <v>113</v>
      </c>
      <c r="N78" s="11"/>
      <c r="O78" s="1"/>
      <c r="P78" s="103" t="str">
        <f>VLOOKUP(C78,'Train Runs'!$A$13:$AE$953,31,0)</f>
        <v>aws s3 cp s3://rtdc.mdm.uploadarchive/RTDC4032/2016-07-07/ "C:\Users\stu\Documents\Analysis\2016-02-23 RTDC Observations"\RTDC4032\2016-07-07 --recursive &amp; "C:\Users\stu\Documents\GitHub\mrs-test-scripts\Headless Mode &amp; Sideloading\WalkAndUnGZ.bat" "C:\Users\stu\Documents\Analysis\2016-02-23 RTDC Observations"\RTDC4032\2016-07-07 &amp; aws s3 cp s3://rtdc.mdm.uploadarchive/RTDC4032/2016-07-08/ "C:\Users\stu\Documents\Analysis\2016-02-23 RTDC Observations"\RTDC4032\2016-07-08 --recursive &amp; "C:\Users\stu\Documents\GitHub\mrs-test-scripts\Headless Mode &amp; Sideloading\WalkAndUnGZ.bat" "C:\Users\stu\Documents\Analysis\2016-02-23 RTDC Observations"\RTDC4032\2016-07-08</v>
      </c>
      <c r="Q78" s="101" t="str">
        <f>VLOOKUP(C78,'Train Runs'!$A$13:$AE$953,22,0)</f>
        <v>https://search-rtdc-monitor-bjffxe2xuh6vdkpspy63sjmuny.us-east-1.es.amazonaws.com/_plugin/kibana/#/discover/Steve-Slow-Train-Analysis-(2080s-and-2083s)?_g=(refreshInterval:(display:Off,section:0,value:0),time:(from:'2016-07-07 22:17:48-0600',mode:absolute,to:'2016-07-07 23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78" s="102" t="str">
        <f>VLOOKUP(C78,'Train Runs'!$A$13:$AF$953,32,0)</f>
        <v>"C:\Program Files (x86)\AstroGrep\AstroGrep.exe" /spath="C:\Users\stu\Documents\Analysis\2016-02-23 RTDC Observations" /stypes="*4032*20160708*" /stext=" 04:.+((prompt.+disp)|(slice.+state.+chan)|(ment ac)|(system.+state.+chan)|(\|lc)|(penalty)|(\[timeout))" /e /r /s</v>
      </c>
      <c r="S78" s="10" t="str">
        <f>MID(B78,13,4)</f>
        <v>4032</v>
      </c>
      <c r="T78" s="61">
        <f>A78+6/24</f>
        <v>42559.210520833331</v>
      </c>
    </row>
    <row r="79" spans="1:20" x14ac:dyDescent="0.25">
      <c r="A79" s="61">
        <v>42559.064282407409</v>
      </c>
      <c r="B79" s="50" t="s">
        <v>134</v>
      </c>
      <c r="C79" s="50" t="s">
        <v>591</v>
      </c>
      <c r="D79" s="50" t="s">
        <v>50</v>
      </c>
      <c r="E79" s="83" t="s">
        <v>51</v>
      </c>
      <c r="F79" s="86">
        <v>0</v>
      </c>
      <c r="G79" s="50">
        <v>51</v>
      </c>
      <c r="H79" s="50">
        <v>167</v>
      </c>
      <c r="I79" s="83" t="s">
        <v>52</v>
      </c>
      <c r="J79" s="50">
        <v>1</v>
      </c>
      <c r="K79" s="50" t="s">
        <v>54</v>
      </c>
      <c r="L79" s="11" t="str">
        <f>VLOOKUP(C79,'Trips&amp;Operators'!$C$1:$E$10000,3,FALSE)</f>
        <v>ADANE</v>
      </c>
      <c r="M79" s="10" t="s">
        <v>113</v>
      </c>
      <c r="N79" s="11"/>
      <c r="O79" s="1"/>
      <c r="P79" s="103" t="str">
        <f>VLOOKUP(C79,'Train Runs'!$A$13:$AE$953,31,0)</f>
        <v>aws s3 cp s3://rtdc.mdm.uploadarchive/RTDC4037/2016-07-08/ "C:\Users\stu\Documents\Analysis\2016-02-23 RTDC Observations"\RTDC4037\2016-07-08 --recursive &amp; "C:\Users\stu\Documents\GitHub\mrs-test-scripts\Headless Mode &amp; Sideloading\WalkAndUnGZ.bat" "C:\Users\stu\Documents\Analysis\2016-02-23 RTDC Observations"\RTDC4037\2016-07-08 &amp; aws s3 cp s3://rtdc.mdm.uploadarchive/RTDC4037/2016-07-09/ "C:\Users\stu\Documents\Analysis\2016-02-23 RTDC Observations"\RTDC4037\2016-07-09 --recursive &amp; "C:\Users\stu\Documents\GitHub\mrs-test-scripts\Headless Mode &amp; Sideloading\WalkAndUnGZ.bat" "C:\Users\stu\Documents\Analysis\2016-02-23 RTDC Observations"\RTDC4037\2016-07-09</v>
      </c>
      <c r="Q79" s="101" t="str">
        <f>VLOOKUP(C79,'Train Runs'!$A$13:$AE$953,22,0)</f>
        <v>https://search-rtdc-monitor-bjffxe2xuh6vdkpspy63sjmuny.us-east-1.es.amazonaws.com/_plugin/kibana/#/discover/Steve-Slow-Train-Analysis-(2080s-and-2083s)?_g=(refreshInterval:(display:Off,section:0,value:0),time:(from:'2016-07-08 00:51:11-0600',mode:absolute,to:'2016-07-08 01:38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79" s="102" t="str">
        <f>VLOOKUP(C79,'Train Runs'!$A$13:$AF$953,32,0)</f>
        <v>"C:\Program Files (x86)\AstroGrep\AstroGrep.exe" /spath="C:\Users\stu\Documents\Analysis\2016-02-23 RTDC Observations" /stypes="*4037*20160708*" /stext=" 06:.+((prompt.+disp)|(slice.+state.+chan)|(ment ac)|(system.+state.+chan)|(\|lc)|(penalty)|(\[timeout))" /e /r /s</v>
      </c>
      <c r="S79" s="10" t="str">
        <f>MID(B79,13,4)</f>
        <v>4037</v>
      </c>
      <c r="T79" s="61">
        <f>A79+6/24</f>
        <v>42559.314282407409</v>
      </c>
    </row>
    <row r="80" spans="1:20" x14ac:dyDescent="0.25">
      <c r="A80" s="61">
        <v>42558.225590277776</v>
      </c>
      <c r="B80" s="50" t="s">
        <v>129</v>
      </c>
      <c r="C80" s="50" t="s">
        <v>272</v>
      </c>
      <c r="D80" s="50" t="s">
        <v>50</v>
      </c>
      <c r="E80" s="50" t="s">
        <v>51</v>
      </c>
      <c r="F80" s="86">
        <v>0</v>
      </c>
      <c r="G80" s="50">
        <v>6</v>
      </c>
      <c r="H80" s="50">
        <v>727</v>
      </c>
      <c r="I80" s="50" t="s">
        <v>52</v>
      </c>
      <c r="J80" s="50">
        <v>575</v>
      </c>
      <c r="K80" s="50" t="s">
        <v>54</v>
      </c>
      <c r="L80" s="11" t="str">
        <f>VLOOKUP(C80,'Trips&amp;Operators'!$C$1:$E$10000,3,FALSE)</f>
        <v>BEAM</v>
      </c>
      <c r="M80" s="10" t="s">
        <v>113</v>
      </c>
      <c r="N80" s="11"/>
      <c r="O80" s="33"/>
      <c r="P80" s="103" t="str">
        <f>VLOOKUP(C80,'Train Runs'!$A$13:$AE$953,31,0)</f>
        <v>aws s3 cp s3://rtdc.mdm.uploadarchive/RTDC4026/2016-07-07/ "C:\Users\stu\Documents\Analysis\2016-02-23 RTDC Observations"\RTDC4026\2016-07-07 --recursive &amp; "C:\Users\stu\Documents\GitHub\mrs-test-scripts\Headless Mode &amp; Sideloading\WalkAndUnGZ.bat" "C:\Users\stu\Documents\Analysis\2016-02-23 RTDC Observations"\RTDC4026\2016-07-07 &amp; aws s3 cp s3://rtdc.mdm.uploadarchive/RTDC4026/2016-07-08/ "C:\Users\stu\Documents\Analysis\2016-02-23 RTDC Observations"\RTDC4026\2016-07-08 --recursive &amp; "C:\Users\stu\Documents\GitHub\mrs-test-scripts\Headless Mode &amp; Sideloading\WalkAndUnGZ.bat" "C:\Users\stu\Documents\Analysis\2016-02-23 RTDC Observations"\RTDC4026\2016-07-08</v>
      </c>
      <c r="Q80" s="101" t="str">
        <f>VLOOKUP(C80,'Train Runs'!$A$13:$AE$953,22,0)</f>
        <v>https://search-rtdc-monitor-bjffxe2xuh6vdkpspy63sjmuny.us-east-1.es.amazonaws.com/_plugin/kibana/#/discover/Steve-Slow-Train-Analysis-(2080s-and-2083s)?_g=(refreshInterval:(display:Off,section:0,value:0),time:(from:'2016-07-07 05:10:17-0600',mode:absolute,to:'2016-07-07 05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R80" s="102" t="str">
        <f>VLOOKUP(C80,'Train Runs'!$A$13:$AF$953,32,0)</f>
        <v>"C:\Program Files (x86)\AstroGrep\AstroGrep.exe" /spath="C:\Users\stu\Documents\Analysis\2016-02-23 RTDC Observations" /stypes="*4026*20160707*" /stext=" 11:.+((prompt.+disp)|(slice.+state.+chan)|(ment ac)|(system.+state.+chan)|(\|lc)|(penalty)|(\[timeout))" /e /r /s</v>
      </c>
      <c r="S80" s="10" t="str">
        <f>MID(B80,13,4)</f>
        <v>4026</v>
      </c>
      <c r="T80" s="61">
        <f>A80+6/24</f>
        <v>42558.475590277776</v>
      </c>
    </row>
    <row r="81" spans="1:20" x14ac:dyDescent="0.25">
      <c r="A81" s="13">
        <v>42558.252662037034</v>
      </c>
      <c r="B81" s="12" t="s">
        <v>132</v>
      </c>
      <c r="C81" s="12" t="s">
        <v>273</v>
      </c>
      <c r="D81" s="12" t="s">
        <v>50</v>
      </c>
      <c r="E81" s="84" t="s">
        <v>51</v>
      </c>
      <c r="F81" s="87">
        <v>0</v>
      </c>
      <c r="G81" s="12">
        <v>2</v>
      </c>
      <c r="H81" s="12">
        <v>58973</v>
      </c>
      <c r="I81" s="84" t="s">
        <v>52</v>
      </c>
      <c r="J81" s="12">
        <v>59048</v>
      </c>
      <c r="K81" s="11" t="s">
        <v>53</v>
      </c>
      <c r="L81" s="11" t="str">
        <f>VLOOKUP(C81,'Trips&amp;Operators'!$C$1:$E$10000,3,FALSE)</f>
        <v>BEAM</v>
      </c>
      <c r="M81" s="10" t="s">
        <v>113</v>
      </c>
      <c r="N81" s="11"/>
      <c r="O81" s="1"/>
      <c r="P81" s="103" t="str">
        <f>VLOOKUP(C81,'Train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81" s="101" t="str">
        <f>VLOOKUP(C81,'Train Runs'!$A$13:$AE$953,22,0)</f>
        <v>https://search-rtdc-monitor-bjffxe2xuh6vdkpspy63sjmuny.us-east-1.es.amazonaws.com/_plugin/kibana/#/discover/Steve-Slow-Train-Analysis-(2080s-and-2083s)?_g=(refreshInterval:(display:Off,section:0,value:0),time:(from:'2016-07-07 05:44:57-0600',mode:absolute,to:'2016-07-07 06:04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1" s="102" t="str">
        <f>VLOOKUP(C81,'Train Runs'!$A$13:$AF$953,32,0)</f>
        <v>"C:\Program Files (x86)\AstroGrep\AstroGrep.exe" /spath="C:\Users\stu\Documents\Analysis\2016-02-23 RTDC Observations" /stypes="*4025*20160707*" /stext=" 11:.+((prompt.+disp)|(slice.+state.+chan)|(ment ac)|(system.+state.+chan)|(\|lc)|(penalty)|(\[timeout))" /e /r /s</v>
      </c>
      <c r="S81" s="10" t="str">
        <f>MID(B81,13,4)</f>
        <v>4025</v>
      </c>
      <c r="T81" s="61">
        <f>A81+6/24</f>
        <v>42558.502662037034</v>
      </c>
    </row>
    <row r="82" spans="1:20" x14ac:dyDescent="0.25">
      <c r="A82" s="61">
        <v>42558.315520833334</v>
      </c>
      <c r="B82" s="50" t="s">
        <v>165</v>
      </c>
      <c r="C82" s="50" t="s">
        <v>603</v>
      </c>
      <c r="D82" s="50" t="s">
        <v>50</v>
      </c>
      <c r="E82" s="83" t="s">
        <v>51</v>
      </c>
      <c r="F82" s="86">
        <v>0</v>
      </c>
      <c r="G82" s="50">
        <v>7</v>
      </c>
      <c r="H82" s="50">
        <v>58958</v>
      </c>
      <c r="I82" s="83" t="s">
        <v>52</v>
      </c>
      <c r="J82" s="50">
        <v>59048</v>
      </c>
      <c r="K82" s="50" t="s">
        <v>53</v>
      </c>
      <c r="L82" s="11" t="str">
        <f>VLOOKUP(C82,'Trips&amp;Operators'!$C$1:$E$10000,3,FALSE)</f>
        <v>NELSON</v>
      </c>
      <c r="M82" s="10" t="s">
        <v>113</v>
      </c>
      <c r="N82" s="11"/>
      <c r="O82" s="33"/>
      <c r="P82" s="103" t="str">
        <f>VLOOKUP(C82,'Train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2" s="101" t="str">
        <f>VLOOKUP(C82,'Train Runs'!$A$13:$AE$953,22,0)</f>
        <v>https://search-rtdc-monitor-bjffxe2xuh6vdkpspy63sjmuny.us-east-1.es.amazonaws.com/_plugin/kibana/#/discover/Steve-Slow-Train-Analysis-(2080s-and-2083s)?_g=(refreshInterval:(display:Off,section:0,value:0),time:(from:'2016-07-07 07:09:37-0600',mode:absolute,to:'2016-07-07 07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2" s="102" t="str">
        <f>VLOOKUP(C82,'Train Runs'!$A$13:$AF$953,32,0)</f>
        <v>"C:\Program Files (x86)\AstroGrep\AstroGrep.exe" /spath="C:\Users\stu\Documents\Analysis\2016-02-23 RTDC Observations" /stypes="*4040*20160707*" /stext=" 13:.+((prompt.+disp)|(slice.+state.+chan)|(ment ac)|(system.+state.+chan)|(\|lc)|(penalty)|(\[timeout))" /e /r /s</v>
      </c>
      <c r="S82" s="10" t="str">
        <f>MID(B82,13,4)</f>
        <v>4040</v>
      </c>
      <c r="T82" s="61">
        <f>A82+6/24</f>
        <v>42558.565520833334</v>
      </c>
    </row>
    <row r="83" spans="1:20" x14ac:dyDescent="0.25">
      <c r="A83" s="61">
        <v>42558.336643518516</v>
      </c>
      <c r="B83" s="50" t="s">
        <v>132</v>
      </c>
      <c r="C83" s="50" t="s">
        <v>607</v>
      </c>
      <c r="D83" s="50" t="s">
        <v>50</v>
      </c>
      <c r="E83" s="50" t="s">
        <v>51</v>
      </c>
      <c r="F83" s="86">
        <v>0</v>
      </c>
      <c r="G83" s="50">
        <v>9</v>
      </c>
      <c r="H83" s="50">
        <v>58954</v>
      </c>
      <c r="I83" s="50" t="s">
        <v>52</v>
      </c>
      <c r="J83" s="50">
        <v>59048</v>
      </c>
      <c r="K83" s="50" t="s">
        <v>53</v>
      </c>
      <c r="L83" s="11" t="str">
        <f>VLOOKUP(C83,'Trips&amp;Operators'!$C$1:$E$10000,3,FALSE)</f>
        <v>BEAM</v>
      </c>
      <c r="M83" s="10" t="s">
        <v>113</v>
      </c>
      <c r="N83" s="11"/>
      <c r="O83" s="1"/>
      <c r="P83" s="103" t="str">
        <f>VLOOKUP(C83,'Train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83" s="101" t="str">
        <f>VLOOKUP(C83,'Train Runs'!$A$13:$AE$953,22,0)</f>
        <v>https://search-rtdc-monitor-bjffxe2xuh6vdkpspy63sjmuny.us-east-1.es.amazonaws.com/_plugin/kibana/#/discover/Steve-Slow-Train-Analysis-(2080s-and-2083s)?_g=(refreshInterval:(display:Off,section:0,value:0),time:(from:'2016-07-07 07:46:12-0600',mode:absolute,to:'2016-07-07 08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3" s="102" t="str">
        <f>VLOOKUP(C83,'Train Runs'!$A$13:$AF$953,32,0)</f>
        <v>"C:\Program Files (x86)\AstroGrep\AstroGrep.exe" /spath="C:\Users\stu\Documents\Analysis\2016-02-23 RTDC Observations" /stypes="*4025*20160707*" /stext=" 13:.+((prompt.+disp)|(slice.+state.+chan)|(ment ac)|(system.+state.+chan)|(\|lc)|(penalty)|(\[timeout))" /e /r /s</v>
      </c>
      <c r="S83" s="10" t="str">
        <f>MID(B83,13,4)</f>
        <v>4025</v>
      </c>
      <c r="T83" s="61">
        <f>A83+6/24</f>
        <v>42558.586643518516</v>
      </c>
    </row>
    <row r="84" spans="1:20" x14ac:dyDescent="0.25">
      <c r="A84" s="61">
        <v>42558.690138888887</v>
      </c>
      <c r="B84" s="50" t="s">
        <v>165</v>
      </c>
      <c r="C84" s="50" t="s">
        <v>649</v>
      </c>
      <c r="D84" s="50" t="s">
        <v>50</v>
      </c>
      <c r="E84" s="83" t="s">
        <v>51</v>
      </c>
      <c r="F84" s="86">
        <v>0</v>
      </c>
      <c r="G84" s="50">
        <v>37</v>
      </c>
      <c r="H84" s="50">
        <v>59001</v>
      </c>
      <c r="I84" s="83" t="s">
        <v>52</v>
      </c>
      <c r="J84" s="50">
        <v>59048</v>
      </c>
      <c r="K84" s="50" t="s">
        <v>53</v>
      </c>
      <c r="L84" s="11" t="str">
        <f>VLOOKUP(C84,'Trips&amp;Operators'!$C$1:$E$10000,3,FALSE)</f>
        <v>MAYBERRY</v>
      </c>
      <c r="M84" s="10" t="s">
        <v>113</v>
      </c>
      <c r="N84" s="11"/>
      <c r="O84" s="33"/>
      <c r="P84" s="103" t="str">
        <f>VLOOKUP(C84,'Train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4" s="101" t="str">
        <f>VLOOKUP(C84,'Train Runs'!$A$13:$AE$953,22,0)</f>
        <v>https://search-rtdc-monitor-bjffxe2xuh6vdkpspy63sjmuny.us-east-1.es.amazonaws.com/_plugin/kibana/#/discover/Steve-Slow-Train-Analysis-(2080s-and-2083s)?_g=(refreshInterval:(display:Off,section:0,value:0),time:(from:'2016-07-07 16:14:28-0600',mode:absolute,to:'2016-07-07 16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4" s="102" t="str">
        <f>VLOOKUP(C84,'Train Runs'!$A$13:$AF$953,32,0)</f>
        <v>"C:\Program Files (x86)\AstroGrep\AstroGrep.exe" /spath="C:\Users\stu\Documents\Analysis\2016-02-23 RTDC Observations" /stypes="*4040*20160707*" /stext=" 22:.+((prompt.+disp)|(slice.+state.+chan)|(ment ac)|(system.+state.+chan)|(\|lc)|(penalty)|(\[timeout))" /e /r /s</v>
      </c>
      <c r="S84" s="10" t="str">
        <f>MID(B84,13,4)</f>
        <v>4040</v>
      </c>
      <c r="T84" s="61">
        <f>A84+6/24</f>
        <v>42558.940138888887</v>
      </c>
    </row>
    <row r="85" spans="1:20" x14ac:dyDescent="0.25">
      <c r="A85" s="61">
        <v>42558.773587962962</v>
      </c>
      <c r="B85" s="50" t="s">
        <v>165</v>
      </c>
      <c r="C85" s="50" t="s">
        <v>667</v>
      </c>
      <c r="D85" s="50" t="s">
        <v>50</v>
      </c>
      <c r="E85" s="83" t="s">
        <v>51</v>
      </c>
      <c r="F85" s="86">
        <v>0</v>
      </c>
      <c r="G85" s="50">
        <v>102</v>
      </c>
      <c r="H85" s="50">
        <v>58670</v>
      </c>
      <c r="I85" s="83" t="s">
        <v>52</v>
      </c>
      <c r="J85" s="50">
        <v>59048</v>
      </c>
      <c r="K85" s="50" t="s">
        <v>53</v>
      </c>
      <c r="L85" s="11" t="str">
        <f>VLOOKUP(C85,'Trips&amp;Operators'!$C$1:$E$10000,3,FALSE)</f>
        <v>MAYBERRY</v>
      </c>
      <c r="M85" s="10" t="s">
        <v>113</v>
      </c>
      <c r="N85" s="11"/>
      <c r="O85" s="1"/>
      <c r="P85" s="103" t="str">
        <f>VLOOKUP(C85,'Train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5" s="101" t="str">
        <f>VLOOKUP(C85,'Train Runs'!$A$13:$AE$953,22,0)</f>
        <v>https://search-rtdc-monitor-bjffxe2xuh6vdkpspy63sjmuny.us-east-1.es.amazonaws.com/_plugin/kibana/#/discover/Steve-Slow-Train-Analysis-(2080s-and-2083s)?_g=(refreshInterval:(display:Off,section:0,value:0),time:(from:'2016-07-07 18:16:10-0600',mode:absolute,to:'2016-07-07 18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5" s="102" t="str">
        <f>VLOOKUP(C85,'Train Runs'!$A$13:$AF$953,32,0)</f>
        <v>"C:\Program Files (x86)\AstroGrep\AstroGrep.exe" /spath="C:\Users\stu\Documents\Analysis\2016-02-23 RTDC Observations" /stypes="*4040*20160708*" /stext=" 00:.+((prompt.+disp)|(slice.+state.+chan)|(ment ac)|(system.+state.+chan)|(\|lc)|(penalty)|(\[timeout))" /e /r /s</v>
      </c>
      <c r="S85" s="10" t="str">
        <f>MID(B85,13,4)</f>
        <v>4040</v>
      </c>
      <c r="T85" s="61">
        <f>A85+6/24</f>
        <v>42559.023587962962</v>
      </c>
    </row>
    <row r="86" spans="1:20" x14ac:dyDescent="0.25">
      <c r="A86" s="61">
        <v>42558.796099537038</v>
      </c>
      <c r="B86" s="50" t="s">
        <v>132</v>
      </c>
      <c r="C86" s="50" t="s">
        <v>673</v>
      </c>
      <c r="D86" s="50" t="s">
        <v>50</v>
      </c>
      <c r="E86" s="83" t="s">
        <v>51</v>
      </c>
      <c r="F86" s="86">
        <v>0</v>
      </c>
      <c r="G86" s="50">
        <v>4</v>
      </c>
      <c r="H86" s="50">
        <v>58952</v>
      </c>
      <c r="I86" s="83" t="s">
        <v>52</v>
      </c>
      <c r="J86" s="50">
        <v>59048</v>
      </c>
      <c r="K86" s="50" t="s">
        <v>53</v>
      </c>
      <c r="L86" s="11" t="str">
        <f>VLOOKUP(C86,'Trips&amp;Operators'!$C$1:$E$10000,3,FALSE)</f>
        <v>DE LA ROSA</v>
      </c>
      <c r="M86" s="10" t="s">
        <v>113</v>
      </c>
      <c r="N86" s="11"/>
      <c r="O86" s="33"/>
      <c r="P86" s="103" t="str">
        <f>VLOOKUP(C86,'Train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86" s="101" t="str">
        <f>VLOOKUP(C86,'Train Runs'!$A$13:$AE$953,22,0)</f>
        <v>https://search-rtdc-monitor-bjffxe2xuh6vdkpspy63sjmuny.us-east-1.es.amazonaws.com/_plugin/kibana/#/discover/Steve-Slow-Train-Analysis-(2080s-and-2083s)?_g=(refreshInterval:(display:Off,section:0,value:0),time:(from:'2016-07-07 18:44:33-0600',mode:absolute,to:'2016-07-07 19:07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86" s="102" t="str">
        <f>VLOOKUP(C86,'Train Runs'!$A$13:$AF$953,32,0)</f>
        <v>"C:\Program Files (x86)\AstroGrep\AstroGrep.exe" /spath="C:\Users\stu\Documents\Analysis\2016-02-23 RTDC Observations" /stypes="*4025*20160708*" /stext=" 00:.+((prompt.+disp)|(slice.+state.+chan)|(ment ac)|(system.+state.+chan)|(\|lc)|(penalty)|(\[timeout))" /e /r /s</v>
      </c>
      <c r="S86" s="10" t="str">
        <f>MID(B86,13,4)</f>
        <v>4025</v>
      </c>
      <c r="T86" s="61">
        <f>A86+6/24</f>
        <v>42559.046099537038</v>
      </c>
    </row>
    <row r="87" spans="1:20" x14ac:dyDescent="0.25">
      <c r="A87" s="61">
        <v>42558.815949074073</v>
      </c>
      <c r="B87" s="50" t="s">
        <v>165</v>
      </c>
      <c r="C87" s="50" t="s">
        <v>678</v>
      </c>
      <c r="D87" s="50" t="s">
        <v>50</v>
      </c>
      <c r="E87" s="83" t="s">
        <v>51</v>
      </c>
      <c r="F87" s="86">
        <v>0</v>
      </c>
      <c r="G87" s="50">
        <v>121</v>
      </c>
      <c r="H87" s="50">
        <v>58368</v>
      </c>
      <c r="I87" s="83" t="s">
        <v>52</v>
      </c>
      <c r="J87" s="50">
        <v>59048</v>
      </c>
      <c r="K87" s="50" t="s">
        <v>53</v>
      </c>
      <c r="L87" s="11" t="str">
        <f>VLOOKUP(C87,'Trips&amp;Operators'!$C$1:$E$10000,3,FALSE)</f>
        <v>MAYBERRY</v>
      </c>
      <c r="M87" s="10" t="s">
        <v>113</v>
      </c>
      <c r="N87" s="11"/>
      <c r="O87" s="1"/>
      <c r="P87" s="103" t="str">
        <f>VLOOKUP(C87,'Train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7" s="101" t="str">
        <f>VLOOKUP(C87,'Train Runs'!$A$13:$AE$953,22,0)</f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7" s="102" t="str">
        <f>VLOOKUP(C87,'Train Runs'!$A$13:$AF$953,32,0)</f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  <c r="S87" s="10" t="str">
        <f>MID(B87,13,4)</f>
        <v>4040</v>
      </c>
      <c r="T87" s="61">
        <f>A87+6/24</f>
        <v>42559.065949074073</v>
      </c>
    </row>
    <row r="88" spans="1:20" x14ac:dyDescent="0.25">
      <c r="A88" s="61">
        <v>42558.816840277781</v>
      </c>
      <c r="B88" s="50" t="s">
        <v>165</v>
      </c>
      <c r="C88" s="50" t="s">
        <v>678</v>
      </c>
      <c r="D88" s="50" t="s">
        <v>50</v>
      </c>
      <c r="E88" s="83" t="s">
        <v>51</v>
      </c>
      <c r="F88" s="86">
        <v>0</v>
      </c>
      <c r="G88" s="50">
        <v>8</v>
      </c>
      <c r="H88" s="50">
        <v>58982</v>
      </c>
      <c r="I88" s="83" t="s">
        <v>52</v>
      </c>
      <c r="J88" s="50">
        <v>59048</v>
      </c>
      <c r="K88" s="50" t="s">
        <v>53</v>
      </c>
      <c r="L88" s="11" t="str">
        <f>VLOOKUP(C88,'Trips&amp;Operators'!$C$1:$E$10000,3,FALSE)</f>
        <v>MAYBERRY</v>
      </c>
      <c r="M88" s="10" t="s">
        <v>113</v>
      </c>
      <c r="N88" s="11"/>
      <c r="O88" s="33"/>
      <c r="P88" s="103" t="str">
        <f>VLOOKUP(C88,'Train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8" s="101" t="str">
        <f>VLOOKUP(C88,'Train Runs'!$A$13:$AE$953,22,0)</f>
        <v>https://search-rtdc-monitor-bjffxe2xuh6vdkpspy63sjmuny.us-east-1.es.amazonaws.com/_plugin/kibana/#/discover/Steve-Slow-Train-Analysis-(2080s-and-2083s)?_g=(refreshInterval:(display:Off,section:0,value:0),time:(from:'2016-07-07 19:17:05-0600',mode:absolute,to:'2016-07-07 19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8" s="102" t="str">
        <f>VLOOKUP(C88,'Train Runs'!$A$13:$AF$953,32,0)</f>
        <v>"C:\Program Files (x86)\AstroGrep\AstroGrep.exe" /spath="C:\Users\stu\Documents\Analysis\2016-02-23 RTDC Observations" /stypes="*4040*20160708*" /stext=" 01:.+((prompt.+disp)|(slice.+state.+chan)|(ment ac)|(system.+state.+chan)|(\|lc)|(penalty)|(\[timeout))" /e /r /s</v>
      </c>
      <c r="S88" s="10" t="str">
        <f>MID(B88,13,4)</f>
        <v>4040</v>
      </c>
      <c r="T88" s="61">
        <f>A88+6/24</f>
        <v>42559.066840277781</v>
      </c>
    </row>
    <row r="89" spans="1:20" x14ac:dyDescent="0.25">
      <c r="A89" s="61">
        <v>42558.898958333331</v>
      </c>
      <c r="B89" s="50" t="s">
        <v>165</v>
      </c>
      <c r="C89" s="50" t="s">
        <v>686</v>
      </c>
      <c r="D89" s="50" t="s">
        <v>50</v>
      </c>
      <c r="E89" s="83" t="s">
        <v>51</v>
      </c>
      <c r="F89" s="86">
        <v>0</v>
      </c>
      <c r="G89" s="50">
        <v>39</v>
      </c>
      <c r="H89" s="50">
        <v>58960</v>
      </c>
      <c r="I89" s="83" t="s">
        <v>52</v>
      </c>
      <c r="J89" s="50">
        <v>59048</v>
      </c>
      <c r="K89" s="50" t="s">
        <v>53</v>
      </c>
      <c r="L89" s="11" t="str">
        <f>VLOOKUP(C89,'Trips&amp;Operators'!$C$1:$E$10000,3,FALSE)</f>
        <v>MAYBERRY</v>
      </c>
      <c r="M89" s="10" t="s">
        <v>113</v>
      </c>
      <c r="N89" s="11"/>
      <c r="O89" s="33"/>
      <c r="P89" s="103" t="str">
        <f>VLOOKUP(C89,'Train Runs'!$A$13:$AE$953,31,0)</f>
        <v>aws s3 cp s3://rtdc.mdm.uploadarchive/RTDC4040/2016-07-07/ "C:\Users\stu\Documents\Analysis\2016-02-23 RTDC Observations"\RTDC4040\2016-07-07 --recursive &amp; "C:\Users\stu\Documents\GitHub\mrs-test-scripts\Headless Mode &amp; Sideloading\WalkAndUnGZ.bat" "C:\Users\stu\Documents\Analysis\2016-02-23 RTDC Observations"\RTDC4040\2016-07-07 &amp; aws s3 cp s3://rtdc.mdm.uploadarchive/RTDC4040/2016-07-08/ "C:\Users\stu\Documents\Analysis\2016-02-23 RTDC Observations"\RTDC4040\2016-07-08 --recursive &amp; "C:\Users\stu\Documents\GitHub\mrs-test-scripts\Headless Mode &amp; Sideloading\WalkAndUnGZ.bat" "C:\Users\stu\Documents\Analysis\2016-02-23 RTDC Observations"\RTDC4040\2016-07-08</v>
      </c>
      <c r="Q89" s="101" t="str">
        <f>VLOOKUP(C89,'Train Runs'!$A$13:$AE$953,22,0)</f>
        <v>https://search-rtdc-monitor-bjffxe2xuh6vdkpspy63sjmuny.us-east-1.es.amazonaws.com/_plugin/kibana/#/discover/Steve-Slow-Train-Analysis-(2080s-and-2083s)?_g=(refreshInterval:(display:Off,section:0,value:0),time:(from:'2016-07-07 21:17:43-0600',mode:absolute,to:'2016-07-07 21:35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R89" s="102" t="str">
        <f>VLOOKUP(C89,'Train Runs'!$A$13:$AF$953,32,0)</f>
        <v>"C:\Program Files (x86)\AstroGrep\AstroGrep.exe" /spath="C:\Users\stu\Documents\Analysis\2016-02-23 RTDC Observations" /stypes="*4040*20160708*" /stext=" 03:.+((prompt.+disp)|(slice.+state.+chan)|(ment ac)|(system.+state.+chan)|(\|lc)|(penalty)|(\[timeout))" /e /r /s</v>
      </c>
      <c r="S89" s="10" t="str">
        <f>MID(B89,13,4)</f>
        <v>4040</v>
      </c>
      <c r="T89" s="61">
        <f>A89+6/24</f>
        <v>42559.148958333331</v>
      </c>
    </row>
    <row r="90" spans="1:20" x14ac:dyDescent="0.25">
      <c r="A90" s="61">
        <v>42558.209328703706</v>
      </c>
      <c r="B90" s="50" t="s">
        <v>132</v>
      </c>
      <c r="C90" s="50" t="s">
        <v>288</v>
      </c>
      <c r="D90" s="50" t="s">
        <v>50</v>
      </c>
      <c r="E90" s="83" t="s">
        <v>51</v>
      </c>
      <c r="F90" s="86">
        <v>0</v>
      </c>
      <c r="G90" s="50">
        <v>7</v>
      </c>
      <c r="H90" s="50">
        <v>58956</v>
      </c>
      <c r="I90" s="83" t="s">
        <v>52</v>
      </c>
      <c r="J90" s="50">
        <v>59048</v>
      </c>
      <c r="K90" s="50" t="s">
        <v>53</v>
      </c>
      <c r="L90" s="11" t="str">
        <f>VLOOKUP(C90,'Trips&amp;Operators'!$C$1:$E$10000,3,FALSE)</f>
        <v>BEAM</v>
      </c>
      <c r="M90" s="10" t="s">
        <v>113</v>
      </c>
      <c r="N90" s="11"/>
      <c r="O90" s="1"/>
      <c r="P90" s="103" t="str">
        <f>VLOOKUP(C90,'Train Runs'!$A$13:$AE$953,31,0)</f>
        <v>aws s3 cp s3://rtdc.mdm.uploadarchive/RTDC4025/2016-07-07/ "C:\Users\stu\Documents\Analysis\2016-02-23 RTDC Observations"\RTDC4025\2016-07-07 --recursive &amp; "C:\Users\stu\Documents\GitHub\mrs-test-scripts\Headless Mode &amp; Sideloading\WalkAndUnGZ.bat" "C:\Users\stu\Documents\Analysis\2016-02-23 RTDC Observations"\RTDC4025\2016-07-07 &amp; aws s3 cp s3://rtdc.mdm.uploadarchive/RTDC4025/2016-07-08/ "C:\Users\stu\Documents\Analysis\2016-02-23 RTDC Observations"\RTDC4025\2016-07-08 --recursive &amp; "C:\Users\stu\Documents\GitHub\mrs-test-scripts\Headless Mode &amp; Sideloading\WalkAndUnGZ.bat" "C:\Users\stu\Documents\Analysis\2016-02-23 RTDC Observations"\RTDC4025\2016-07-08</v>
      </c>
      <c r="Q90" s="101" t="str">
        <f>VLOOKUP(C90,'Train Runs'!$A$13:$AE$953,22,0)</f>
        <v>https://search-rtdc-monitor-bjffxe2xuh6vdkpspy63sjmuny.us-east-1.es.amazonaws.com/_plugin/kibana/#/discover/Steve-Slow-Train-Analysis-(2080s-and-2083s)?_g=(refreshInterval:(display:Off,section:0,value:0),time:(from:'2016-07-07 04:46:27-0600',mode:absolute,to:'2016-07-07 05:02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R90" s="102" t="str">
        <f>VLOOKUP(C90,'Train Runs'!$A$13:$AF$953,32,0)</f>
        <v>"C:\Program Files (x86)\AstroGrep\AstroGrep.exe" /spath="C:\Users\stu\Documents\Analysis\2016-02-23 RTDC Observations" /stypes="*4025*20160707*" /stext=" 10:.+((prompt.+disp)|(slice.+state.+chan)|(ment ac)|(system.+state.+chan)|(\|lc)|(penalty)|(\[timeout))" /e /r /s</v>
      </c>
      <c r="S90" s="10" t="str">
        <f>MID(B90,13,4)</f>
        <v>4025</v>
      </c>
      <c r="T90" s="61">
        <f>A90+6/24</f>
        <v>42558.459328703706</v>
      </c>
    </row>
    <row r="91" spans="1:20" x14ac:dyDescent="0.25">
      <c r="A91" s="13">
        <v>42558.253831018519</v>
      </c>
      <c r="B91" s="12" t="s">
        <v>79</v>
      </c>
      <c r="C91" s="12" t="s">
        <v>262</v>
      </c>
      <c r="D91" s="12" t="s">
        <v>50</v>
      </c>
      <c r="E91" s="84" t="s">
        <v>51</v>
      </c>
      <c r="F91" s="87">
        <v>0</v>
      </c>
      <c r="G91" s="12">
        <v>5</v>
      </c>
      <c r="H91" s="12">
        <v>233323</v>
      </c>
      <c r="I91" s="84" t="s">
        <v>52</v>
      </c>
      <c r="J91" s="12">
        <v>233491</v>
      </c>
      <c r="K91" s="11" t="s">
        <v>53</v>
      </c>
      <c r="L91" s="11" t="str">
        <f>VLOOKUP(C91,'Trips&amp;Operators'!$C$1:$E$10000,3,FALSE)</f>
        <v>MALAVE</v>
      </c>
      <c r="M91" s="10" t="s">
        <v>113</v>
      </c>
      <c r="N91" s="11"/>
      <c r="O91" s="1"/>
      <c r="P91" s="103" t="str">
        <f>VLOOKUP(C91,'Train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91" s="101" t="str">
        <f>VLOOKUP(C91,'Train Runs'!$A$13:$AE$953,22,0)</f>
        <v>https://search-rtdc-monitor-bjffxe2xuh6vdkpspy63sjmuny.us-east-1.es.amazonaws.com/_plugin/kibana/#/discover/Steve-Slow-Train-Analysis-(2080s-and-2083s)?_g=(refreshInterval:(display:Off,section:0,value:0),time:(from:'2016-07-07 05:25:18-0600',mode:absolute,to:'2016-07-07 06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1" s="102" t="str">
        <f>VLOOKUP(C91,'Train Runs'!$A$13:$AF$953,32,0)</f>
        <v>"C:\Program Files (x86)\AstroGrep\AstroGrep.exe" /spath="C:\Users\stu\Documents\Analysis\2016-02-23 RTDC Observations" /stypes="*4031*20160707*" /stext=" 11:.+((prompt.+disp)|(slice.+state.+chan)|(ment ac)|(system.+state.+chan)|(\|lc)|(penalty)|(\[timeout))" /e /r /s</v>
      </c>
      <c r="S91" s="10" t="str">
        <f>MID(B91,13,4)</f>
        <v>4031</v>
      </c>
      <c r="T91" s="61">
        <f>A91+6/24</f>
        <v>42558.503831018519</v>
      </c>
    </row>
    <row r="92" spans="1:20" x14ac:dyDescent="0.25">
      <c r="A92" s="61">
        <v>42558.305717592593</v>
      </c>
      <c r="B92" s="50" t="s">
        <v>162</v>
      </c>
      <c r="C92" s="50" t="s">
        <v>293</v>
      </c>
      <c r="D92" s="50" t="s">
        <v>50</v>
      </c>
      <c r="E92" s="83" t="s">
        <v>51</v>
      </c>
      <c r="F92" s="86">
        <v>0</v>
      </c>
      <c r="G92" s="50">
        <v>3</v>
      </c>
      <c r="H92" s="50">
        <v>233299</v>
      </c>
      <c r="I92" s="83" t="s">
        <v>52</v>
      </c>
      <c r="J92" s="50">
        <v>233491</v>
      </c>
      <c r="K92" s="50" t="s">
        <v>53</v>
      </c>
      <c r="L92" s="11" t="str">
        <f>VLOOKUP(C92,'Trips&amp;Operators'!$C$1:$E$10000,3,FALSE)</f>
        <v>MOSES</v>
      </c>
      <c r="M92" s="10" t="s">
        <v>113</v>
      </c>
      <c r="N92" s="11"/>
      <c r="O92" s="1"/>
      <c r="P92" s="103" t="str">
        <f>VLOOKUP(C92,'Train Runs'!$A$13:$AE$953,31,0)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Q92" s="101" t="str">
        <f>VLOOKUP(C92,'Train Runs'!$A$13:$AE$953,22,0)</f>
        <v>https://search-rtdc-monitor-bjffxe2xuh6vdkpspy63sjmuny.us-east-1.es.amazonaws.com/_plugin/kibana/#/discover/Steve-Slow-Train-Analysis-(2080s-and-2083s)?_g=(refreshInterval:(display:Off,section:0,value:0),time:(from:'2016-07-07 06:35:31-0600',mode:absolute,to:'2016-07-07 07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92" s="102" t="str">
        <f>VLOOKUP(C92,'Train Runs'!$A$13:$AF$953,32,0)</f>
        <v>"C:\Program Files (x86)\AstroGrep\AstroGrep.exe" /spath="C:\Users\stu\Documents\Analysis\2016-02-23 RTDC Observations" /stypes="*4007*20160707*" /stext=" 12:.+((prompt.+disp)|(slice.+state.+chan)|(ment ac)|(system.+state.+chan)|(\|lc)|(penalty)|(\[timeout))" /e /r /s</v>
      </c>
      <c r="S92" s="10" t="str">
        <f>MID(B92,13,4)</f>
        <v>4007</v>
      </c>
      <c r="T92" s="61">
        <f>A92+6/24</f>
        <v>42558.555717592593</v>
      </c>
    </row>
    <row r="93" spans="1:20" x14ac:dyDescent="0.25">
      <c r="A93" s="61">
        <v>42558.347858796296</v>
      </c>
      <c r="B93" s="50" t="s">
        <v>117</v>
      </c>
      <c r="C93" s="50" t="s">
        <v>416</v>
      </c>
      <c r="D93" s="50" t="s">
        <v>50</v>
      </c>
      <c r="E93" s="83" t="s">
        <v>51</v>
      </c>
      <c r="F93" s="86">
        <v>0</v>
      </c>
      <c r="G93" s="50">
        <v>6</v>
      </c>
      <c r="H93" s="50">
        <v>233301</v>
      </c>
      <c r="I93" s="83" t="s">
        <v>52</v>
      </c>
      <c r="J93" s="50">
        <v>233491</v>
      </c>
      <c r="K93" s="50" t="s">
        <v>53</v>
      </c>
      <c r="L93" s="11" t="str">
        <f>VLOOKUP(C93,'Trips&amp;Operators'!$C$1:$E$10000,3,FALSE)</f>
        <v>YORK</v>
      </c>
      <c r="M93" s="10" t="s">
        <v>113</v>
      </c>
      <c r="N93" s="11"/>
      <c r="O93" s="1"/>
      <c r="P93" s="103" t="str">
        <f>VLOOKUP(C93,'Train Runs'!$A$13:$AE$953,31,0)</f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Q93" s="101" t="str">
        <f>VLOOKUP(C93,'Train Runs'!$A$13:$AE$953,22,0)</f>
        <v>https://search-rtdc-monitor-bjffxe2xuh6vdkpspy63sjmuny.us-east-1.es.amazonaws.com/_plugin/kibana/#/discover/Steve-Slow-Train-Analysis-(2080s-and-2083s)?_g=(refreshInterval:(display:Off,section:0,value:0),time:(from:'2016-07-07 07:32:56-0600',mode:absolute,to:'2016-07-07 08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3" s="102" t="str">
        <f>VLOOKUP(C93,'Train Runs'!$A$13:$AF$953,32,0)</f>
        <v>"C:\Program Files (x86)\AstroGrep\AstroGrep.exe" /spath="C:\Users\stu\Documents\Analysis\2016-02-23 RTDC Observations" /stypes="*4038*20160707*" /stext=" 13:.+((prompt.+disp)|(slice.+state.+chan)|(ment ac)|(system.+state.+chan)|(\|lc)|(penalty)|(\[timeout))" /e /r /s</v>
      </c>
      <c r="S93" s="10" t="str">
        <f>MID(B93,13,4)</f>
        <v>4038</v>
      </c>
      <c r="T93" s="61">
        <f>A93+6/24</f>
        <v>42558.597858796296</v>
      </c>
    </row>
    <row r="94" spans="1:20" x14ac:dyDescent="0.25">
      <c r="A94" s="61">
        <v>42558.39980324074</v>
      </c>
      <c r="B94" s="50" t="s">
        <v>79</v>
      </c>
      <c r="C94" s="50" t="s">
        <v>431</v>
      </c>
      <c r="D94" s="50" t="s">
        <v>50</v>
      </c>
      <c r="E94" s="83" t="s">
        <v>51</v>
      </c>
      <c r="F94" s="86">
        <v>0</v>
      </c>
      <c r="G94" s="50">
        <v>9</v>
      </c>
      <c r="H94" s="50">
        <v>233321</v>
      </c>
      <c r="I94" s="83" t="s">
        <v>52</v>
      </c>
      <c r="J94" s="50">
        <v>233491</v>
      </c>
      <c r="K94" s="50" t="s">
        <v>53</v>
      </c>
      <c r="L94" s="11" t="str">
        <f>VLOOKUP(C94,'Trips&amp;Operators'!$C$1:$E$10000,3,FALSE)</f>
        <v>MALAVE</v>
      </c>
      <c r="M94" s="10" t="s">
        <v>113</v>
      </c>
      <c r="N94" s="11"/>
      <c r="O94" s="1"/>
      <c r="P94" s="103" t="str">
        <f>VLOOKUP(C94,'Train Runs'!$A$13:$AE$953,31,0)</f>
        <v>aws s3 cp s3://rtdc.mdm.uploadarchive/RTDC4031/2016-07-07/ "C:\Users\stu\Documents\Analysis\2016-02-23 RTDC Observations"\RTDC4031\2016-07-07 --recursive &amp; "C:\Users\stu\Documents\GitHub\mrs-test-scripts\Headless Mode &amp; Sideloading\WalkAndUnGZ.bat" "C:\Users\stu\Documents\Analysis\2016-02-23 RTDC Observations"\RTDC4031\2016-07-07 &amp; aws s3 cp s3://rtdc.mdm.uploadarchive/RTDC4031/2016-07-08/ "C:\Users\stu\Documents\Analysis\2016-02-23 RTDC Observations"\RTDC4031\2016-07-08 --recursive &amp; "C:\Users\stu\Documents\GitHub\mrs-test-scripts\Headless Mode &amp; Sideloading\WalkAndUnGZ.bat" "C:\Users\stu\Documents\Analysis\2016-02-23 RTDC Observations"\RTDC4031\2016-07-08</v>
      </c>
      <c r="Q94" s="101" t="str">
        <f>VLOOKUP(C94,'Train Runs'!$A$13:$AE$953,22,0)</f>
        <v>https://search-rtdc-monitor-bjffxe2xuh6vdkpspy63sjmuny.us-east-1.es.amazonaws.com/_plugin/kibana/#/discover/Steve-Slow-Train-Analysis-(2080s-and-2083s)?_g=(refreshInterval:(display:Off,section:0,value:0),time:(from:'2016-07-07 08:57:12-0600',mode:absolute,to:'2016-07-07 09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R94" s="102" t="str">
        <f>VLOOKUP(C94,'Train Runs'!$A$13:$AF$953,32,0)</f>
        <v>"C:\Program Files (x86)\AstroGrep\AstroGrep.exe" /spath="C:\Users\stu\Documents\Analysis\2016-02-23 RTDC Observations" /stypes="*4031*20160707*" /stext=" 14:.+((prompt.+disp)|(slice.+state.+chan)|(ment ac)|(system.+state.+chan)|(\|lc)|(penalty)|(\[timeout))" /e /r /s</v>
      </c>
      <c r="S94" s="10" t="str">
        <f>MID(B94,13,4)</f>
        <v>4031</v>
      </c>
      <c r="T94" s="61">
        <f>A94+6/24</f>
        <v>42558.64980324074</v>
      </c>
    </row>
    <row r="95" spans="1:20" x14ac:dyDescent="0.25">
      <c r="A95" s="13">
        <v>42558.412592592591</v>
      </c>
      <c r="B95" s="12" t="s">
        <v>138</v>
      </c>
      <c r="C95" s="12" t="s">
        <v>435</v>
      </c>
      <c r="D95" s="12" t="s">
        <v>50</v>
      </c>
      <c r="E95" s="84" t="s">
        <v>51</v>
      </c>
      <c r="F95" s="87">
        <v>0</v>
      </c>
      <c r="G95" s="12">
        <v>6</v>
      </c>
      <c r="H95" s="12">
        <v>233326</v>
      </c>
      <c r="I95" s="84" t="s">
        <v>52</v>
      </c>
      <c r="J95" s="12">
        <v>233491</v>
      </c>
      <c r="K95" s="11" t="s">
        <v>53</v>
      </c>
      <c r="L95" s="11" t="str">
        <f>VLOOKUP(C95,'Trips&amp;Operators'!$C$1:$E$10000,3,FALSE)</f>
        <v>STARKS</v>
      </c>
      <c r="M95" s="10" t="s">
        <v>113</v>
      </c>
      <c r="N95" s="11"/>
      <c r="O95" s="1"/>
      <c r="P95" s="103" t="str">
        <f>VLOOKUP(C95,'Train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95" s="101" t="str">
        <f>VLOOKUP(C95,'Train Runs'!$A$13:$AE$953,22,0)</f>
        <v>https://search-rtdc-monitor-bjffxe2xuh6vdkpspy63sjmuny.us-east-1.es.amazonaws.com/_plugin/kibana/#/discover/Steve-Slow-Train-Analysis-(2080s-and-2083s)?_g=(refreshInterval:(display:Off,section:0,value:0),time:(from:'2016-07-07 09:05:55-0600',mode:absolute,to:'2016-07-07 09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5" s="102" t="str">
        <f>VLOOKUP(C95,'Train Runs'!$A$13:$AF$953,32,0)</f>
        <v>"C:\Program Files (x86)\AstroGrep\AstroGrep.exe" /spath="C:\Users\stu\Documents\Analysis\2016-02-23 RTDC Observations" /stypes="*4027*20160707*" /stext=" 15:.+((prompt.+disp)|(slice.+state.+chan)|(ment ac)|(system.+state.+chan)|(\|lc)|(penalty)|(\[timeout))" /e /r /s</v>
      </c>
      <c r="S95" s="10" t="str">
        <f>MID(B95,13,4)</f>
        <v>4027</v>
      </c>
      <c r="T95" s="61">
        <f>A95+6/24</f>
        <v>42558.662592592591</v>
      </c>
    </row>
    <row r="96" spans="1:20" x14ac:dyDescent="0.25">
      <c r="A96" s="61">
        <v>42558.451273148145</v>
      </c>
      <c r="B96" s="50" t="s">
        <v>162</v>
      </c>
      <c r="C96" s="50" t="s">
        <v>443</v>
      </c>
      <c r="D96" s="50" t="s">
        <v>50</v>
      </c>
      <c r="E96" s="83" t="s">
        <v>51</v>
      </c>
      <c r="F96" s="86">
        <v>0</v>
      </c>
      <c r="G96" s="50">
        <v>8</v>
      </c>
      <c r="H96" s="50">
        <v>233336</v>
      </c>
      <c r="I96" s="83" t="s">
        <v>52</v>
      </c>
      <c r="J96" s="50">
        <v>233491</v>
      </c>
      <c r="K96" s="50" t="s">
        <v>53</v>
      </c>
      <c r="L96" s="11" t="str">
        <f>VLOOKUP(C96,'Trips&amp;Operators'!$C$1:$E$10000,3,FALSE)</f>
        <v>ROCHA</v>
      </c>
      <c r="M96" s="10" t="s">
        <v>113</v>
      </c>
      <c r="N96" s="11"/>
      <c r="O96" s="1"/>
      <c r="P96" s="103" t="str">
        <f>VLOOKUP(C96,'Train Runs'!$A$13:$AE$953,31,0)</f>
        <v>aws s3 cp s3://rtdc.mdm.uploadarchive/RTDC4007/2016-07-07/ "C:\Users\stu\Documents\Analysis\2016-02-23 RTDC Observations"\RTDC4007\2016-07-07 --recursive &amp; "C:\Users\stu\Documents\GitHub\mrs-test-scripts\Headless Mode &amp; Sideloading\WalkAndUnGZ.bat" "C:\Users\stu\Documents\Analysis\2016-02-23 RTDC Observations"\RTDC4007\2016-07-07 &amp; aws s3 cp s3://rtdc.mdm.uploadarchive/RTDC4007/2016-07-08/ "C:\Users\stu\Documents\Analysis\2016-02-23 RTDC Observations"\RTDC4007\2016-07-08 --recursive &amp; "C:\Users\stu\Documents\GitHub\mrs-test-scripts\Headless Mode &amp; Sideloading\WalkAndUnGZ.bat" "C:\Users\stu\Documents\Analysis\2016-02-23 RTDC Observations"\RTDC4007\2016-07-08</v>
      </c>
      <c r="Q96" s="101" t="str">
        <f>VLOOKUP(C96,'Train Runs'!$A$13:$AE$953,22,0)</f>
        <v>https://search-rtdc-monitor-bjffxe2xuh6vdkpspy63sjmuny.us-east-1.es.amazonaws.com/_plugin/kibana/#/discover/Steve-Slow-Train-Analysis-(2080s-and-2083s)?_g=(refreshInterval:(display:Off,section:0,value:0),time:(from:'2016-07-07 10:11:35-0600',mode:absolute,to:'2016-07-07 10:51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96" s="102" t="str">
        <f>VLOOKUP(C96,'Train Runs'!$A$13:$AF$953,32,0)</f>
        <v>"C:\Program Files (x86)\AstroGrep\AstroGrep.exe" /spath="C:\Users\stu\Documents\Analysis\2016-02-23 RTDC Observations" /stypes="*4007*20160707*" /stext=" 16:.+((prompt.+disp)|(slice.+state.+chan)|(ment ac)|(system.+state.+chan)|(\|lc)|(penalty)|(\[timeout))" /e /r /s</v>
      </c>
      <c r="S96" s="10" t="str">
        <f>MID(B96,13,4)</f>
        <v>4007</v>
      </c>
      <c r="T96" s="61">
        <f>A96+6/24</f>
        <v>42558.701273148145</v>
      </c>
    </row>
    <row r="97" spans="1:20" x14ac:dyDescent="0.25">
      <c r="A97" s="13">
        <v>42558.483287037037</v>
      </c>
      <c r="B97" s="12" t="s">
        <v>138</v>
      </c>
      <c r="C97" s="12" t="s">
        <v>452</v>
      </c>
      <c r="D97" s="12" t="s">
        <v>50</v>
      </c>
      <c r="E97" s="84" t="s">
        <v>51</v>
      </c>
      <c r="F97" s="87">
        <v>0</v>
      </c>
      <c r="G97" s="12">
        <v>9</v>
      </c>
      <c r="H97" s="12">
        <v>233329</v>
      </c>
      <c r="I97" s="84" t="s">
        <v>52</v>
      </c>
      <c r="J97" s="12">
        <v>233491</v>
      </c>
      <c r="K97" s="11" t="s">
        <v>53</v>
      </c>
      <c r="L97" s="11" t="str">
        <f>VLOOKUP(C97,'Trips&amp;Operators'!$C$1:$E$10000,3,FALSE)</f>
        <v>MALAVE</v>
      </c>
      <c r="M97" s="10" t="s">
        <v>113</v>
      </c>
      <c r="N97" s="11"/>
      <c r="O97" s="33"/>
      <c r="P97" s="103" t="str">
        <f>VLOOKUP(C97,'Train Runs'!$A$13:$AE$953,31,0)</f>
        <v>aws s3 cp s3://rtdc.mdm.uploadarchive/RTDC4027/2016-07-07/ "C:\Users\stu\Documents\Analysis\2016-02-23 RTDC Observations"\RTDC4027\2016-07-07 --recursive &amp; "C:\Users\stu\Documents\GitHub\mrs-test-scripts\Headless Mode &amp; Sideloading\WalkAndUnGZ.bat" "C:\Users\stu\Documents\Analysis\2016-02-23 RTDC Observations"\RTDC4027\2016-07-07 &amp; aws s3 cp s3://rtdc.mdm.uploadarchive/RTDC4027/2016-07-08/ "C:\Users\stu\Documents\Analysis\2016-02-23 RTDC Observations"\RTDC4027\2016-07-08 --recursive &amp; "C:\Users\stu\Documents\GitHub\mrs-test-scripts\Headless Mode &amp; Sideloading\WalkAndUnGZ.bat" "C:\Users\stu\Documents\Analysis\2016-02-23 RTDC Observations"\RTDC4027\2016-07-08</v>
      </c>
      <c r="Q97" s="101" t="str">
        <f>VLOOKUP(C97,'Train Runs'!$A$13:$AE$953,22,0)</f>
        <v>https://search-rtdc-monitor-bjffxe2xuh6vdkpspy63sjmuny.us-east-1.es.amazonaws.com/_plugin/kibana/#/discover/Steve-Slow-Train-Analysis-(2080s-and-2083s)?_g=(refreshInterval:(display:Off,section:0,value:0),time:(from:'2016-07-07 10:56:28-0600',mode:absolute,to:'2016-07-07 11:37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97" s="102" t="str">
        <f>VLOOKUP(C97,'Train Runs'!$A$13:$AF$953,32,0)</f>
        <v>"C:\Program Files (x86)\AstroGrep\AstroGrep.exe" /spath="C:\Users\stu\Documents\Analysis\2016-02-23 RTDC Observations" /stypes="*4027*20160707*" /stext=" 16:.+((prompt.+disp)|(slice.+state.+chan)|(ment ac)|(system.+state.+chan)|(\|lc)|(penalty)|(\[timeout))" /e /r /s</v>
      </c>
      <c r="S97" s="10" t="str">
        <f>MID(B97,13,4)</f>
        <v>4027</v>
      </c>
      <c r="T97" s="61">
        <f>A97+6/24</f>
        <v>42558.733287037037</v>
      </c>
    </row>
    <row r="98" spans="1:20" x14ac:dyDescent="0.25">
      <c r="A98" s="61">
        <v>42558.514351851853</v>
      </c>
      <c r="B98" s="50" t="s">
        <v>123</v>
      </c>
      <c r="C98" s="50" t="s">
        <v>461</v>
      </c>
      <c r="D98" s="50" t="s">
        <v>50</v>
      </c>
      <c r="E98" s="83" t="s">
        <v>51</v>
      </c>
      <c r="F98" s="86">
        <v>0</v>
      </c>
      <c r="G98" s="50">
        <v>7</v>
      </c>
      <c r="H98" s="50">
        <v>233307</v>
      </c>
      <c r="I98" s="83" t="s">
        <v>52</v>
      </c>
      <c r="J98" s="50">
        <v>233491</v>
      </c>
      <c r="K98" s="50" t="s">
        <v>53</v>
      </c>
      <c r="L98" s="11" t="str">
        <f>VLOOKUP(C98,'Trips&amp;Operators'!$C$1:$E$10000,3,FALSE)</f>
        <v>COOLAHAN</v>
      </c>
      <c r="M98" s="10" t="s">
        <v>113</v>
      </c>
      <c r="N98" s="11"/>
      <c r="O98" s="1"/>
      <c r="P98" s="103" t="str">
        <f>VLOOKUP(C98,'Train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98" s="101" t="str">
        <f>VLOOKUP(C98,'Train Runs'!$A$13:$AE$953,22,0)</f>
        <v>https://search-rtdc-monitor-bjffxe2xuh6vdkpspy63sjmuny.us-east-1.es.amazonaws.com/_plugin/kibana/#/discover/Steve-Slow-Train-Analysis-(2080s-and-2083s)?_g=(refreshInterval:(display:Off,section:0,value:0),time:(from:'2016-07-07 11:35:36-0600',mode:absolute,to:'2016-07-07 12:21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98" s="102" t="str">
        <f>VLOOKUP(C98,'Train Runs'!$A$13:$AF$953,32,0)</f>
        <v>"C:\Program Files (x86)\AstroGrep\AstroGrep.exe" /spath="C:\Users\stu\Documents\Analysis\2016-02-23 RTDC Observations" /stypes="*4011*20160707*" /stext=" 17:.+((prompt.+disp)|(slice.+state.+chan)|(ment ac)|(system.+state.+chan)|(\|lc)|(penalty)|(\[timeout))" /e /r /s</v>
      </c>
      <c r="S98" s="10" t="str">
        <f>MID(B98,13,4)</f>
        <v>4011</v>
      </c>
      <c r="T98" s="61">
        <f>A98+6/24</f>
        <v>42558.764351851853</v>
      </c>
    </row>
    <row r="99" spans="1:20" x14ac:dyDescent="0.25">
      <c r="A99" s="61">
        <v>42558.640243055554</v>
      </c>
      <c r="B99" s="50" t="s">
        <v>117</v>
      </c>
      <c r="C99" s="50" t="s">
        <v>504</v>
      </c>
      <c r="D99" s="50" t="s">
        <v>50</v>
      </c>
      <c r="E99" s="83" t="s">
        <v>51</v>
      </c>
      <c r="F99" s="86">
        <v>0</v>
      </c>
      <c r="G99" s="50">
        <v>5</v>
      </c>
      <c r="H99" s="50">
        <v>233341</v>
      </c>
      <c r="I99" s="83" t="s">
        <v>52</v>
      </c>
      <c r="J99" s="50">
        <v>233491</v>
      </c>
      <c r="K99" s="50" t="s">
        <v>53</v>
      </c>
      <c r="L99" s="11" t="str">
        <f>VLOOKUP(C99,'Trips&amp;Operators'!$C$1:$E$10000,3,FALSE)</f>
        <v>SPECTOR</v>
      </c>
      <c r="M99" s="10" t="s">
        <v>113</v>
      </c>
      <c r="N99" s="11"/>
      <c r="O99" s="1"/>
      <c r="P99" s="103" t="str">
        <f>VLOOKUP(C99,'Train Runs'!$A$13:$AE$953,31,0)</f>
        <v>aws s3 cp s3://rtdc.mdm.uploadarchive/RTDC4038/2016-07-07/ "C:\Users\stu\Documents\Analysis\2016-02-23 RTDC Observations"\RTDC4038\2016-07-07 --recursive &amp; "C:\Users\stu\Documents\GitHub\mrs-test-scripts\Headless Mode &amp; Sideloading\WalkAndUnGZ.bat" "C:\Users\stu\Documents\Analysis\2016-02-23 RTDC Observations"\RTDC4038\2016-07-07 &amp; aws s3 cp s3://rtdc.mdm.uploadarchive/RTDC4038/2016-07-08/ "C:\Users\stu\Documents\Analysis\2016-02-23 RTDC Observations"\RTDC4038\2016-07-08 --recursive &amp; "C:\Users\stu\Documents\GitHub\mrs-test-scripts\Headless Mode &amp; Sideloading\WalkAndUnGZ.bat" "C:\Users\stu\Documents\Analysis\2016-02-23 RTDC Observations"\RTDC4038\2016-07-08</v>
      </c>
      <c r="Q99" s="101" t="str">
        <f>VLOOKUP(C99,'Train Runs'!$A$13:$AE$953,22,0)</f>
        <v>https://search-rtdc-monitor-bjffxe2xuh6vdkpspy63sjmuny.us-east-1.es.amazonaws.com/_plugin/kibana/#/discover/Steve-Slow-Train-Analysis-(2080s-and-2083s)?_g=(refreshInterval:(display:Off,section:0,value:0),time:(from:'2016-07-07 14:35:36-0600',mode:absolute,to:'2016-07-07 15:23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99" s="102" t="str">
        <f>VLOOKUP(C99,'Train Runs'!$A$13:$AF$953,32,0)</f>
        <v>"C:\Program Files (x86)\AstroGrep\AstroGrep.exe" /spath="C:\Users\stu\Documents\Analysis\2016-02-23 RTDC Observations" /stypes="*4038*20160707*" /stext=" 20:.+((prompt.+disp)|(slice.+state.+chan)|(ment ac)|(system.+state.+chan)|(\|lc)|(penalty)|(\[timeout))" /e /r /s</v>
      </c>
      <c r="S99" s="10" t="str">
        <f>MID(B99,13,4)</f>
        <v>4038</v>
      </c>
      <c r="T99" s="61">
        <f>A99+6/24</f>
        <v>42558.890243055554</v>
      </c>
    </row>
    <row r="100" spans="1:20" x14ac:dyDescent="0.25">
      <c r="A100" s="61">
        <v>42558.661099537036</v>
      </c>
      <c r="B100" s="50" t="s">
        <v>123</v>
      </c>
      <c r="C100" s="50" t="s">
        <v>509</v>
      </c>
      <c r="D100" s="50" t="s">
        <v>50</v>
      </c>
      <c r="E100" s="83" t="s">
        <v>51</v>
      </c>
      <c r="F100" s="86">
        <v>0</v>
      </c>
      <c r="G100" s="50">
        <v>4</v>
      </c>
      <c r="H100" s="50">
        <v>233297</v>
      </c>
      <c r="I100" s="83" t="s">
        <v>52</v>
      </c>
      <c r="J100" s="50">
        <v>233491</v>
      </c>
      <c r="K100" s="50" t="s">
        <v>53</v>
      </c>
      <c r="L100" s="11" t="str">
        <f>VLOOKUP(C100,'Trips&amp;Operators'!$C$1:$E$10000,3,FALSE)</f>
        <v>COOLAHAN</v>
      </c>
      <c r="M100" s="10" t="s">
        <v>113</v>
      </c>
      <c r="N100" s="11"/>
      <c r="O100" s="33"/>
      <c r="P100" s="103" t="str">
        <f>VLOOKUP(C100,'Train Runs'!$A$13:$AE$953,31,0)</f>
        <v>aws s3 cp s3://rtdc.mdm.uploadarchive/RTDC4011/2016-07-07/ "C:\Users\stu\Documents\Analysis\2016-02-23 RTDC Observations"\RTDC4011\2016-07-07 --recursive &amp; "C:\Users\stu\Documents\GitHub\mrs-test-scripts\Headless Mode &amp; Sideloading\WalkAndUnGZ.bat" "C:\Users\stu\Documents\Analysis\2016-02-23 RTDC Observations"\RTDC4011\2016-07-07 &amp; aws s3 cp s3://rtdc.mdm.uploadarchive/RTDC4011/2016-07-08/ "C:\Users\stu\Documents\Analysis\2016-02-23 RTDC Observations"\RTDC4011\2016-07-08 --recursive &amp; "C:\Users\stu\Documents\GitHub\mrs-test-scripts\Headless Mode &amp; Sideloading\WalkAndUnGZ.bat" "C:\Users\stu\Documents\Analysis\2016-02-23 RTDC Observations"\RTDC4011\2016-07-08</v>
      </c>
      <c r="Q100" s="101" t="str">
        <f>VLOOKUP(C100,'Train Runs'!$A$13:$AE$953,22,0)</f>
        <v>https://search-rtdc-monitor-bjffxe2xuh6vdkpspy63sjmuny.us-east-1.es.amazonaws.com/_plugin/kibana/#/discover/Steve-Slow-Train-Analysis-(2080s-and-2083s)?_g=(refreshInterval:(display:Off,section:0,value:0),time:(from:'2016-07-07 15:10:46-0600',mode:absolute,to:'2016-07-07 15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R100" s="102" t="str">
        <f>VLOOKUP(C100,'Train Runs'!$A$13:$AF$953,32,0)</f>
        <v>"C:\Program Files (x86)\AstroGrep\AstroGrep.exe" /spath="C:\Users\stu\Documents\Analysis\2016-02-23 RTDC Observations" /stypes="*4011*20160707*" /stext=" 21:.+((prompt.+disp)|(slice.+state.+chan)|(ment ac)|(system.+state.+chan)|(\|lc)|(penalty)|(\[timeout))" /e /r /s</v>
      </c>
      <c r="S100" s="10" t="str">
        <f>MID(B100,13,4)</f>
        <v>4011</v>
      </c>
      <c r="T100" s="61">
        <f>A100+6/24</f>
        <v>42558.911099537036</v>
      </c>
    </row>
    <row r="101" spans="1:20" x14ac:dyDescent="0.25">
      <c r="A101" s="61">
        <v>42558.670474537037</v>
      </c>
      <c r="B101" s="50" t="s">
        <v>130</v>
      </c>
      <c r="C101" s="50" t="s">
        <v>513</v>
      </c>
      <c r="D101" s="50" t="s">
        <v>50</v>
      </c>
      <c r="E101" s="83" t="s">
        <v>51</v>
      </c>
      <c r="F101" s="86">
        <v>0</v>
      </c>
      <c r="G101" s="50">
        <v>4</v>
      </c>
      <c r="H101" s="50">
        <v>233332</v>
      </c>
      <c r="I101" s="83" t="s">
        <v>52</v>
      </c>
      <c r="J101" s="50">
        <v>233491</v>
      </c>
      <c r="K101" s="50" t="s">
        <v>53</v>
      </c>
      <c r="L101" s="11" t="str">
        <f>VLOOKUP(C101,'Trips&amp;Operators'!$C$1:$E$10000,3,FALSE)</f>
        <v>ROCHA</v>
      </c>
      <c r="M101" s="10" t="s">
        <v>113</v>
      </c>
      <c r="N101" s="11"/>
      <c r="O101" s="1"/>
      <c r="P101" s="103" t="str">
        <f>VLOOKUP(C101,'Train Runs'!$A$13:$AE$953,31,0)</f>
        <v>aws s3 cp s3://rtdc.mdm.uploadarchive/RTDC4014/2016-07-07/ "C:\Users\stu\Documents\Analysis\2016-02-23 RTDC Observations"\RTDC4014\2016-07-07 --recursive &amp; "C:\Users\stu\Documents\GitHub\mrs-test-scripts\Headless Mode &amp; Sideloading\WalkAndUnGZ.bat" "C:\Users\stu\Documents\Analysis\2016-02-23 RTDC Observations"\RTDC4014\2016-07-07 &amp; aws s3 cp s3://rtdc.mdm.uploadarchive/RTDC4014/2016-07-08/ "C:\Users\stu\Documents\Analysis\2016-02-23 RTDC Observations"\RTDC4014\2016-07-08 --recursive &amp; "C:\Users\stu\Documents\GitHub\mrs-test-scripts\Headless Mode &amp; Sideloading\WalkAndUnGZ.bat" "C:\Users\stu\Documents\Analysis\2016-02-23 RTDC Observations"\RTDC4014\2016-07-08</v>
      </c>
      <c r="Q101" s="101" t="str">
        <f>VLOOKUP(C101,'Train Runs'!$A$13:$AE$953,22,0)</f>
        <v>https://search-rtdc-monitor-bjffxe2xuh6vdkpspy63sjmuny.us-east-1.es.amazonaws.com/_plugin/kibana/#/discover/Steve-Slow-Train-Analysis-(2080s-and-2083s)?_g=(refreshInterval:(display:Off,section:0,value:0),time:(from:'2016-07-07 15:27:53-0600',mode:absolute,to:'2016-07-07 16:09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R101" s="102" t="str">
        <f>VLOOKUP(C101,'Train Runs'!$A$13:$AF$953,32,0)</f>
        <v>"C:\Program Files (x86)\AstroGrep\AstroGrep.exe" /spath="C:\Users\stu\Documents\Analysis\2016-02-23 RTDC Observations" /stypes="*4014*20160707*" /stext=" 21:.+((prompt.+disp)|(slice.+state.+chan)|(ment ac)|(system.+state.+chan)|(\|lc)|(penalty)|(\[timeout))" /e /r /s</v>
      </c>
      <c r="S101" s="10" t="str">
        <f>MID(B101,13,4)</f>
        <v>4014</v>
      </c>
      <c r="T101" s="61">
        <f>A101+6/24</f>
        <v>42558.920474537037</v>
      </c>
    </row>
    <row r="102" spans="1:20" x14ac:dyDescent="0.25">
      <c r="A102" s="61">
        <v>42558.962129629632</v>
      </c>
      <c r="B102" s="50" t="s">
        <v>76</v>
      </c>
      <c r="C102" s="50" t="s">
        <v>581</v>
      </c>
      <c r="D102" s="50" t="s">
        <v>50</v>
      </c>
      <c r="E102" s="83" t="s">
        <v>51</v>
      </c>
      <c r="F102" s="86">
        <v>0</v>
      </c>
      <c r="G102" s="50">
        <v>9</v>
      </c>
      <c r="H102" s="50">
        <v>233339</v>
      </c>
      <c r="I102" s="83" t="s">
        <v>52</v>
      </c>
      <c r="J102" s="50">
        <v>233491</v>
      </c>
      <c r="K102" s="50" t="s">
        <v>53</v>
      </c>
      <c r="L102" s="11" t="str">
        <f>VLOOKUP(C102,'Trips&amp;Operators'!$C$1:$E$10000,3,FALSE)</f>
        <v>GRASTON</v>
      </c>
      <c r="M102" s="10" t="s">
        <v>113</v>
      </c>
      <c r="N102" s="11"/>
      <c r="O102" s="33"/>
      <c r="P102" s="103" t="str">
        <f>VLOOKUP(C102,'Train Runs'!$A$13:$AE$953,31,0)</f>
        <v>aws s3 cp s3://rtdc.mdm.uploadarchive/RTDC4018/2016-07-07/ "C:\Users\stu\Documents\Analysis\2016-02-23 RTDC Observations"\RTDC4018\2016-07-07 --recursive &amp; "C:\Users\stu\Documents\GitHub\mrs-test-scripts\Headless Mode &amp; Sideloading\WalkAndUnGZ.bat" "C:\Users\stu\Documents\Analysis\2016-02-23 RTDC Observations"\RTDC4018\2016-07-07 &amp; aws s3 cp s3://rtdc.mdm.uploadarchive/RTDC4018/2016-07-08/ "C:\Users\stu\Documents\Analysis\2016-02-23 RTDC Observations"\RTDC4018\2016-07-08 --recursive &amp; "C:\Users\stu\Documents\GitHub\mrs-test-scripts\Headless Mode &amp; Sideloading\WalkAndUnGZ.bat" "C:\Users\stu\Documents\Analysis\2016-02-23 RTDC Observations"\RTDC4018\2016-07-08</v>
      </c>
      <c r="Q102" s="101" t="str">
        <f>VLOOKUP(C102,'Train Runs'!$A$13:$AE$953,22,0)</f>
        <v>https://search-rtdc-monitor-bjffxe2xuh6vdkpspy63sjmuny.us-east-1.es.amazonaws.com/_plugin/kibana/#/discover/Steve-Slow-Train-Analysis-(2080s-and-2083s)?_g=(refreshInterval:(display:Off,section:0,value:0),time:(from:'2016-07-07 22:14:15-0600',mode:absolute,to:'2016-07-07 23:06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02" s="102" t="str">
        <f>VLOOKUP(C102,'Train Runs'!$A$13:$AF$953,32,0)</f>
        <v>"C:\Program Files (x86)\AstroGrep\AstroGrep.exe" /spath="C:\Users\stu\Documents\Analysis\2016-02-23 RTDC Observations" /stypes="*4018*20160708*" /stext=" 04:.+((prompt.+disp)|(slice.+state.+chan)|(ment ac)|(system.+state.+chan)|(\|lc)|(penalty)|(\[timeout))" /e /r /s</v>
      </c>
      <c r="S102" s="10" t="str">
        <f>MID(B102,13,4)</f>
        <v>4018</v>
      </c>
      <c r="T102" s="61">
        <f>A102+6/24</f>
        <v>42559.212129629632</v>
      </c>
    </row>
    <row r="103" spans="1:20" x14ac:dyDescent="0.25">
      <c r="A103" s="43"/>
      <c r="B103" s="37"/>
      <c r="C103" s="37"/>
      <c r="D103" s="37"/>
      <c r="E103" s="91"/>
      <c r="F103" s="88"/>
      <c r="G103" s="37"/>
      <c r="H103" s="37"/>
      <c r="I103" s="91"/>
      <c r="J103" s="37"/>
      <c r="K103" s="37"/>
      <c r="L103" s="94"/>
      <c r="M103" s="10"/>
      <c r="N103" s="11"/>
      <c r="O103" s="1"/>
      <c r="P103" s="1"/>
      <c r="Q103" s="39"/>
      <c r="S103" s="9"/>
    </row>
    <row r="104" spans="1:20" x14ac:dyDescent="0.25">
      <c r="A104" s="89"/>
      <c r="B104" s="90"/>
      <c r="C104" s="90"/>
      <c r="D104" s="90"/>
      <c r="E104" s="92"/>
      <c r="F104" s="93"/>
      <c r="G104" s="90"/>
      <c r="H104" s="90"/>
      <c r="I104" s="92"/>
      <c r="J104" s="90"/>
      <c r="K104" s="63"/>
      <c r="L104" s="11"/>
      <c r="M104" s="10"/>
      <c r="N104" s="11"/>
      <c r="O104" s="1"/>
      <c r="P104" s="1"/>
      <c r="Q104" s="39"/>
      <c r="S104" s="9"/>
    </row>
    <row r="105" spans="1:20" x14ac:dyDescent="0.25">
      <c r="A105" s="43"/>
      <c r="B105" s="37"/>
      <c r="C105" s="37"/>
      <c r="D105" s="37"/>
      <c r="E105" s="91"/>
      <c r="F105" s="88"/>
      <c r="G105" s="37"/>
      <c r="H105" s="37"/>
      <c r="I105" s="91"/>
      <c r="J105" s="37"/>
      <c r="K105" s="37"/>
      <c r="L105" s="11"/>
      <c r="M105" s="10"/>
      <c r="N105" s="11"/>
      <c r="Q105" s="39"/>
      <c r="S105" s="9"/>
    </row>
    <row r="106" spans="1:20" x14ac:dyDescent="0.25">
      <c r="A106" s="43"/>
      <c r="B106" s="37"/>
      <c r="C106" s="37"/>
      <c r="D106" s="37"/>
      <c r="E106" s="91"/>
      <c r="F106" s="88"/>
      <c r="G106" s="37"/>
      <c r="H106" s="37"/>
      <c r="I106" s="91"/>
      <c r="J106" s="37"/>
      <c r="K106" s="37"/>
      <c r="L106" s="11"/>
      <c r="M106" s="10"/>
      <c r="N106" s="11"/>
      <c r="O106" s="1"/>
      <c r="P106" s="1"/>
      <c r="Q106" s="39"/>
      <c r="S106" s="9"/>
    </row>
    <row r="107" spans="1:20" x14ac:dyDescent="0.25">
      <c r="A107" s="43"/>
      <c r="B107" s="37"/>
      <c r="C107" s="37"/>
      <c r="D107" s="37"/>
      <c r="E107" s="91"/>
      <c r="F107" s="88"/>
      <c r="G107" s="37"/>
      <c r="H107" s="37"/>
      <c r="I107" s="91"/>
      <c r="J107" s="37"/>
      <c r="K107" s="37"/>
      <c r="L107" s="11"/>
      <c r="M107" s="10"/>
      <c r="N107" s="11"/>
      <c r="Q107" s="39"/>
      <c r="S107" s="9"/>
    </row>
    <row r="108" spans="1:20" x14ac:dyDescent="0.25">
      <c r="B108" s="33"/>
      <c r="C108" s="33"/>
      <c r="D108" s="33"/>
      <c r="E108" s="33"/>
      <c r="G108" s="33"/>
      <c r="H108" s="33"/>
      <c r="I108" s="33"/>
      <c r="J108" s="33"/>
      <c r="K108" s="33"/>
      <c r="L108" s="11"/>
      <c r="M108" s="10"/>
      <c r="N108" s="11"/>
      <c r="Q108" s="39"/>
      <c r="S108" s="9"/>
    </row>
    <row r="109" spans="1:20" x14ac:dyDescent="0.25">
      <c r="B109" s="33"/>
      <c r="C109" s="33"/>
      <c r="D109" s="33"/>
      <c r="E109" s="33"/>
      <c r="G109" s="33"/>
      <c r="H109" s="33"/>
      <c r="I109" s="33"/>
      <c r="J109" s="33"/>
      <c r="K109" s="33"/>
      <c r="L109" s="11"/>
      <c r="M109" s="10"/>
      <c r="N109" s="11"/>
      <c r="Q109" s="39"/>
      <c r="S109" s="9"/>
    </row>
    <row r="110" spans="1:20" x14ac:dyDescent="0.25">
      <c r="B110" s="33"/>
      <c r="C110" s="33"/>
      <c r="D110" s="33"/>
      <c r="E110" s="33"/>
      <c r="G110" s="33"/>
      <c r="H110" s="33"/>
      <c r="I110" s="33"/>
      <c r="J110" s="33"/>
      <c r="K110" s="33"/>
      <c r="L110" s="11"/>
      <c r="M110" s="10"/>
      <c r="N110" s="11"/>
      <c r="Q110" s="39"/>
      <c r="S110" s="9"/>
    </row>
    <row r="111" spans="1:20" x14ac:dyDescent="0.25">
      <c r="B111" s="33"/>
      <c r="C111" s="33"/>
      <c r="D111" s="33"/>
      <c r="E111" s="33"/>
      <c r="G111" s="33"/>
      <c r="H111" s="33"/>
      <c r="I111" s="33"/>
      <c r="J111" s="33"/>
      <c r="K111" s="33"/>
      <c r="L111" s="11"/>
      <c r="M111" s="10"/>
      <c r="N111" s="11"/>
      <c r="Q111" s="39"/>
      <c r="S111" s="9"/>
    </row>
    <row r="112" spans="1:20" x14ac:dyDescent="0.25">
      <c r="B112" s="33"/>
      <c r="C112" s="33"/>
      <c r="D112" s="33"/>
      <c r="E112" s="33"/>
      <c r="G112" s="33"/>
      <c r="H112" s="33"/>
      <c r="I112" s="33"/>
      <c r="J112" s="33"/>
      <c r="K112" s="33"/>
      <c r="L112" s="11"/>
      <c r="M112" s="10"/>
      <c r="N112" s="11"/>
      <c r="Q112" s="39"/>
      <c r="S112" s="9"/>
    </row>
    <row r="113" spans="2:19" x14ac:dyDescent="0.25">
      <c r="B113" s="33"/>
      <c r="C113" s="33"/>
      <c r="D113" s="33"/>
      <c r="E113" s="33"/>
      <c r="G113" s="33"/>
      <c r="H113" s="33"/>
      <c r="I113" s="33"/>
      <c r="J113" s="33"/>
      <c r="K113" s="33"/>
      <c r="L113" s="11"/>
      <c r="M113" s="10"/>
      <c r="N113" s="11"/>
      <c r="Q113" s="39"/>
      <c r="S113" s="9"/>
    </row>
    <row r="114" spans="2:19" x14ac:dyDescent="0.25">
      <c r="B114" s="33"/>
      <c r="C114" s="33"/>
      <c r="D114" s="33"/>
      <c r="E114" s="33"/>
      <c r="G114" s="33"/>
      <c r="H114" s="33"/>
      <c r="I114" s="33"/>
      <c r="J114" s="33"/>
      <c r="K114" s="33"/>
      <c r="L114" s="11"/>
      <c r="M114" s="10"/>
      <c r="N114" s="11"/>
      <c r="Q114" s="39"/>
      <c r="S114" s="9"/>
    </row>
    <row r="115" spans="2:19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Q115" s="39"/>
      <c r="S115" s="9"/>
    </row>
    <row r="116" spans="2:19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Q116" s="39"/>
      <c r="S116" s="9"/>
    </row>
    <row r="117" spans="2:19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Q117" s="39"/>
      <c r="S117" s="9"/>
    </row>
    <row r="118" spans="2:19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Q118" s="39"/>
      <c r="S118" s="9"/>
    </row>
    <row r="119" spans="2:19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Q119" s="39"/>
      <c r="S119" s="9"/>
    </row>
    <row r="120" spans="2:19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Q120" s="39"/>
      <c r="S120" s="9"/>
    </row>
  </sheetData>
  <autoFilter ref="A6:N102"/>
  <sortState ref="A7:T106">
    <sortCondition ref="E7:E106"/>
    <sortCondition ref="J7:J106"/>
    <sortCondition ref="C7:C106"/>
    <sortCondition ref="F7:F106"/>
  </sortState>
  <mergeCells count="1">
    <mergeCell ref="A5:M5"/>
  </mergeCells>
  <conditionalFormatting sqref="M6:N6 P6 M7:M1048576">
    <cfRule type="cellIs" dxfId="76" priority="14" operator="equal">
      <formula>"Y"</formula>
    </cfRule>
  </conditionalFormatting>
  <conditionalFormatting sqref="L103:N120 A7:N102">
    <cfRule type="expression" dxfId="75" priority="7">
      <formula>$M7="Y"</formula>
    </cfRule>
  </conditionalFormatting>
  <conditionalFormatting sqref="M2:M3">
    <cfRule type="cellIs" dxfId="74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5" sqref="A5"/>
    </sheetView>
  </sheetViews>
  <sheetFormatPr defaultRowHeight="15" x14ac:dyDescent="0.25"/>
  <cols>
    <col min="1" max="1" width="9.140625" customWidth="1"/>
    <col min="2" max="2" width="8" style="44" bestFit="1" customWidth="1"/>
    <col min="3" max="3" width="7.85546875" style="46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9" t="str">
        <f>"Trips that did not appear in PTC Data "&amp;TEXT(Variables!$A$2,"YYYY-mm-dd")</f>
        <v>Trips that did not appear in PTC Data 2016-07-07</v>
      </c>
      <c r="B1" s="119"/>
      <c r="C1" s="119"/>
      <c r="D1" s="119"/>
      <c r="E1" s="119"/>
    </row>
    <row r="2" spans="1:10" s="37" customFormat="1" ht="45" x14ac:dyDescent="0.25">
      <c r="A2" s="36" t="s">
        <v>82</v>
      </c>
      <c r="B2" s="47" t="s">
        <v>83</v>
      </c>
      <c r="C2" s="45" t="s">
        <v>84</v>
      </c>
      <c r="D2" s="37" t="s">
        <v>80</v>
      </c>
      <c r="E2" s="37" t="s">
        <v>81</v>
      </c>
      <c r="F2" s="37" t="s">
        <v>88</v>
      </c>
      <c r="G2" s="48" t="s">
        <v>89</v>
      </c>
    </row>
    <row r="3" spans="1:10" x14ac:dyDescent="0.25">
      <c r="A3" s="50" t="s">
        <v>712</v>
      </c>
      <c r="B3" s="50"/>
      <c r="C3" s="50"/>
      <c r="D3" s="50"/>
      <c r="E3" s="34" t="str">
        <f>VLOOKUP(A3,'Trips&amp;Operators'!$C$2:$E$10000,3,FALSE)</f>
        <v>STARKS</v>
      </c>
      <c r="F3" s="34" t="str">
        <f>VLOOKUP(A3,'Trips&amp;Operators'!$C$1:$F$10000,4,FALSE)</f>
        <v>rtdc.l.rtdc.4028:itc</v>
      </c>
      <c r="G3" s="49">
        <f>VLOOKUP(A3,'Trips&amp;Operators'!$C$1:$H$10000,5,FALSE)</f>
        <v>42558.426018518519</v>
      </c>
      <c r="H3" s="33"/>
      <c r="I3" s="33"/>
      <c r="J3" s="33"/>
    </row>
    <row r="4" spans="1:10" x14ac:dyDescent="0.25">
      <c r="A4" s="50" t="s">
        <v>740</v>
      </c>
      <c r="B4" s="50"/>
      <c r="C4" s="50"/>
      <c r="D4" s="50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49" t="e">
        <f>VLOOKUP(A4,'Trips&amp;Operators'!$C$1:$H$10000,5,FALSE)</f>
        <v>#N/A</v>
      </c>
      <c r="H4" s="33"/>
      <c r="I4" s="33"/>
      <c r="J4" s="33"/>
    </row>
    <row r="5" spans="1:10" x14ac:dyDescent="0.25">
      <c r="A5" s="50"/>
      <c r="B5" s="50"/>
      <c r="C5" s="50"/>
      <c r="D5" s="50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49" t="e">
        <f>VLOOKUP(A5,'Trips&amp;Operators'!$C$1:$H$10000,5,FALSE)</f>
        <v>#N/A</v>
      </c>
      <c r="H5" s="33"/>
      <c r="I5" s="33"/>
      <c r="J5" s="33"/>
    </row>
    <row r="6" spans="1:10" x14ac:dyDescent="0.25">
      <c r="A6" s="50"/>
      <c r="B6" s="50"/>
      <c r="C6" s="50"/>
      <c r="D6" s="50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49" t="e">
        <f>VLOOKUP(A6,'Trips&amp;Operators'!$C$1:$H$10000,5,FALSE)</f>
        <v>#N/A</v>
      </c>
      <c r="H6" s="33"/>
      <c r="I6" s="33"/>
      <c r="J6" s="33"/>
    </row>
    <row r="7" spans="1:10" x14ac:dyDescent="0.25">
      <c r="A7" s="48"/>
      <c r="B7"/>
      <c r="C7"/>
      <c r="H7" s="33"/>
      <c r="I7" s="33"/>
      <c r="J7" s="33"/>
    </row>
    <row r="8" spans="1:10" x14ac:dyDescent="0.25">
      <c r="A8" s="48"/>
      <c r="B8"/>
      <c r="C8"/>
      <c r="H8" s="33"/>
      <c r="I8" s="33"/>
      <c r="J8" s="33"/>
    </row>
    <row r="9" spans="1:10" x14ac:dyDescent="0.25">
      <c r="A9" s="48"/>
      <c r="B9"/>
      <c r="C9"/>
      <c r="H9" s="33"/>
      <c r="I9" s="33"/>
      <c r="J9" s="33"/>
    </row>
    <row r="10" spans="1:10" x14ac:dyDescent="0.25">
      <c r="A10" s="48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workbookViewId="0">
      <selection sqref="A1:E283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42557.887187499997</v>
      </c>
      <c r="B1" s="33" t="s">
        <v>79</v>
      </c>
      <c r="C1" s="33" t="s">
        <v>255</v>
      </c>
      <c r="D1" s="33">
        <v>1990000</v>
      </c>
      <c r="E1" s="33" t="s">
        <v>279</v>
      </c>
      <c r="F1" s="33" t="str">
        <f>B1</f>
        <v>rtdc.l.rtdc.4031:itc</v>
      </c>
      <c r="G1" s="8">
        <f>A1</f>
        <v>42557.887187499997</v>
      </c>
    </row>
    <row r="2" spans="1:7" x14ac:dyDescent="0.25">
      <c r="A2" s="8">
        <v>42557.790717592594</v>
      </c>
      <c r="B2" s="33" t="s">
        <v>123</v>
      </c>
      <c r="C2" s="33" t="s">
        <v>261</v>
      </c>
      <c r="D2" s="33">
        <v>1280000</v>
      </c>
      <c r="E2" s="33" t="s">
        <v>135</v>
      </c>
      <c r="F2" s="33" t="str">
        <f t="shared" ref="F2:F65" si="0">B2</f>
        <v>rtdc.l.rtdc.4011:itc</v>
      </c>
      <c r="G2" s="8">
        <f t="shared" ref="G2:G65" si="1">A2</f>
        <v>42557.790717592594</v>
      </c>
    </row>
    <row r="3" spans="1:7" x14ac:dyDescent="0.25">
      <c r="A3" s="8">
        <v>42558.058113425926</v>
      </c>
      <c r="B3" s="33" t="s">
        <v>193</v>
      </c>
      <c r="C3" s="33" t="s">
        <v>263</v>
      </c>
      <c r="D3" s="33">
        <v>1240000</v>
      </c>
      <c r="E3" s="33" t="s">
        <v>161</v>
      </c>
      <c r="F3" s="33" t="str">
        <f t="shared" si="0"/>
        <v>rtdc.l.rtdc.4039:itc</v>
      </c>
      <c r="G3" s="8">
        <f t="shared" si="1"/>
        <v>42558.058113425926</v>
      </c>
    </row>
    <row r="4" spans="1:7" x14ac:dyDescent="0.25">
      <c r="A4" s="8">
        <v>42558.160578703704</v>
      </c>
      <c r="B4" s="33" t="s">
        <v>79</v>
      </c>
      <c r="C4" s="33" t="s">
        <v>289</v>
      </c>
      <c r="D4" s="33">
        <v>1110000</v>
      </c>
      <c r="E4" s="33" t="s">
        <v>222</v>
      </c>
      <c r="F4" s="33" t="str">
        <f t="shared" si="0"/>
        <v>rtdc.l.rtdc.4031:itc</v>
      </c>
      <c r="G4" s="8">
        <f t="shared" si="1"/>
        <v>42558.160578703704</v>
      </c>
    </row>
    <row r="5" spans="1:7" x14ac:dyDescent="0.25">
      <c r="A5" s="8">
        <v>42558.21665509259</v>
      </c>
      <c r="B5" s="33" t="s">
        <v>129</v>
      </c>
      <c r="C5" s="33" t="s">
        <v>272</v>
      </c>
      <c r="D5" s="33">
        <v>1340000</v>
      </c>
      <c r="E5" s="33" t="s">
        <v>149</v>
      </c>
      <c r="F5" s="33" t="str">
        <f t="shared" si="0"/>
        <v>rtdc.l.rtdc.4026:itc</v>
      </c>
      <c r="G5" s="8">
        <f t="shared" si="1"/>
        <v>42558.21665509259</v>
      </c>
    </row>
    <row r="6" spans="1:7" x14ac:dyDescent="0.25">
      <c r="A6" s="8">
        <v>42558.544583333336</v>
      </c>
      <c r="B6" s="33" t="s">
        <v>165</v>
      </c>
      <c r="C6" s="33" t="s">
        <v>632</v>
      </c>
      <c r="D6" s="33">
        <v>1460000</v>
      </c>
      <c r="E6" s="33" t="s">
        <v>119</v>
      </c>
      <c r="F6" s="33" t="str">
        <f t="shared" si="0"/>
        <v>rtdc.l.rtdc.4040:itc</v>
      </c>
      <c r="G6" s="8">
        <f t="shared" si="1"/>
        <v>42558.544583333336</v>
      </c>
    </row>
    <row r="7" spans="1:7" x14ac:dyDescent="0.25">
      <c r="A7" s="8">
        <v>42558.240636574075</v>
      </c>
      <c r="B7" s="33" t="s">
        <v>132</v>
      </c>
      <c r="C7" s="33" t="s">
        <v>273</v>
      </c>
      <c r="D7" s="33">
        <v>1340000</v>
      </c>
      <c r="E7" s="33" t="s">
        <v>149</v>
      </c>
      <c r="F7" s="33" t="str">
        <f t="shared" si="0"/>
        <v>rtdc.l.rtdc.4025:itc</v>
      </c>
      <c r="G7" s="8">
        <f t="shared" si="1"/>
        <v>42558.240636574075</v>
      </c>
    </row>
    <row r="8" spans="1:7" x14ac:dyDescent="0.25">
      <c r="A8" s="8">
        <v>42558.368819444448</v>
      </c>
      <c r="B8" s="33" t="s">
        <v>77</v>
      </c>
      <c r="C8" s="33" t="s">
        <v>420</v>
      </c>
      <c r="D8" s="33">
        <v>2030000</v>
      </c>
      <c r="E8" s="33" t="s">
        <v>217</v>
      </c>
      <c r="F8" s="33" t="str">
        <f t="shared" si="0"/>
        <v>rtdc.l.rtdc.4017:itc</v>
      </c>
      <c r="G8" s="8">
        <f t="shared" si="1"/>
        <v>42558.368819444448</v>
      </c>
    </row>
    <row r="9" spans="1:7" ht="15.75" thickBot="1" x14ac:dyDescent="0.3">
      <c r="A9" s="41">
        <v>42558.426412037035</v>
      </c>
      <c r="B9" s="33" t="s">
        <v>165</v>
      </c>
      <c r="C9" s="33" t="s">
        <v>620</v>
      </c>
      <c r="D9" s="33">
        <v>1460000</v>
      </c>
      <c r="E9" s="33" t="s">
        <v>119</v>
      </c>
      <c r="F9" s="33" t="str">
        <f t="shared" si="0"/>
        <v>rtdc.l.rtdc.4040:itc</v>
      </c>
      <c r="G9" s="8">
        <f t="shared" si="1"/>
        <v>42558.426412037035</v>
      </c>
    </row>
    <row r="10" spans="1:7" x14ac:dyDescent="0.25">
      <c r="A10" s="8">
        <v>42558.425925925927</v>
      </c>
      <c r="B10" s="33" t="s">
        <v>162</v>
      </c>
      <c r="C10" s="33" t="s">
        <v>443</v>
      </c>
      <c r="D10" s="33">
        <v>900000</v>
      </c>
      <c r="E10" s="33" t="s">
        <v>141</v>
      </c>
      <c r="F10" s="33" t="str">
        <f t="shared" si="0"/>
        <v>rtdc.l.rtdc.4007:itc</v>
      </c>
      <c r="G10" s="8">
        <f t="shared" si="1"/>
        <v>42558.425925925927</v>
      </c>
    </row>
    <row r="11" spans="1:7" x14ac:dyDescent="0.25">
      <c r="A11" s="8">
        <v>42557.806458333333</v>
      </c>
      <c r="B11" s="33" t="s">
        <v>79</v>
      </c>
      <c r="C11" s="33" t="s">
        <v>267</v>
      </c>
      <c r="D11" s="33">
        <v>1540000</v>
      </c>
      <c r="E11" s="33" t="s">
        <v>157</v>
      </c>
      <c r="F11" s="33" t="str">
        <f t="shared" si="0"/>
        <v>rtdc.l.rtdc.4031:itc</v>
      </c>
      <c r="G11" s="8">
        <f t="shared" si="1"/>
        <v>42557.806458333333</v>
      </c>
    </row>
    <row r="12" spans="1:7" x14ac:dyDescent="0.25">
      <c r="A12" s="8">
        <v>42558.348865740743</v>
      </c>
      <c r="B12" s="33" t="s">
        <v>162</v>
      </c>
      <c r="C12" s="33" t="s">
        <v>425</v>
      </c>
      <c r="D12" s="33">
        <v>2040000</v>
      </c>
      <c r="E12" s="33" t="s">
        <v>265</v>
      </c>
      <c r="F12" s="33" t="str">
        <f t="shared" si="0"/>
        <v>rtdc.l.rtdc.4007:itc</v>
      </c>
      <c r="G12" s="8">
        <f t="shared" si="1"/>
        <v>42558.348865740743</v>
      </c>
    </row>
    <row r="13" spans="1:7" x14ac:dyDescent="0.25">
      <c r="A13" s="8">
        <v>42557.817488425928</v>
      </c>
      <c r="B13" s="33" t="s">
        <v>134</v>
      </c>
      <c r="C13" s="33" t="s">
        <v>248</v>
      </c>
      <c r="D13" s="33">
        <v>1740000</v>
      </c>
      <c r="E13" s="33" t="s">
        <v>216</v>
      </c>
      <c r="F13" s="33" t="str">
        <f t="shared" si="0"/>
        <v>rtdc.l.rtdc.4037:itc</v>
      </c>
      <c r="G13" s="8">
        <f t="shared" si="1"/>
        <v>42557.817488425928</v>
      </c>
    </row>
    <row r="14" spans="1:7" x14ac:dyDescent="0.25">
      <c r="A14" s="8">
        <v>42558.323946759258</v>
      </c>
      <c r="B14" s="33" t="s">
        <v>159</v>
      </c>
      <c r="C14" s="33" t="s">
        <v>410</v>
      </c>
      <c r="D14" s="33">
        <v>1840000</v>
      </c>
      <c r="E14" s="33" t="s">
        <v>118</v>
      </c>
      <c r="F14" s="33" t="str">
        <f t="shared" si="0"/>
        <v>rtdc.l.rtdc.4043:itc</v>
      </c>
      <c r="G14" s="8">
        <f t="shared" si="1"/>
        <v>42558.323946759258</v>
      </c>
    </row>
    <row r="15" spans="1:7" x14ac:dyDescent="0.25">
      <c r="A15" s="8">
        <v>42558.27888888889</v>
      </c>
      <c r="B15" s="33" t="s">
        <v>132</v>
      </c>
      <c r="C15" s="33" t="s">
        <v>260</v>
      </c>
      <c r="D15" s="33">
        <v>1340000</v>
      </c>
      <c r="E15" s="33" t="s">
        <v>149</v>
      </c>
      <c r="F15" s="33" t="str">
        <f t="shared" si="0"/>
        <v>rtdc.l.rtdc.4025:itc</v>
      </c>
      <c r="G15" s="8">
        <f t="shared" si="1"/>
        <v>42558.27888888889</v>
      </c>
    </row>
    <row r="16" spans="1:7" x14ac:dyDescent="0.25">
      <c r="A16" s="8">
        <v>42557.80804398148</v>
      </c>
      <c r="B16" s="33" t="s">
        <v>193</v>
      </c>
      <c r="C16" s="33" t="s">
        <v>264</v>
      </c>
      <c r="D16" s="33">
        <v>1240000</v>
      </c>
      <c r="E16" s="33" t="s">
        <v>161</v>
      </c>
      <c r="F16" s="33" t="str">
        <f t="shared" si="0"/>
        <v>rtdc.l.rtdc.4039:itc</v>
      </c>
      <c r="G16" s="8">
        <f t="shared" si="1"/>
        <v>42557.80804398148</v>
      </c>
    </row>
    <row r="17" spans="1:7" x14ac:dyDescent="0.25">
      <c r="A17" s="8">
        <v>42558.339212962965</v>
      </c>
      <c r="B17" s="33" t="s">
        <v>123</v>
      </c>
      <c r="C17" s="33" t="s">
        <v>421</v>
      </c>
      <c r="D17" s="33">
        <v>2010000</v>
      </c>
      <c r="E17" s="33" t="s">
        <v>271</v>
      </c>
      <c r="F17" s="33" t="str">
        <f t="shared" si="0"/>
        <v>rtdc.l.rtdc.4011:itc</v>
      </c>
      <c r="G17" s="8">
        <f t="shared" si="1"/>
        <v>42558.339212962965</v>
      </c>
    </row>
    <row r="18" spans="1:7" x14ac:dyDescent="0.25">
      <c r="A18" s="8">
        <v>42557.796967592592</v>
      </c>
      <c r="B18" s="33" t="s">
        <v>133</v>
      </c>
      <c r="C18" s="33" t="s">
        <v>246</v>
      </c>
      <c r="D18" s="33">
        <v>1760000</v>
      </c>
      <c r="E18" s="33" t="s">
        <v>163</v>
      </c>
      <c r="F18" s="33" t="str">
        <f t="shared" si="0"/>
        <v>rtdc.l.rtdc.4028:itc</v>
      </c>
      <c r="G18" s="8">
        <f t="shared" si="1"/>
        <v>42557.796967592592</v>
      </c>
    </row>
    <row r="19" spans="1:7" x14ac:dyDescent="0.25">
      <c r="A19" s="8">
        <v>42558.353715277779</v>
      </c>
      <c r="B19" s="33" t="s">
        <v>132</v>
      </c>
      <c r="C19" s="33" t="s">
        <v>690</v>
      </c>
      <c r="D19" s="33">
        <v>1340000</v>
      </c>
      <c r="E19" s="33" t="s">
        <v>149</v>
      </c>
      <c r="F19" s="33" t="str">
        <f t="shared" si="0"/>
        <v>rtdc.l.rtdc.4025:itc</v>
      </c>
      <c r="G19" s="8">
        <f t="shared" si="1"/>
        <v>42558.353715277779</v>
      </c>
    </row>
    <row r="20" spans="1:7" x14ac:dyDescent="0.25">
      <c r="A20" s="8">
        <v>42558.433298611111</v>
      </c>
      <c r="B20" s="33" t="s">
        <v>77</v>
      </c>
      <c r="C20" s="33" t="s">
        <v>439</v>
      </c>
      <c r="D20" s="33">
        <v>2030000</v>
      </c>
      <c r="E20" s="33" t="s">
        <v>217</v>
      </c>
      <c r="F20" s="33" t="str">
        <f t="shared" si="0"/>
        <v>rtdc.l.rtdc.4017:itc</v>
      </c>
      <c r="G20" s="8">
        <f t="shared" si="1"/>
        <v>42558.433298611111</v>
      </c>
    </row>
    <row r="21" spans="1:7" x14ac:dyDescent="0.25">
      <c r="A21" s="8">
        <v>42558.370509259257</v>
      </c>
      <c r="B21" s="33" t="s">
        <v>124</v>
      </c>
      <c r="C21" s="33" t="s">
        <v>423</v>
      </c>
      <c r="D21" s="33">
        <v>2010000</v>
      </c>
      <c r="E21" s="33" t="s">
        <v>271</v>
      </c>
      <c r="F21" s="33" t="str">
        <f t="shared" si="0"/>
        <v>rtdc.l.rtdc.4012:itc</v>
      </c>
      <c r="G21" s="8">
        <f t="shared" si="1"/>
        <v>42558.370509259257</v>
      </c>
    </row>
    <row r="22" spans="1:7" x14ac:dyDescent="0.25">
      <c r="A22" s="43">
        <v>42558.324814814812</v>
      </c>
      <c r="B22" s="33" t="s">
        <v>132</v>
      </c>
      <c r="C22" s="33" t="s">
        <v>607</v>
      </c>
      <c r="D22" s="33">
        <v>1340000</v>
      </c>
      <c r="E22" s="33" t="s">
        <v>149</v>
      </c>
      <c r="F22" s="33" t="str">
        <f t="shared" si="0"/>
        <v>rtdc.l.rtdc.4025:itc</v>
      </c>
      <c r="G22" s="8">
        <f t="shared" si="1"/>
        <v>42558.324814814812</v>
      </c>
    </row>
    <row r="23" spans="1:7" x14ac:dyDescent="0.25">
      <c r="A23" s="8">
        <v>42558.610034722224</v>
      </c>
      <c r="B23" s="33" t="s">
        <v>124</v>
      </c>
      <c r="C23" s="33" t="s">
        <v>486</v>
      </c>
      <c r="D23" s="33">
        <v>1290000</v>
      </c>
      <c r="E23" s="33" t="s">
        <v>196</v>
      </c>
      <c r="F23" s="33" t="str">
        <f t="shared" si="0"/>
        <v>rtdc.l.rtdc.4012:itc</v>
      </c>
      <c r="G23" s="8">
        <f t="shared" si="1"/>
        <v>42558.610034722224</v>
      </c>
    </row>
    <row r="24" spans="1:7" x14ac:dyDescent="0.25">
      <c r="A24" s="8">
        <v>42558.267141203702</v>
      </c>
      <c r="B24" s="33" t="s">
        <v>69</v>
      </c>
      <c r="C24" s="33" t="s">
        <v>275</v>
      </c>
      <c r="D24" s="33">
        <v>1310000</v>
      </c>
      <c r="E24" s="33" t="s">
        <v>120</v>
      </c>
      <c r="F24" s="33" t="str">
        <f t="shared" si="0"/>
        <v>rtdc.l.rtdc.4032:itc</v>
      </c>
      <c r="G24" s="8">
        <f t="shared" si="1"/>
        <v>42558.267141203702</v>
      </c>
    </row>
    <row r="25" spans="1:7" x14ac:dyDescent="0.25">
      <c r="A25" s="8">
        <v>42558.610706018517</v>
      </c>
      <c r="B25" s="33" t="s">
        <v>193</v>
      </c>
      <c r="C25" s="33" t="s">
        <v>639</v>
      </c>
      <c r="D25" s="33">
        <v>1520000</v>
      </c>
      <c r="E25" s="33" t="s">
        <v>148</v>
      </c>
      <c r="F25" s="33" t="str">
        <f t="shared" si="0"/>
        <v>rtdc.l.rtdc.4039:itc</v>
      </c>
      <c r="G25" s="8">
        <f t="shared" si="1"/>
        <v>42558.610706018517</v>
      </c>
    </row>
    <row r="26" spans="1:7" x14ac:dyDescent="0.25">
      <c r="A26" s="8">
        <v>42558.267129629632</v>
      </c>
      <c r="B26" s="33" t="s">
        <v>123</v>
      </c>
      <c r="C26" s="33" t="s">
        <v>274</v>
      </c>
      <c r="D26" s="33">
        <v>2010000</v>
      </c>
      <c r="E26" s="33" t="s">
        <v>271</v>
      </c>
      <c r="F26" s="33" t="str">
        <f t="shared" si="0"/>
        <v>rtdc.l.rtdc.4011:itc</v>
      </c>
      <c r="G26" s="8">
        <f t="shared" si="1"/>
        <v>42558.267129629632</v>
      </c>
    </row>
    <row r="27" spans="1:7" x14ac:dyDescent="0.25">
      <c r="A27" s="8">
        <v>42558.640555555554</v>
      </c>
      <c r="B27" s="33" t="s">
        <v>129</v>
      </c>
      <c r="C27" s="33" t="s">
        <v>700</v>
      </c>
      <c r="D27" s="33">
        <v>1780000</v>
      </c>
      <c r="E27" s="33" t="s">
        <v>164</v>
      </c>
      <c r="F27" s="33" t="str">
        <f t="shared" si="0"/>
        <v>rtdc.l.rtdc.4026:itc</v>
      </c>
      <c r="G27" s="8">
        <f t="shared" si="1"/>
        <v>42558.640555555554</v>
      </c>
    </row>
    <row r="28" spans="1:7" x14ac:dyDescent="0.25">
      <c r="A28" s="8">
        <v>42557.867766203701</v>
      </c>
      <c r="B28" s="33" t="s">
        <v>129</v>
      </c>
      <c r="C28" s="33" t="s">
        <v>268</v>
      </c>
      <c r="D28" s="33">
        <v>1820000</v>
      </c>
      <c r="E28" s="33" t="s">
        <v>109</v>
      </c>
      <c r="F28" s="33" t="str">
        <f t="shared" si="0"/>
        <v>rtdc.l.rtdc.4026:itc</v>
      </c>
      <c r="G28" s="8">
        <f t="shared" si="1"/>
        <v>42557.867766203701</v>
      </c>
    </row>
    <row r="29" spans="1:7" x14ac:dyDescent="0.25">
      <c r="A29" s="8">
        <v>42557.848969907405</v>
      </c>
      <c r="B29" s="33" t="s">
        <v>117</v>
      </c>
      <c r="C29" s="33" t="s">
        <v>250</v>
      </c>
      <c r="D29" s="33">
        <v>1740000</v>
      </c>
      <c r="E29" s="33" t="s">
        <v>216</v>
      </c>
      <c r="F29" s="33" t="str">
        <f t="shared" si="0"/>
        <v>rtdc.l.rtdc.4038:itc</v>
      </c>
      <c r="G29" s="8">
        <f t="shared" si="1"/>
        <v>42557.848969907405</v>
      </c>
    </row>
    <row r="30" spans="1:7" x14ac:dyDescent="0.25">
      <c r="A30" s="8">
        <v>42558.7344212963</v>
      </c>
      <c r="B30" s="33" t="s">
        <v>77</v>
      </c>
      <c r="C30" s="33" t="s">
        <v>530</v>
      </c>
      <c r="D30" s="33">
        <v>2000000</v>
      </c>
      <c r="E30" s="33" t="s">
        <v>218</v>
      </c>
      <c r="F30" s="33" t="str">
        <f t="shared" si="0"/>
        <v>rtdc.l.rtdc.4017:itc</v>
      </c>
      <c r="G30" s="8">
        <f t="shared" si="1"/>
        <v>42558.7344212963</v>
      </c>
    </row>
    <row r="31" spans="1:7" x14ac:dyDescent="0.25">
      <c r="A31" s="8">
        <v>42558.471377314818</v>
      </c>
      <c r="B31" s="33" t="s">
        <v>159</v>
      </c>
      <c r="C31" s="33" t="s">
        <v>446</v>
      </c>
      <c r="D31" s="33">
        <v>2040000</v>
      </c>
      <c r="E31" s="33" t="s">
        <v>265</v>
      </c>
      <c r="F31" s="33" t="str">
        <f t="shared" si="0"/>
        <v>rtdc.l.rtdc.4043:itc</v>
      </c>
      <c r="G31" s="8">
        <f t="shared" si="1"/>
        <v>42558.471377314818</v>
      </c>
    </row>
    <row r="32" spans="1:7" x14ac:dyDescent="0.25">
      <c r="A32" s="8">
        <v>42558.597962962966</v>
      </c>
      <c r="B32" s="33" t="s">
        <v>165</v>
      </c>
      <c r="C32" s="33" t="s">
        <v>637</v>
      </c>
      <c r="D32" s="33">
        <v>1520000</v>
      </c>
      <c r="E32" s="33" t="s">
        <v>148</v>
      </c>
      <c r="F32" s="33" t="str">
        <f t="shared" si="0"/>
        <v>rtdc.l.rtdc.4040:itc</v>
      </c>
      <c r="G32" s="8">
        <f t="shared" si="1"/>
        <v>42558.597962962966</v>
      </c>
    </row>
    <row r="33" spans="1:7" x14ac:dyDescent="0.25">
      <c r="A33" s="8">
        <v>42558.61787037037</v>
      </c>
      <c r="B33" s="33" t="s">
        <v>159</v>
      </c>
      <c r="C33" s="33" t="s">
        <v>493</v>
      </c>
      <c r="D33" s="33">
        <v>1340000</v>
      </c>
      <c r="E33" s="33" t="s">
        <v>149</v>
      </c>
      <c r="F33" s="33" t="str">
        <f t="shared" si="0"/>
        <v>rtdc.l.rtdc.4043:itc</v>
      </c>
      <c r="G33" s="8">
        <f t="shared" si="1"/>
        <v>42558.61787037037</v>
      </c>
    </row>
    <row r="34" spans="1:7" x14ac:dyDescent="0.25">
      <c r="A34" s="8">
        <v>42558.246435185189</v>
      </c>
      <c r="B34" s="33" t="s">
        <v>158</v>
      </c>
      <c r="C34" s="33" t="s">
        <v>266</v>
      </c>
      <c r="D34" s="33">
        <v>2040000</v>
      </c>
      <c r="E34" s="33" t="s">
        <v>265</v>
      </c>
      <c r="F34" s="33" t="str">
        <f t="shared" si="0"/>
        <v>rtdc.l.rtdc.4008:itc</v>
      </c>
      <c r="G34" s="8">
        <f t="shared" si="1"/>
        <v>42558.246435185189</v>
      </c>
    </row>
    <row r="35" spans="1:7" x14ac:dyDescent="0.25">
      <c r="A35" s="8">
        <v>42558.67560185185</v>
      </c>
      <c r="B35" s="33" t="s">
        <v>138</v>
      </c>
      <c r="C35" s="33" t="s">
        <v>525</v>
      </c>
      <c r="D35" s="33">
        <v>1280000</v>
      </c>
      <c r="E35" s="33" t="s">
        <v>135</v>
      </c>
      <c r="F35" s="33" t="str">
        <f t="shared" si="0"/>
        <v>rtdc.l.rtdc.4027:itc</v>
      </c>
      <c r="G35" s="8">
        <f t="shared" si="1"/>
        <v>42558.67560185185</v>
      </c>
    </row>
    <row r="36" spans="1:7" x14ac:dyDescent="0.25">
      <c r="A36" s="8">
        <v>42558.215891203705</v>
      </c>
      <c r="B36" s="33" t="s">
        <v>77</v>
      </c>
      <c r="C36" s="33" t="s">
        <v>270</v>
      </c>
      <c r="D36" s="33">
        <v>2030000</v>
      </c>
      <c r="E36" s="33" t="s">
        <v>217</v>
      </c>
      <c r="F36" s="33" t="str">
        <f t="shared" si="0"/>
        <v>rtdc.l.rtdc.4017:itc</v>
      </c>
      <c r="G36" s="8">
        <f t="shared" si="1"/>
        <v>42558.215891203705</v>
      </c>
    </row>
    <row r="37" spans="1:7" x14ac:dyDescent="0.25">
      <c r="A37" s="8">
        <v>42558.692847222221</v>
      </c>
      <c r="B37" s="33" t="s">
        <v>76</v>
      </c>
      <c r="C37" s="33" t="s">
        <v>529</v>
      </c>
      <c r="D37" s="33">
        <v>2000000</v>
      </c>
      <c r="E37" s="33" t="s">
        <v>218</v>
      </c>
      <c r="F37" s="33" t="str">
        <f t="shared" si="0"/>
        <v>rtdc.l.rtdc.4018:itc</v>
      </c>
      <c r="G37" s="8">
        <f t="shared" si="1"/>
        <v>42558.692847222221</v>
      </c>
    </row>
    <row r="38" spans="1:7" x14ac:dyDescent="0.25">
      <c r="A38" s="8">
        <v>42558.015844907408</v>
      </c>
      <c r="B38" s="33" t="s">
        <v>165</v>
      </c>
      <c r="C38" s="33" t="s">
        <v>269</v>
      </c>
      <c r="D38" s="33">
        <v>1240000</v>
      </c>
      <c r="E38" s="33" t="s">
        <v>161</v>
      </c>
      <c r="F38" s="33" t="str">
        <f t="shared" si="0"/>
        <v>rtdc.l.rtdc.4040:itc</v>
      </c>
      <c r="G38" s="8">
        <f t="shared" si="1"/>
        <v>42558.015844907408</v>
      </c>
    </row>
    <row r="39" spans="1:7" x14ac:dyDescent="0.25">
      <c r="A39" s="8">
        <v>42558.720150462963</v>
      </c>
      <c r="B39" s="33" t="s">
        <v>165</v>
      </c>
      <c r="C39" s="33" t="s">
        <v>658</v>
      </c>
      <c r="D39" s="33">
        <v>1520000</v>
      </c>
      <c r="E39" s="33" t="s">
        <v>148</v>
      </c>
      <c r="F39" s="33" t="str">
        <f t="shared" si="0"/>
        <v>rtdc.l.rtdc.4040:itc</v>
      </c>
      <c r="G39" s="8">
        <f t="shared" si="1"/>
        <v>42558.720150462963</v>
      </c>
    </row>
    <row r="40" spans="1:7" x14ac:dyDescent="0.25">
      <c r="A40" s="8">
        <v>42559.196076388886</v>
      </c>
      <c r="B40" s="42" t="s">
        <v>130</v>
      </c>
      <c r="C40" s="33" t="s">
        <v>701</v>
      </c>
      <c r="D40" s="33">
        <v>1310000</v>
      </c>
      <c r="E40" s="33" t="s">
        <v>120</v>
      </c>
      <c r="F40" s="33" t="str">
        <f t="shared" si="0"/>
        <v>rtdc.l.rtdc.4014:itc</v>
      </c>
      <c r="G40" s="8">
        <f t="shared" si="1"/>
        <v>42559.196076388886</v>
      </c>
    </row>
    <row r="41" spans="1:7" x14ac:dyDescent="0.25">
      <c r="A41" s="8">
        <v>42558.31559027778</v>
      </c>
      <c r="B41" s="33" t="s">
        <v>117</v>
      </c>
      <c r="C41" s="33" t="s">
        <v>416</v>
      </c>
      <c r="D41" s="33">
        <v>1830000</v>
      </c>
      <c r="E41" s="33" t="s">
        <v>146</v>
      </c>
      <c r="F41" s="33" t="str">
        <f t="shared" si="0"/>
        <v>rtdc.l.rtdc.4038:itc</v>
      </c>
      <c r="G41" s="8">
        <f t="shared" si="1"/>
        <v>42558.31559027778</v>
      </c>
    </row>
    <row r="42" spans="1:7" x14ac:dyDescent="0.25">
      <c r="A42" s="8">
        <v>42558.92763888889</v>
      </c>
      <c r="B42" s="33" t="s">
        <v>76</v>
      </c>
      <c r="C42" s="33" t="s">
        <v>581</v>
      </c>
      <c r="D42" s="33">
        <v>1240000</v>
      </c>
      <c r="E42" s="33" t="s">
        <v>161</v>
      </c>
      <c r="F42" s="33" t="str">
        <f t="shared" si="0"/>
        <v>rtdc.l.rtdc.4018:itc</v>
      </c>
      <c r="G42" s="8">
        <f t="shared" si="1"/>
        <v>42558.92763888889</v>
      </c>
    </row>
    <row r="43" spans="1:7" x14ac:dyDescent="0.25">
      <c r="A43" s="8">
        <v>42558.484537037039</v>
      </c>
      <c r="B43" s="33" t="s">
        <v>123</v>
      </c>
      <c r="C43" s="33" t="s">
        <v>461</v>
      </c>
      <c r="D43" s="33">
        <v>1290000</v>
      </c>
      <c r="E43" s="33" t="s">
        <v>196</v>
      </c>
      <c r="F43" s="33" t="str">
        <f t="shared" si="0"/>
        <v>rtdc.l.rtdc.4011:itc</v>
      </c>
      <c r="G43" s="8">
        <f t="shared" si="1"/>
        <v>42558.484537037039</v>
      </c>
    </row>
    <row r="44" spans="1:7" x14ac:dyDescent="0.25">
      <c r="A44" s="8">
        <v>42558.900613425925</v>
      </c>
      <c r="B44" s="33" t="s">
        <v>193</v>
      </c>
      <c r="C44" s="33" t="s">
        <v>684</v>
      </c>
      <c r="D44" s="33">
        <v>1520000</v>
      </c>
      <c r="E44" s="33" t="s">
        <v>148</v>
      </c>
      <c r="F44" s="33" t="str">
        <f t="shared" si="0"/>
        <v>rtdc.l.rtdc.4039:itc</v>
      </c>
      <c r="G44" s="8">
        <f t="shared" si="1"/>
        <v>42558.900613425925</v>
      </c>
    </row>
    <row r="45" spans="1:7" x14ac:dyDescent="0.25">
      <c r="A45" s="8">
        <v>42558.599166666667</v>
      </c>
      <c r="B45" s="33" t="s">
        <v>124</v>
      </c>
      <c r="C45" s="33" t="s">
        <v>486</v>
      </c>
      <c r="D45" s="33">
        <v>1290000</v>
      </c>
      <c r="E45" s="33" t="s">
        <v>196</v>
      </c>
      <c r="F45" s="33" t="str">
        <f t="shared" si="0"/>
        <v>rtdc.l.rtdc.4012:itc</v>
      </c>
      <c r="G45" s="8">
        <f t="shared" si="1"/>
        <v>42558.599166666667</v>
      </c>
    </row>
    <row r="46" spans="1:7" x14ac:dyDescent="0.25">
      <c r="A46" s="8">
        <v>42558.830312500002</v>
      </c>
      <c r="B46" s="33" t="s">
        <v>117</v>
      </c>
      <c r="C46" s="33" t="s">
        <v>563</v>
      </c>
      <c r="D46" s="33">
        <v>1820000</v>
      </c>
      <c r="E46" s="33" t="s">
        <v>109</v>
      </c>
      <c r="F46" s="33" t="str">
        <f t="shared" si="0"/>
        <v>rtdc.l.rtdc.4038:itc</v>
      </c>
      <c r="G46" s="8">
        <f t="shared" si="1"/>
        <v>42558.830312500002</v>
      </c>
    </row>
    <row r="47" spans="1:7" x14ac:dyDescent="0.25">
      <c r="A47" s="8">
        <v>42558.609375</v>
      </c>
      <c r="B47" s="33" t="s">
        <v>117</v>
      </c>
      <c r="C47" s="33" t="s">
        <v>504</v>
      </c>
      <c r="D47" s="33">
        <v>1090000</v>
      </c>
      <c r="E47" s="33" t="s">
        <v>142</v>
      </c>
      <c r="F47" s="33" t="str">
        <f t="shared" si="0"/>
        <v>rtdc.l.rtdc.4038:itc</v>
      </c>
      <c r="G47" s="8">
        <f t="shared" si="1"/>
        <v>42558.609375</v>
      </c>
    </row>
    <row r="48" spans="1:7" x14ac:dyDescent="0.25">
      <c r="A48" s="8">
        <v>42559.257928240739</v>
      </c>
      <c r="B48" s="33" t="s">
        <v>69</v>
      </c>
      <c r="C48" s="33" t="s">
        <v>702</v>
      </c>
      <c r="D48" s="33">
        <v>1340000</v>
      </c>
      <c r="E48" s="33" t="s">
        <v>149</v>
      </c>
      <c r="F48" s="33" t="str">
        <f t="shared" si="0"/>
        <v>rtdc.l.rtdc.4032:itc</v>
      </c>
      <c r="G48" s="8">
        <f t="shared" si="1"/>
        <v>42559.257928240739</v>
      </c>
    </row>
    <row r="49" spans="1:7" x14ac:dyDescent="0.25">
      <c r="A49" s="8">
        <v>42558.704317129632</v>
      </c>
      <c r="B49" s="33" t="s">
        <v>123</v>
      </c>
      <c r="C49" s="33" t="s">
        <v>531</v>
      </c>
      <c r="D49" s="33">
        <v>1290000</v>
      </c>
      <c r="E49" s="33" t="s">
        <v>196</v>
      </c>
      <c r="F49" s="33" t="str">
        <f t="shared" si="0"/>
        <v>rtdc.l.rtdc.4011:itc</v>
      </c>
      <c r="G49" s="8">
        <f t="shared" si="1"/>
        <v>42558.704317129632</v>
      </c>
    </row>
    <row r="50" spans="1:7" x14ac:dyDescent="0.25">
      <c r="A50" s="8">
        <v>42558.975381944445</v>
      </c>
      <c r="B50" s="33" t="s">
        <v>79</v>
      </c>
      <c r="C50" s="33" t="s">
        <v>587</v>
      </c>
      <c r="D50" s="33">
        <v>1990000</v>
      </c>
      <c r="E50" s="33" t="s">
        <v>279</v>
      </c>
      <c r="F50" s="33" t="str">
        <f t="shared" si="0"/>
        <v>rtdc.l.rtdc.4031:itc</v>
      </c>
      <c r="G50" s="8">
        <f t="shared" si="1"/>
        <v>42558.975381944445</v>
      </c>
    </row>
    <row r="51" spans="1:7" x14ac:dyDescent="0.25">
      <c r="A51" s="8">
        <v>42558.797939814816</v>
      </c>
      <c r="B51" s="33" t="s">
        <v>129</v>
      </c>
      <c r="C51" s="33" t="s">
        <v>693</v>
      </c>
      <c r="D51" s="33">
        <v>1780000</v>
      </c>
      <c r="E51" s="33" t="s">
        <v>164</v>
      </c>
      <c r="F51" s="33" t="str">
        <f t="shared" si="0"/>
        <v>rtdc.l.rtdc.4026:itc</v>
      </c>
      <c r="G51" s="8">
        <f t="shared" si="1"/>
        <v>42558.797939814816</v>
      </c>
    </row>
    <row r="52" spans="1:7" x14ac:dyDescent="0.25">
      <c r="A52" s="8">
        <v>42558.827569444446</v>
      </c>
      <c r="B52" s="33" t="s">
        <v>131</v>
      </c>
      <c r="C52" s="33" t="s">
        <v>556</v>
      </c>
      <c r="D52" s="33">
        <v>2020000</v>
      </c>
      <c r="E52" s="33" t="s">
        <v>215</v>
      </c>
      <c r="F52" s="33" t="str">
        <f t="shared" si="0"/>
        <v>rtdc.l.rtdc.4013:itc</v>
      </c>
      <c r="G52" s="8">
        <f t="shared" si="1"/>
        <v>42558.827569444446</v>
      </c>
    </row>
    <row r="53" spans="1:7" x14ac:dyDescent="0.25">
      <c r="A53" s="8">
        <v>42559.127326388887</v>
      </c>
      <c r="B53" s="33" t="s">
        <v>123</v>
      </c>
      <c r="C53" s="33" t="s">
        <v>703</v>
      </c>
      <c r="D53" s="33">
        <v>1830000</v>
      </c>
      <c r="E53" s="33" t="s">
        <v>146</v>
      </c>
      <c r="F53" s="33" t="str">
        <f t="shared" si="0"/>
        <v>rtdc.l.rtdc.4011:itc</v>
      </c>
      <c r="G53" s="8">
        <f t="shared" si="1"/>
        <v>42559.127326388887</v>
      </c>
    </row>
    <row r="54" spans="1:7" x14ac:dyDescent="0.25">
      <c r="A54" s="8">
        <v>42559.244247685187</v>
      </c>
      <c r="B54" s="33" t="s">
        <v>124</v>
      </c>
      <c r="C54" s="33" t="s">
        <v>704</v>
      </c>
      <c r="D54" s="33">
        <v>2040000</v>
      </c>
      <c r="E54" s="33" t="s">
        <v>265</v>
      </c>
      <c r="F54" s="33" t="str">
        <f t="shared" si="0"/>
        <v>rtdc.l.rtdc.4012:itc</v>
      </c>
      <c r="G54" s="8">
        <f t="shared" si="1"/>
        <v>42559.244247685187</v>
      </c>
    </row>
    <row r="55" spans="1:7" x14ac:dyDescent="0.25">
      <c r="A55" s="8">
        <v>42558.785868055558</v>
      </c>
      <c r="B55" s="33" t="s">
        <v>130</v>
      </c>
      <c r="C55" s="33" t="s">
        <v>555</v>
      </c>
      <c r="D55" s="33">
        <v>2020000</v>
      </c>
      <c r="E55" s="33" t="s">
        <v>215</v>
      </c>
      <c r="F55" s="33" t="str">
        <f t="shared" si="0"/>
        <v>rtdc.l.rtdc.4014:itc</v>
      </c>
      <c r="G55" s="8">
        <f t="shared" si="1"/>
        <v>42558.785868055558</v>
      </c>
    </row>
    <row r="56" spans="1:7" x14ac:dyDescent="0.25">
      <c r="A56" s="8">
        <v>42558.951307870368</v>
      </c>
      <c r="B56" s="33" t="s">
        <v>134</v>
      </c>
      <c r="C56" s="33" t="s">
        <v>579</v>
      </c>
      <c r="D56" s="33">
        <v>1820000</v>
      </c>
      <c r="E56" s="33" t="s">
        <v>109</v>
      </c>
      <c r="F56" s="33" t="str">
        <f t="shared" si="0"/>
        <v>rtdc.l.rtdc.4037:itc</v>
      </c>
      <c r="G56" s="8">
        <f t="shared" si="1"/>
        <v>42558.951307870368</v>
      </c>
    </row>
    <row r="57" spans="1:7" x14ac:dyDescent="0.25">
      <c r="A57" s="8">
        <v>42558.828703703701</v>
      </c>
      <c r="B57" s="33" t="s">
        <v>131</v>
      </c>
      <c r="C57" s="33" t="s">
        <v>556</v>
      </c>
      <c r="D57" s="33">
        <v>2020000</v>
      </c>
      <c r="E57" s="33" t="s">
        <v>215</v>
      </c>
      <c r="F57" s="33" t="str">
        <f t="shared" si="0"/>
        <v>rtdc.l.rtdc.4013:itc</v>
      </c>
      <c r="G57" s="8">
        <f t="shared" si="1"/>
        <v>42558.828703703701</v>
      </c>
    </row>
    <row r="58" spans="1:7" x14ac:dyDescent="0.25">
      <c r="A58" s="8">
        <v>42558.703622685185</v>
      </c>
      <c r="B58" s="33" t="s">
        <v>69</v>
      </c>
      <c r="C58" s="33" t="s">
        <v>523</v>
      </c>
      <c r="D58" s="33">
        <v>880000</v>
      </c>
      <c r="E58" s="33" t="s">
        <v>147</v>
      </c>
      <c r="F58" s="33" t="str">
        <f t="shared" si="0"/>
        <v>rtdc.l.rtdc.4032:itc</v>
      </c>
      <c r="G58" s="8">
        <f t="shared" si="1"/>
        <v>42558.703622685185</v>
      </c>
    </row>
    <row r="59" spans="1:7" x14ac:dyDescent="0.25">
      <c r="A59" s="8">
        <v>42559.057627314818</v>
      </c>
      <c r="B59" s="33" t="s">
        <v>77</v>
      </c>
      <c r="C59" s="33" t="s">
        <v>593</v>
      </c>
      <c r="D59" s="33">
        <v>1240000</v>
      </c>
      <c r="E59" s="33" t="s">
        <v>161</v>
      </c>
      <c r="F59" s="33" t="str">
        <f t="shared" si="0"/>
        <v>rtdc.l.rtdc.4017:itc</v>
      </c>
      <c r="G59" s="8">
        <f t="shared" si="1"/>
        <v>42559.057627314818</v>
      </c>
    </row>
    <row r="60" spans="1:7" x14ac:dyDescent="0.25">
      <c r="A60" s="8">
        <v>42558.699108796296</v>
      </c>
      <c r="B60" s="33" t="s">
        <v>132</v>
      </c>
      <c r="C60" s="33" t="s">
        <v>652</v>
      </c>
      <c r="D60" s="33">
        <v>1780000</v>
      </c>
      <c r="E60" s="33" t="s">
        <v>164</v>
      </c>
      <c r="F60" s="33" t="str">
        <f t="shared" si="0"/>
        <v>rtdc.l.rtdc.4025:itc</v>
      </c>
      <c r="G60" s="8">
        <f t="shared" si="1"/>
        <v>42558.699108796296</v>
      </c>
    </row>
    <row r="61" spans="1:7" x14ac:dyDescent="0.25">
      <c r="A61" s="8">
        <v>42559.125960648147</v>
      </c>
      <c r="B61" s="33" t="s">
        <v>123</v>
      </c>
      <c r="C61" s="33" t="s">
        <v>703</v>
      </c>
      <c r="D61" s="33">
        <v>1830000</v>
      </c>
      <c r="E61" s="33" t="s">
        <v>146</v>
      </c>
      <c r="F61" s="33" t="str">
        <f t="shared" si="0"/>
        <v>rtdc.l.rtdc.4011:itc</v>
      </c>
      <c r="G61" s="8">
        <f t="shared" si="1"/>
        <v>42559.125960648147</v>
      </c>
    </row>
    <row r="62" spans="1:7" x14ac:dyDescent="0.25">
      <c r="A62" s="8">
        <v>42558.465775462966</v>
      </c>
      <c r="B62" s="33" t="s">
        <v>117</v>
      </c>
      <c r="C62" s="33" t="s">
        <v>455</v>
      </c>
      <c r="D62" s="33">
        <v>1090000</v>
      </c>
      <c r="E62" s="33" t="s">
        <v>142</v>
      </c>
      <c r="F62" s="33" t="str">
        <f t="shared" si="0"/>
        <v>rtdc.l.rtdc.4038:itc</v>
      </c>
      <c r="G62" s="8">
        <f t="shared" si="1"/>
        <v>42558.465775462966</v>
      </c>
    </row>
    <row r="63" spans="1:7" x14ac:dyDescent="0.25">
      <c r="A63" s="8">
        <v>42558.818240740744</v>
      </c>
      <c r="B63" s="33" t="s">
        <v>193</v>
      </c>
      <c r="C63" s="33" t="s">
        <v>675</v>
      </c>
      <c r="D63" s="33">
        <v>1520000</v>
      </c>
      <c r="E63" s="33" t="s">
        <v>148</v>
      </c>
      <c r="F63" s="33" t="str">
        <f t="shared" si="0"/>
        <v>rtdc.l.rtdc.4039:itc</v>
      </c>
      <c r="G63" s="8">
        <f t="shared" si="1"/>
        <v>42558.818240740744</v>
      </c>
    </row>
    <row r="64" spans="1:7" x14ac:dyDescent="0.25">
      <c r="A64" s="43">
        <v>42558.451782407406</v>
      </c>
      <c r="B64" s="33" t="s">
        <v>124</v>
      </c>
      <c r="C64" s="33" t="s">
        <v>442</v>
      </c>
      <c r="D64" s="33">
        <v>2010000</v>
      </c>
      <c r="E64" s="33" t="s">
        <v>271</v>
      </c>
      <c r="F64" s="33" t="str">
        <f t="shared" si="0"/>
        <v>rtdc.l.rtdc.4012:itc</v>
      </c>
      <c r="G64" s="8">
        <f t="shared" si="1"/>
        <v>42558.451782407406</v>
      </c>
    </row>
    <row r="65" spans="1:7" x14ac:dyDescent="0.25">
      <c r="A65" s="8">
        <v>42559.036666666667</v>
      </c>
      <c r="B65" s="33" t="s">
        <v>134</v>
      </c>
      <c r="C65" s="33" t="s">
        <v>591</v>
      </c>
      <c r="D65" s="33">
        <v>1820000</v>
      </c>
      <c r="E65" s="33" t="s">
        <v>109</v>
      </c>
      <c r="F65" s="33" t="str">
        <f t="shared" si="0"/>
        <v>rtdc.l.rtdc.4037:itc</v>
      </c>
      <c r="G65" s="8">
        <f t="shared" si="1"/>
        <v>42559.036666666667</v>
      </c>
    </row>
    <row r="66" spans="1:7" x14ac:dyDescent="0.25">
      <c r="A66" s="8">
        <v>42558.403692129628</v>
      </c>
      <c r="B66" s="33" t="s">
        <v>76</v>
      </c>
      <c r="C66" s="33" t="s">
        <v>438</v>
      </c>
      <c r="D66" s="33">
        <v>2030000</v>
      </c>
      <c r="E66" s="33" t="s">
        <v>217</v>
      </c>
      <c r="F66" s="33" t="str">
        <f t="shared" ref="F66:F129" si="2">B66</f>
        <v>rtdc.l.rtdc.4018:itc</v>
      </c>
      <c r="G66" s="8">
        <f t="shared" ref="G66:G129" si="3">A66</f>
        <v>42558.403692129628</v>
      </c>
    </row>
    <row r="67" spans="1:7" x14ac:dyDescent="0.25">
      <c r="A67" s="8">
        <v>42559.175821759258</v>
      </c>
      <c r="B67" s="33" t="s">
        <v>155</v>
      </c>
      <c r="C67" s="33" t="s">
        <v>705</v>
      </c>
      <c r="D67" s="33">
        <v>1840000</v>
      </c>
      <c r="E67" s="33" t="s">
        <v>118</v>
      </c>
      <c r="F67" s="33" t="str">
        <f t="shared" si="2"/>
        <v>rtdc.l.rtdc.4044:itc</v>
      </c>
      <c r="G67" s="8">
        <f t="shared" si="3"/>
        <v>42559.175821759258</v>
      </c>
    </row>
    <row r="68" spans="1:7" x14ac:dyDescent="0.25">
      <c r="A68" s="8">
        <v>42558.360694444447</v>
      </c>
      <c r="B68" s="33" t="s">
        <v>193</v>
      </c>
      <c r="C68" s="33" t="s">
        <v>613</v>
      </c>
      <c r="D68" s="33">
        <v>1460000</v>
      </c>
      <c r="E68" s="33" t="s">
        <v>119</v>
      </c>
      <c r="F68" s="33" t="str">
        <f t="shared" si="2"/>
        <v>rtdc.l.rtdc.4039:itc</v>
      </c>
      <c r="G68" s="8">
        <f t="shared" si="3"/>
        <v>42558.360694444447</v>
      </c>
    </row>
    <row r="69" spans="1:7" x14ac:dyDescent="0.25">
      <c r="A69" s="8">
        <v>42559.207048611112</v>
      </c>
      <c r="B69" s="33" t="s">
        <v>79</v>
      </c>
      <c r="C69" s="33" t="s">
        <v>706</v>
      </c>
      <c r="D69" s="33">
        <v>1340000</v>
      </c>
      <c r="E69" s="33" t="s">
        <v>149</v>
      </c>
      <c r="F69" s="33" t="str">
        <f t="shared" si="2"/>
        <v>rtdc.l.rtdc.4031:itc</v>
      </c>
      <c r="G69" s="8">
        <f t="shared" si="3"/>
        <v>42559.207048611112</v>
      </c>
    </row>
    <row r="70" spans="1:7" x14ac:dyDescent="0.25">
      <c r="A70" s="8">
        <v>42558.717685185184</v>
      </c>
      <c r="B70" s="33" t="s">
        <v>130</v>
      </c>
      <c r="C70" s="33" t="s">
        <v>535</v>
      </c>
      <c r="D70" s="33">
        <v>2020000</v>
      </c>
      <c r="E70" s="33" t="s">
        <v>215</v>
      </c>
      <c r="F70" s="33" t="str">
        <f t="shared" si="2"/>
        <v>rtdc.l.rtdc.4014:itc</v>
      </c>
      <c r="G70" s="8">
        <f t="shared" si="3"/>
        <v>42558.717685185184</v>
      </c>
    </row>
    <row r="71" spans="1:7" x14ac:dyDescent="0.25">
      <c r="A71" s="8">
        <v>42558.797291666669</v>
      </c>
      <c r="B71" s="33" t="s">
        <v>134</v>
      </c>
      <c r="C71" s="33" t="s">
        <v>552</v>
      </c>
      <c r="D71" s="33">
        <v>1820000</v>
      </c>
      <c r="E71" s="33" t="s">
        <v>109</v>
      </c>
      <c r="F71" s="33" t="str">
        <f t="shared" si="2"/>
        <v>rtdc.l.rtdc.4037:itc</v>
      </c>
      <c r="G71" s="8">
        <f t="shared" si="3"/>
        <v>42558.797291666669</v>
      </c>
    </row>
    <row r="72" spans="1:7" x14ac:dyDescent="0.25">
      <c r="A72" s="8">
        <v>42558.626122685186</v>
      </c>
      <c r="B72" s="33" t="s">
        <v>69</v>
      </c>
      <c r="C72" s="33" t="s">
        <v>498</v>
      </c>
      <c r="D72" s="33">
        <v>880000</v>
      </c>
      <c r="E72" s="33" t="s">
        <v>147</v>
      </c>
      <c r="F72" s="33" t="str">
        <f t="shared" si="2"/>
        <v>rtdc.l.rtdc.4032:itc</v>
      </c>
      <c r="G72" s="8">
        <f t="shared" si="3"/>
        <v>42558.626122685186</v>
      </c>
    </row>
    <row r="73" spans="1:7" x14ac:dyDescent="0.25">
      <c r="A73" s="8">
        <v>42558.843009259261</v>
      </c>
      <c r="B73" s="33" t="s">
        <v>69</v>
      </c>
      <c r="C73" s="33" t="s">
        <v>561</v>
      </c>
      <c r="D73" s="33">
        <v>1990000</v>
      </c>
      <c r="E73" s="33" t="s">
        <v>279</v>
      </c>
      <c r="F73" s="33" t="str">
        <f t="shared" si="2"/>
        <v>rtdc.l.rtdc.4032:itc</v>
      </c>
      <c r="G73" s="8">
        <f t="shared" si="3"/>
        <v>42558.843009259261</v>
      </c>
    </row>
    <row r="74" spans="1:7" x14ac:dyDescent="0.25">
      <c r="A74" s="8">
        <v>42558.57476851852</v>
      </c>
      <c r="B74" s="33" t="s">
        <v>134</v>
      </c>
      <c r="C74" s="33" t="s">
        <v>480</v>
      </c>
      <c r="D74" s="33">
        <v>1090000</v>
      </c>
      <c r="E74" s="33" t="s">
        <v>142</v>
      </c>
      <c r="F74" s="33" t="str">
        <f t="shared" si="2"/>
        <v>rtdc.l.rtdc.4037:itc</v>
      </c>
      <c r="G74" s="8">
        <f t="shared" si="3"/>
        <v>42558.57476851852</v>
      </c>
    </row>
    <row r="75" spans="1:7" x14ac:dyDescent="0.25">
      <c r="A75" s="8">
        <v>42559.187476851854</v>
      </c>
      <c r="B75" s="33" t="s">
        <v>165</v>
      </c>
      <c r="C75" s="33" t="s">
        <v>707</v>
      </c>
      <c r="D75" s="33">
        <v>1110000</v>
      </c>
      <c r="E75" s="33" t="s">
        <v>222</v>
      </c>
      <c r="F75" s="33" t="str">
        <f t="shared" si="2"/>
        <v>rtdc.l.rtdc.4040:itc</v>
      </c>
      <c r="G75" s="8">
        <f t="shared" si="3"/>
        <v>42559.187476851854</v>
      </c>
    </row>
    <row r="76" spans="1:7" x14ac:dyDescent="0.25">
      <c r="A76" s="8">
        <v>42558.339791666665</v>
      </c>
      <c r="B76" s="33" t="s">
        <v>69</v>
      </c>
      <c r="C76" s="33" t="s">
        <v>412</v>
      </c>
      <c r="D76" s="33">
        <v>1310000</v>
      </c>
      <c r="E76" s="33" t="s">
        <v>120</v>
      </c>
      <c r="F76" s="33" t="str">
        <f t="shared" si="2"/>
        <v>rtdc.l.rtdc.4032:itc</v>
      </c>
      <c r="G76" s="8">
        <f t="shared" si="3"/>
        <v>42558.339791666665</v>
      </c>
    </row>
    <row r="77" spans="1:7" x14ac:dyDescent="0.25">
      <c r="A77" s="8">
        <v>42558.755682870367</v>
      </c>
      <c r="B77" s="33" t="s">
        <v>131</v>
      </c>
      <c r="C77" s="33" t="s">
        <v>537</v>
      </c>
      <c r="D77" s="33">
        <v>2020000</v>
      </c>
      <c r="E77" s="33" t="s">
        <v>215</v>
      </c>
      <c r="F77" s="33" t="str">
        <f t="shared" si="2"/>
        <v>rtdc.l.rtdc.4013:itc</v>
      </c>
      <c r="G77" s="8">
        <f t="shared" si="3"/>
        <v>42558.755682870367</v>
      </c>
    </row>
    <row r="78" spans="1:7" x14ac:dyDescent="0.25">
      <c r="A78" s="8">
        <v>42558.663888888892</v>
      </c>
      <c r="B78" s="33" t="s">
        <v>79</v>
      </c>
      <c r="C78" s="33" t="s">
        <v>521</v>
      </c>
      <c r="D78" s="33">
        <v>880000</v>
      </c>
      <c r="E78" s="33" t="s">
        <v>147</v>
      </c>
      <c r="F78" s="33" t="str">
        <f t="shared" si="2"/>
        <v>rtdc.l.rtdc.4031:itc</v>
      </c>
      <c r="G78" s="8">
        <f t="shared" si="3"/>
        <v>42558.663888888892</v>
      </c>
    </row>
    <row r="79" spans="1:7" x14ac:dyDescent="0.25">
      <c r="A79" s="8">
        <v>42559.217662037037</v>
      </c>
      <c r="B79" s="33" t="s">
        <v>69</v>
      </c>
      <c r="C79" s="33" t="s">
        <v>708</v>
      </c>
      <c r="D79" s="33">
        <v>1340000</v>
      </c>
      <c r="E79" s="33" t="s">
        <v>149</v>
      </c>
      <c r="F79" s="33" t="str">
        <f t="shared" si="2"/>
        <v>rtdc.l.rtdc.4032:itc</v>
      </c>
      <c r="G79" s="8">
        <f t="shared" si="3"/>
        <v>42559.217662037037</v>
      </c>
    </row>
    <row r="80" spans="1:7" x14ac:dyDescent="0.25">
      <c r="A80" s="8">
        <v>42558.661550925928</v>
      </c>
      <c r="B80" s="33" t="s">
        <v>77</v>
      </c>
      <c r="C80" s="33" t="s">
        <v>508</v>
      </c>
      <c r="D80" s="33">
        <v>2000000</v>
      </c>
      <c r="E80" s="33" t="s">
        <v>218</v>
      </c>
      <c r="F80" s="33" t="str">
        <f t="shared" si="2"/>
        <v>rtdc.l.rtdc.4017:itc</v>
      </c>
      <c r="G80" s="8">
        <f t="shared" si="3"/>
        <v>42558.661550925928</v>
      </c>
    </row>
    <row r="81" spans="1:7" x14ac:dyDescent="0.25">
      <c r="A81" s="8">
        <v>42559.239618055559</v>
      </c>
      <c r="B81" s="33" t="s">
        <v>79</v>
      </c>
      <c r="C81" s="33" t="s">
        <v>709</v>
      </c>
      <c r="D81" s="33">
        <v>1340000</v>
      </c>
      <c r="E81" s="33" t="s">
        <v>149</v>
      </c>
      <c r="F81" s="33" t="str">
        <f t="shared" si="2"/>
        <v>rtdc.l.rtdc.4031:itc</v>
      </c>
      <c r="G81" s="8">
        <f t="shared" si="3"/>
        <v>42559.239618055559</v>
      </c>
    </row>
    <row r="82" spans="1:7" x14ac:dyDescent="0.25">
      <c r="A82" s="8">
        <v>42558.654456018521</v>
      </c>
      <c r="B82" s="33" t="s">
        <v>155</v>
      </c>
      <c r="C82" s="33" t="s">
        <v>516</v>
      </c>
      <c r="D82" s="33">
        <v>1740000</v>
      </c>
      <c r="E82" s="33" t="s">
        <v>216</v>
      </c>
      <c r="F82" s="33" t="str">
        <f t="shared" si="2"/>
        <v>rtdc.l.rtdc.4044:itc</v>
      </c>
      <c r="G82" s="8">
        <f t="shared" si="3"/>
        <v>42558.654456018521</v>
      </c>
    </row>
    <row r="83" spans="1:7" x14ac:dyDescent="0.25">
      <c r="A83" s="8">
        <v>42559.276388888888</v>
      </c>
      <c r="B83" s="33" t="s">
        <v>123</v>
      </c>
      <c r="C83" s="33" t="s">
        <v>710</v>
      </c>
      <c r="D83" s="33">
        <v>2040000</v>
      </c>
      <c r="E83" s="33" t="s">
        <v>265</v>
      </c>
      <c r="F83" s="33" t="str">
        <f t="shared" si="2"/>
        <v>rtdc.l.rtdc.4011:itc</v>
      </c>
      <c r="G83" s="8">
        <f t="shared" si="3"/>
        <v>42559.276388888888</v>
      </c>
    </row>
    <row r="84" spans="1:7" x14ac:dyDescent="0.25">
      <c r="A84" s="8">
        <v>42558.623101851852</v>
      </c>
      <c r="B84" s="33" t="s">
        <v>76</v>
      </c>
      <c r="C84" s="33" t="s">
        <v>507</v>
      </c>
      <c r="D84" s="33">
        <v>2000000</v>
      </c>
      <c r="E84" s="33" t="s">
        <v>218</v>
      </c>
      <c r="F84" s="33" t="str">
        <f t="shared" si="2"/>
        <v>rtdc.l.rtdc.4018:itc</v>
      </c>
      <c r="G84" s="8">
        <f t="shared" si="3"/>
        <v>42558.623101851852</v>
      </c>
    </row>
    <row r="85" spans="1:7" x14ac:dyDescent="0.25">
      <c r="A85" s="8">
        <v>42558.782233796293</v>
      </c>
      <c r="B85" s="33" t="s">
        <v>132</v>
      </c>
      <c r="C85" s="33" t="s">
        <v>673</v>
      </c>
      <c r="D85" s="33">
        <v>1780000</v>
      </c>
      <c r="E85" s="33" t="s">
        <v>164</v>
      </c>
      <c r="F85" s="33" t="str">
        <f t="shared" si="2"/>
        <v>rtdc.l.rtdc.4025:itc</v>
      </c>
      <c r="G85" s="8">
        <f t="shared" si="3"/>
        <v>42558.782233796293</v>
      </c>
    </row>
    <row r="86" spans="1:7" x14ac:dyDescent="0.25">
      <c r="A86" s="8">
        <v>42558.557569444441</v>
      </c>
      <c r="B86" s="33" t="s">
        <v>123</v>
      </c>
      <c r="C86" s="33" t="s">
        <v>484</v>
      </c>
      <c r="D86" s="33">
        <v>1290000</v>
      </c>
      <c r="E86" s="33" t="s">
        <v>196</v>
      </c>
      <c r="F86" s="33" t="str">
        <f t="shared" si="2"/>
        <v>rtdc.l.rtdc.4011:itc</v>
      </c>
      <c r="G86" s="8">
        <f t="shared" si="3"/>
        <v>42558.557569444441</v>
      </c>
    </row>
    <row r="87" spans="1:7" x14ac:dyDescent="0.25">
      <c r="A87" s="8">
        <v>42558.805150462962</v>
      </c>
      <c r="B87" s="33" t="s">
        <v>165</v>
      </c>
      <c r="C87" s="33" t="s">
        <v>678</v>
      </c>
      <c r="D87" s="33">
        <v>1520000</v>
      </c>
      <c r="E87" s="33" t="s">
        <v>148</v>
      </c>
      <c r="F87" s="33" t="str">
        <f t="shared" si="2"/>
        <v>rtdc.l.rtdc.4040:itc</v>
      </c>
      <c r="G87" s="8">
        <f t="shared" si="3"/>
        <v>42558.805150462962</v>
      </c>
    </row>
    <row r="88" spans="1:7" x14ac:dyDescent="0.25">
      <c r="A88" s="8">
        <v>42558.547835648147</v>
      </c>
      <c r="B88" s="33" t="s">
        <v>76</v>
      </c>
      <c r="C88" s="33" t="s">
        <v>482</v>
      </c>
      <c r="D88" s="33">
        <v>2000000</v>
      </c>
      <c r="E88" s="33" t="s">
        <v>218</v>
      </c>
      <c r="F88" s="33" t="str">
        <f t="shared" si="2"/>
        <v>rtdc.l.rtdc.4018:itc</v>
      </c>
      <c r="G88" s="8">
        <f t="shared" si="3"/>
        <v>42558.547835648147</v>
      </c>
    </row>
    <row r="89" spans="1:7" x14ac:dyDescent="0.25">
      <c r="A89" s="8">
        <v>42558.858495370368</v>
      </c>
      <c r="B89" s="33" t="s">
        <v>193</v>
      </c>
      <c r="C89" s="33" t="s">
        <v>680</v>
      </c>
      <c r="D89" s="33">
        <v>1520000</v>
      </c>
      <c r="E89" s="33" t="s">
        <v>148</v>
      </c>
      <c r="F89" s="33" t="str">
        <f t="shared" si="2"/>
        <v>rtdc.l.rtdc.4039:itc</v>
      </c>
      <c r="G89" s="8">
        <f t="shared" si="3"/>
        <v>42558.858495370368</v>
      </c>
    </row>
    <row r="90" spans="1:7" x14ac:dyDescent="0.25">
      <c r="A90" s="8">
        <v>42558.534363425926</v>
      </c>
      <c r="B90" s="33" t="s">
        <v>158</v>
      </c>
      <c r="C90" s="33" t="s">
        <v>467</v>
      </c>
      <c r="D90" s="33">
        <v>900000</v>
      </c>
      <c r="E90" s="33" t="s">
        <v>141</v>
      </c>
      <c r="F90" s="33" t="str">
        <f t="shared" si="2"/>
        <v>rtdc.l.rtdc.4008:itc</v>
      </c>
      <c r="G90" s="8">
        <f t="shared" si="3"/>
        <v>42558.534363425926</v>
      </c>
    </row>
    <row r="91" spans="1:7" x14ac:dyDescent="0.25">
      <c r="A91" s="8">
        <v>42558.955520833333</v>
      </c>
      <c r="B91" s="33" t="s">
        <v>130</v>
      </c>
      <c r="C91" s="33" t="s">
        <v>583</v>
      </c>
      <c r="D91" s="33">
        <v>2020000</v>
      </c>
      <c r="E91" s="33" t="s">
        <v>215</v>
      </c>
      <c r="F91" s="33" t="str">
        <f t="shared" si="2"/>
        <v>rtdc.l.rtdc.4014:itc</v>
      </c>
      <c r="G91" s="8">
        <f t="shared" si="3"/>
        <v>42558.955520833333</v>
      </c>
    </row>
    <row r="92" spans="1:7" x14ac:dyDescent="0.25">
      <c r="A92" s="8">
        <v>42558.49795138889</v>
      </c>
      <c r="B92" s="33" t="s">
        <v>162</v>
      </c>
      <c r="C92" s="33" t="s">
        <v>465</v>
      </c>
      <c r="D92" s="33">
        <v>900000</v>
      </c>
      <c r="E92" s="33" t="s">
        <v>141</v>
      </c>
      <c r="F92" s="33" t="str">
        <f t="shared" si="2"/>
        <v>rtdc.l.rtdc.4007:itc</v>
      </c>
      <c r="G92" s="8">
        <f t="shared" si="3"/>
        <v>42558.49795138889</v>
      </c>
    </row>
    <row r="93" spans="1:7" x14ac:dyDescent="0.25">
      <c r="A93" s="8">
        <v>42559.206273148149</v>
      </c>
      <c r="B93" s="33" t="s">
        <v>123</v>
      </c>
      <c r="C93" s="33" t="s">
        <v>711</v>
      </c>
      <c r="D93" s="33">
        <v>2040000</v>
      </c>
      <c r="E93" s="33" t="s">
        <v>265</v>
      </c>
      <c r="F93" s="33" t="str">
        <f t="shared" si="2"/>
        <v>rtdc.l.rtdc.4011:itc</v>
      </c>
      <c r="G93" s="8">
        <f t="shared" si="3"/>
        <v>42559.206273148149</v>
      </c>
    </row>
    <row r="94" spans="1:7" x14ac:dyDescent="0.25">
      <c r="A94" s="8">
        <v>42558.359409722223</v>
      </c>
      <c r="B94" s="33" t="s">
        <v>155</v>
      </c>
      <c r="C94" s="33" t="s">
        <v>427</v>
      </c>
      <c r="D94" s="33">
        <v>1840000</v>
      </c>
      <c r="E94" s="33" t="s">
        <v>118</v>
      </c>
      <c r="F94" s="33" t="str">
        <f t="shared" si="2"/>
        <v>rtdc.l.rtdc.4044:itc</v>
      </c>
      <c r="G94" s="8">
        <f t="shared" si="3"/>
        <v>42558.359409722223</v>
      </c>
    </row>
    <row r="95" spans="1:7" x14ac:dyDescent="0.25">
      <c r="A95" s="8">
        <v>42557.864768518521</v>
      </c>
      <c r="B95" s="33" t="s">
        <v>123</v>
      </c>
      <c r="C95" s="33" t="s">
        <v>277</v>
      </c>
      <c r="D95" s="33">
        <v>1280000</v>
      </c>
      <c r="E95" s="33" t="s">
        <v>135</v>
      </c>
      <c r="F95" s="33" t="str">
        <f t="shared" si="2"/>
        <v>rtdc.l.rtdc.4011:itc</v>
      </c>
      <c r="G95" s="8">
        <f t="shared" si="3"/>
        <v>42557.864768518521</v>
      </c>
    </row>
    <row r="96" spans="1:7" x14ac:dyDescent="0.25">
      <c r="A96" s="8">
        <v>42558.31627314815</v>
      </c>
      <c r="B96" s="33" t="s">
        <v>158</v>
      </c>
      <c r="C96" s="33" t="s">
        <v>407</v>
      </c>
      <c r="D96" s="33">
        <v>2040000</v>
      </c>
      <c r="E96" s="33" t="s">
        <v>265</v>
      </c>
      <c r="F96" s="33" t="str">
        <f t="shared" si="2"/>
        <v>rtdc.l.rtdc.4008:itc</v>
      </c>
      <c r="G96" s="8">
        <f t="shared" si="3"/>
        <v>42558.31627314815</v>
      </c>
    </row>
    <row r="97" spans="1:7" x14ac:dyDescent="0.25">
      <c r="A97" s="8">
        <v>42557.930949074071</v>
      </c>
      <c r="B97" s="33" t="s">
        <v>165</v>
      </c>
      <c r="C97" s="33" t="s">
        <v>284</v>
      </c>
      <c r="D97" s="33">
        <v>1240000</v>
      </c>
      <c r="E97" s="33" t="s">
        <v>161</v>
      </c>
      <c r="F97" s="33" t="str">
        <f t="shared" si="2"/>
        <v>rtdc.l.rtdc.4040:itc</v>
      </c>
      <c r="G97" s="8">
        <f t="shared" si="3"/>
        <v>42557.930949074071</v>
      </c>
    </row>
    <row r="98" spans="1:7" x14ac:dyDescent="0.25">
      <c r="A98" s="8">
        <v>42558.296736111108</v>
      </c>
      <c r="B98" s="33" t="s">
        <v>129</v>
      </c>
      <c r="C98" s="33" t="s">
        <v>276</v>
      </c>
      <c r="D98" s="33">
        <v>1340000</v>
      </c>
      <c r="E98" s="33" t="s">
        <v>149</v>
      </c>
      <c r="F98" s="33" t="str">
        <f t="shared" si="2"/>
        <v>rtdc.l.rtdc.4026:itc</v>
      </c>
      <c r="G98" s="8">
        <f t="shared" si="3"/>
        <v>42558.296736111108</v>
      </c>
    </row>
    <row r="99" spans="1:7" x14ac:dyDescent="0.25">
      <c r="A99" s="8">
        <v>42558.130416666667</v>
      </c>
      <c r="B99" s="33" t="s">
        <v>162</v>
      </c>
      <c r="C99" s="33" t="s">
        <v>283</v>
      </c>
      <c r="D99" s="33">
        <v>1840000</v>
      </c>
      <c r="E99" s="33" t="s">
        <v>118</v>
      </c>
      <c r="F99" s="33" t="str">
        <f t="shared" si="2"/>
        <v>rtdc.l.rtdc.4007:itc</v>
      </c>
      <c r="G99" s="8">
        <f t="shared" si="3"/>
        <v>42558.130416666667</v>
      </c>
    </row>
    <row r="100" spans="1:7" x14ac:dyDescent="0.25">
      <c r="A100" s="8">
        <v>42558.735231481478</v>
      </c>
      <c r="B100" s="33" t="s">
        <v>193</v>
      </c>
      <c r="C100" s="33" t="s">
        <v>661</v>
      </c>
      <c r="D100" s="33">
        <v>1520000</v>
      </c>
      <c r="E100" s="33" t="s">
        <v>148</v>
      </c>
      <c r="F100" s="33" t="str">
        <f t="shared" si="2"/>
        <v>rtdc.l.rtdc.4039:itc</v>
      </c>
      <c r="G100" s="8">
        <f t="shared" si="3"/>
        <v>42558.735231481478</v>
      </c>
    </row>
    <row r="101" spans="1:7" x14ac:dyDescent="0.25">
      <c r="A101" s="8">
        <v>42558.257916666669</v>
      </c>
      <c r="B101" s="33" t="s">
        <v>76</v>
      </c>
      <c r="C101" s="33" t="s">
        <v>292</v>
      </c>
      <c r="D101" s="33">
        <v>2030000</v>
      </c>
      <c r="E101" s="33" t="s">
        <v>217</v>
      </c>
      <c r="F101" s="33" t="str">
        <f t="shared" si="2"/>
        <v>rtdc.l.rtdc.4018:itc</v>
      </c>
      <c r="G101" s="8">
        <f t="shared" si="3"/>
        <v>42558.257916666669</v>
      </c>
    </row>
    <row r="102" spans="1:7" x14ac:dyDescent="0.25">
      <c r="A102" s="8">
        <v>42558.677743055552</v>
      </c>
      <c r="B102" s="33" t="s">
        <v>165</v>
      </c>
      <c r="C102" s="33" t="s">
        <v>649</v>
      </c>
      <c r="D102" s="33">
        <v>1520000</v>
      </c>
      <c r="E102" s="33" t="s">
        <v>148</v>
      </c>
      <c r="F102" s="33" t="str">
        <f t="shared" si="2"/>
        <v>rtdc.l.rtdc.4040:itc</v>
      </c>
      <c r="G102" s="8">
        <f t="shared" si="3"/>
        <v>42558.677743055552</v>
      </c>
    </row>
    <row r="103" spans="1:7" x14ac:dyDescent="0.25">
      <c r="A103" s="8">
        <v>42558.275960648149</v>
      </c>
      <c r="B103" s="33" t="s">
        <v>162</v>
      </c>
      <c r="C103" s="33" t="s">
        <v>293</v>
      </c>
      <c r="D103" s="33">
        <v>2040000</v>
      </c>
      <c r="E103" s="33" t="s">
        <v>265</v>
      </c>
      <c r="F103" s="33" t="str">
        <f t="shared" si="2"/>
        <v>rtdc.l.rtdc.4007:itc</v>
      </c>
      <c r="G103" s="8">
        <f t="shared" si="3"/>
        <v>42558.275960648149</v>
      </c>
    </row>
    <row r="104" spans="1:7" x14ac:dyDescent="0.25">
      <c r="A104" s="8">
        <v>42558.525034722225</v>
      </c>
      <c r="B104" s="33" t="s">
        <v>124</v>
      </c>
      <c r="C104" s="33" t="s">
        <v>462</v>
      </c>
      <c r="D104" s="33">
        <v>1290000</v>
      </c>
      <c r="E104" s="33" t="s">
        <v>196</v>
      </c>
      <c r="F104" s="33" t="str">
        <f t="shared" si="2"/>
        <v>rtdc.l.rtdc.4012:itc</v>
      </c>
      <c r="G104" s="8">
        <f t="shared" si="3"/>
        <v>42558.525034722225</v>
      </c>
    </row>
    <row r="105" spans="1:7" x14ac:dyDescent="0.25">
      <c r="A105" s="8">
        <v>42558.311759259261</v>
      </c>
      <c r="B105" s="33" t="s">
        <v>138</v>
      </c>
      <c r="C105" s="33" t="s">
        <v>413</v>
      </c>
      <c r="D105" s="33">
        <v>1110000</v>
      </c>
      <c r="E105" s="33" t="s">
        <v>222</v>
      </c>
      <c r="F105" s="33" t="str">
        <f t="shared" si="2"/>
        <v>rtdc.l.rtdc.4027:itc</v>
      </c>
      <c r="G105" s="8">
        <f t="shared" si="3"/>
        <v>42558.311759259261</v>
      </c>
    </row>
    <row r="106" spans="1:7" x14ac:dyDescent="0.25">
      <c r="A106" s="8">
        <v>42558.518564814818</v>
      </c>
      <c r="B106" s="33" t="s">
        <v>79</v>
      </c>
      <c r="C106" s="33" t="s">
        <v>473</v>
      </c>
      <c r="D106" s="33">
        <v>880000</v>
      </c>
      <c r="E106" s="33" t="s">
        <v>147</v>
      </c>
      <c r="F106" s="33" t="str">
        <f t="shared" si="2"/>
        <v>rtdc.l.rtdc.4031:itc</v>
      </c>
      <c r="G106" s="8">
        <f t="shared" si="3"/>
        <v>42558.518564814818</v>
      </c>
    </row>
    <row r="107" spans="1:7" x14ac:dyDescent="0.25">
      <c r="A107" s="8">
        <v>42558.346597222226</v>
      </c>
      <c r="B107" s="33" t="s">
        <v>133</v>
      </c>
      <c r="C107" s="33" t="s">
        <v>415</v>
      </c>
      <c r="D107" s="33">
        <v>1110000</v>
      </c>
      <c r="E107" s="33" t="s">
        <v>222</v>
      </c>
      <c r="F107" s="33" t="str">
        <f t="shared" si="2"/>
        <v>rtdc.l.rtdc.4028:itc</v>
      </c>
      <c r="G107" s="8">
        <f t="shared" si="3"/>
        <v>42558.346597222226</v>
      </c>
    </row>
    <row r="108" spans="1:7" x14ac:dyDescent="0.25">
      <c r="A108" s="8">
        <v>42558.515787037039</v>
      </c>
      <c r="B108" s="33" t="s">
        <v>134</v>
      </c>
      <c r="C108" s="33" t="s">
        <v>456</v>
      </c>
      <c r="D108" s="33">
        <v>1090000</v>
      </c>
      <c r="E108" s="33" t="s">
        <v>142</v>
      </c>
      <c r="F108" s="33" t="str">
        <f t="shared" si="2"/>
        <v>rtdc.l.rtdc.4037:itc</v>
      </c>
      <c r="G108" s="8">
        <f t="shared" si="3"/>
        <v>42558.515787037039</v>
      </c>
    </row>
    <row r="109" spans="1:7" x14ac:dyDescent="0.25">
      <c r="A109" s="8">
        <v>42558.374097222222</v>
      </c>
      <c r="B109" s="33" t="s">
        <v>79</v>
      </c>
      <c r="C109" s="33" t="s">
        <v>431</v>
      </c>
      <c r="D109" s="33">
        <v>1310000</v>
      </c>
      <c r="E109" s="33" t="s">
        <v>120</v>
      </c>
      <c r="F109" s="33" t="str">
        <f t="shared" si="2"/>
        <v>rtdc.l.rtdc.4031:itc</v>
      </c>
      <c r="G109" s="8">
        <f t="shared" si="3"/>
        <v>42558.374097222222</v>
      </c>
    </row>
    <row r="110" spans="1:7" x14ac:dyDescent="0.25">
      <c r="A110" s="8">
        <v>42558.456944444442</v>
      </c>
      <c r="B110" s="33" t="s">
        <v>138</v>
      </c>
      <c r="C110" s="33" t="s">
        <v>452</v>
      </c>
      <c r="D110" s="33">
        <v>1310000</v>
      </c>
      <c r="E110" s="33" t="s">
        <v>120</v>
      </c>
      <c r="F110" s="33" t="str">
        <f t="shared" si="2"/>
        <v>rtdc.l.rtdc.4027:itc</v>
      </c>
      <c r="G110" s="8">
        <f t="shared" si="3"/>
        <v>42558.456944444442</v>
      </c>
    </row>
    <row r="111" spans="1:7" x14ac:dyDescent="0.25">
      <c r="A111" s="8">
        <v>42557.997303240743</v>
      </c>
      <c r="B111" s="33" t="s">
        <v>132</v>
      </c>
      <c r="C111" s="33" t="s">
        <v>294</v>
      </c>
      <c r="D111" s="33">
        <v>1820000</v>
      </c>
      <c r="E111" s="33" t="s">
        <v>109</v>
      </c>
      <c r="F111" s="33" t="str">
        <f t="shared" si="2"/>
        <v>rtdc.l.rtdc.4025:itc</v>
      </c>
      <c r="G111" s="8">
        <f t="shared" si="3"/>
        <v>42557.997303240743</v>
      </c>
    </row>
    <row r="112" spans="1:7" x14ac:dyDescent="0.25">
      <c r="A112" s="8">
        <v>42558.378530092596</v>
      </c>
      <c r="B112" s="33" t="s">
        <v>165</v>
      </c>
      <c r="C112" s="33" t="s">
        <v>616</v>
      </c>
      <c r="D112" s="33">
        <v>1460000</v>
      </c>
      <c r="E112" s="33" t="s">
        <v>119</v>
      </c>
      <c r="F112" s="33" t="str">
        <f t="shared" si="2"/>
        <v>rtdc.l.rtdc.4040:itc</v>
      </c>
      <c r="G112" s="8">
        <f t="shared" si="3"/>
        <v>42558.378530092596</v>
      </c>
    </row>
    <row r="113" spans="1:7" x14ac:dyDescent="0.25">
      <c r="A113" s="8">
        <v>42558.227905092594</v>
      </c>
      <c r="B113" s="33" t="s">
        <v>138</v>
      </c>
      <c r="C113" s="33" t="s">
        <v>297</v>
      </c>
      <c r="D113" s="33">
        <v>1110000</v>
      </c>
      <c r="E113" s="33" t="s">
        <v>222</v>
      </c>
      <c r="F113" s="33" t="str">
        <f t="shared" si="2"/>
        <v>rtdc.l.rtdc.4027:itc</v>
      </c>
      <c r="G113" s="8">
        <f t="shared" si="3"/>
        <v>42558.227905092594</v>
      </c>
    </row>
    <row r="114" spans="1:7" x14ac:dyDescent="0.25">
      <c r="A114" s="8">
        <v>42558.327152777776</v>
      </c>
      <c r="B114" s="33" t="s">
        <v>76</v>
      </c>
      <c r="C114" s="33" t="s">
        <v>418</v>
      </c>
      <c r="D114" s="33">
        <v>2030000</v>
      </c>
      <c r="E114" s="33" t="s">
        <v>217</v>
      </c>
      <c r="F114" s="33" t="str">
        <f t="shared" si="2"/>
        <v>rtdc.l.rtdc.4018:itc</v>
      </c>
      <c r="G114" s="8">
        <f t="shared" si="3"/>
        <v>42558.327152777776</v>
      </c>
    </row>
    <row r="115" spans="1:7" x14ac:dyDescent="0.25">
      <c r="A115" s="8">
        <v>42558.171157407407</v>
      </c>
      <c r="B115" s="33" t="s">
        <v>159</v>
      </c>
      <c r="C115" s="33" t="s">
        <v>295</v>
      </c>
      <c r="D115" s="33">
        <v>1840000</v>
      </c>
      <c r="E115" s="33" t="s">
        <v>118</v>
      </c>
      <c r="F115" s="33" t="str">
        <f t="shared" si="2"/>
        <v>rtdc.l.rtdc.4043:itc</v>
      </c>
      <c r="G115" s="8">
        <f t="shared" si="3"/>
        <v>42558.171157407407</v>
      </c>
    </row>
    <row r="116" spans="1:7" x14ac:dyDescent="0.25">
      <c r="A116" s="8">
        <v>42558.106504629628</v>
      </c>
      <c r="B116" s="33" t="s">
        <v>219</v>
      </c>
      <c r="C116" s="33" t="s">
        <v>220</v>
      </c>
      <c r="D116" s="33">
        <v>0</v>
      </c>
      <c r="E116" s="33" t="s">
        <v>221</v>
      </c>
      <c r="F116" s="33" t="str">
        <f t="shared" si="2"/>
        <v>rtdc.l.rtdc.4005:itc</v>
      </c>
      <c r="G116" s="8">
        <f t="shared" si="3"/>
        <v>42558.106504629628</v>
      </c>
    </row>
    <row r="117" spans="1:7" x14ac:dyDescent="0.25">
      <c r="A117" s="8">
        <v>42558.171319444446</v>
      </c>
      <c r="B117" s="33" t="s">
        <v>117</v>
      </c>
      <c r="C117" s="33" t="s">
        <v>296</v>
      </c>
      <c r="D117" s="33">
        <v>1830000</v>
      </c>
      <c r="E117" s="33" t="s">
        <v>146</v>
      </c>
      <c r="F117" s="33" t="str">
        <f t="shared" si="2"/>
        <v>rtdc.l.rtdc.4038:itc</v>
      </c>
      <c r="G117" s="8">
        <f t="shared" si="3"/>
        <v>42558.171319444446</v>
      </c>
    </row>
    <row r="118" spans="1:7" x14ac:dyDescent="0.25">
      <c r="A118" s="8">
        <v>42558.03701388889</v>
      </c>
      <c r="B118" s="33" t="s">
        <v>129</v>
      </c>
      <c r="C118" s="33" t="s">
        <v>259</v>
      </c>
      <c r="D118" s="33">
        <v>1820000</v>
      </c>
      <c r="E118" s="33" t="s">
        <v>109</v>
      </c>
      <c r="F118" s="33" t="str">
        <f t="shared" si="2"/>
        <v>rtdc.l.rtdc.4026:itc</v>
      </c>
      <c r="G118" s="8">
        <f t="shared" si="3"/>
        <v>42558.03701388889</v>
      </c>
    </row>
    <row r="119" spans="1:7" x14ac:dyDescent="0.25">
      <c r="A119" s="8">
        <v>42558.277928240743</v>
      </c>
      <c r="B119" s="33" t="s">
        <v>193</v>
      </c>
      <c r="C119" s="33" t="s">
        <v>298</v>
      </c>
      <c r="D119" s="33">
        <v>1460000</v>
      </c>
      <c r="E119" s="33" t="s">
        <v>119</v>
      </c>
      <c r="F119" s="33" t="str">
        <f t="shared" si="2"/>
        <v>rtdc.l.rtdc.4039:itc</v>
      </c>
      <c r="G119" s="8">
        <f t="shared" si="3"/>
        <v>42558.277928240743</v>
      </c>
    </row>
    <row r="120" spans="1:7" x14ac:dyDescent="0.25">
      <c r="A120" s="8">
        <v>42557.970821759256</v>
      </c>
      <c r="B120" s="33" t="s">
        <v>76</v>
      </c>
      <c r="C120" s="33" t="s">
        <v>278</v>
      </c>
      <c r="D120" s="33">
        <v>1990000</v>
      </c>
      <c r="E120" s="33" t="s">
        <v>279</v>
      </c>
      <c r="F120" s="33" t="str">
        <f t="shared" si="2"/>
        <v>rtdc.l.rtdc.4018:itc</v>
      </c>
      <c r="G120" s="8">
        <f t="shared" si="3"/>
        <v>42557.970821759256</v>
      </c>
    </row>
    <row r="121" spans="1:7" x14ac:dyDescent="0.25">
      <c r="A121" s="8">
        <v>42558.349317129629</v>
      </c>
      <c r="B121" s="33" t="s">
        <v>134</v>
      </c>
      <c r="C121" s="33" t="s">
        <v>417</v>
      </c>
      <c r="D121" s="33">
        <v>1830000</v>
      </c>
      <c r="E121" s="33" t="s">
        <v>146</v>
      </c>
      <c r="F121" s="33" t="str">
        <f t="shared" si="2"/>
        <v>rtdc.l.rtdc.4037:itc</v>
      </c>
      <c r="G121" s="8">
        <f t="shared" si="3"/>
        <v>42558.349317129629</v>
      </c>
    </row>
    <row r="122" spans="1:7" x14ac:dyDescent="0.25">
      <c r="A122" s="8">
        <v>42557.952534722222</v>
      </c>
      <c r="B122" s="42" t="s">
        <v>129</v>
      </c>
      <c r="C122" s="33" t="s">
        <v>280</v>
      </c>
      <c r="D122" s="33">
        <v>1820000</v>
      </c>
      <c r="E122" s="33" t="s">
        <v>109</v>
      </c>
      <c r="F122" s="33" t="str">
        <f t="shared" si="2"/>
        <v>rtdc.l.rtdc.4026:itc</v>
      </c>
      <c r="G122" s="8">
        <f t="shared" si="3"/>
        <v>42557.952534722222</v>
      </c>
    </row>
    <row r="123" spans="1:7" x14ac:dyDescent="0.25">
      <c r="A123" s="8">
        <v>42558.399155092593</v>
      </c>
      <c r="B123" s="33" t="s">
        <v>159</v>
      </c>
      <c r="C123" s="33" t="s">
        <v>428</v>
      </c>
      <c r="D123" s="33">
        <v>1840000</v>
      </c>
      <c r="E123" s="33" t="s">
        <v>118</v>
      </c>
      <c r="F123" s="33" t="str">
        <f t="shared" si="2"/>
        <v>rtdc.l.rtdc.4043:itc</v>
      </c>
      <c r="G123" s="8">
        <f t="shared" si="3"/>
        <v>42558.399155092593</v>
      </c>
    </row>
    <row r="124" spans="1:7" x14ac:dyDescent="0.25">
      <c r="A124" s="8">
        <v>42557.7971875</v>
      </c>
      <c r="B124" s="33" t="s">
        <v>129</v>
      </c>
      <c r="C124" s="33" t="s">
        <v>281</v>
      </c>
      <c r="D124" s="33">
        <v>1820000</v>
      </c>
      <c r="E124" s="33" t="s">
        <v>109</v>
      </c>
      <c r="F124" s="33" t="str">
        <f t="shared" si="2"/>
        <v>rtdc.l.rtdc.4026:itc</v>
      </c>
      <c r="G124" s="8">
        <f t="shared" si="3"/>
        <v>42557.7971875</v>
      </c>
    </row>
    <row r="125" spans="1:7" x14ac:dyDescent="0.25">
      <c r="A125" s="8">
        <v>42558.422453703701</v>
      </c>
      <c r="B125" s="33" t="s">
        <v>134</v>
      </c>
      <c r="C125" s="33" t="s">
        <v>437</v>
      </c>
      <c r="D125" s="33">
        <v>1830000</v>
      </c>
      <c r="E125" s="33" t="s">
        <v>146</v>
      </c>
      <c r="F125" s="33" t="str">
        <f t="shared" si="2"/>
        <v>rtdc.l.rtdc.4037:itc</v>
      </c>
      <c r="G125" s="8">
        <f t="shared" si="3"/>
        <v>42558.422453703701</v>
      </c>
    </row>
    <row r="126" spans="1:7" x14ac:dyDescent="0.25">
      <c r="A126" s="8">
        <v>42557.994884259257</v>
      </c>
      <c r="B126" s="33" t="s">
        <v>124</v>
      </c>
      <c r="C126" s="33" t="s">
        <v>282</v>
      </c>
      <c r="D126" s="33">
        <v>1280000</v>
      </c>
      <c r="E126" s="33" t="s">
        <v>135</v>
      </c>
      <c r="F126" s="33" t="str">
        <f t="shared" si="2"/>
        <v>rtdc.l.rtdc.4012:itc</v>
      </c>
      <c r="G126" s="8">
        <f t="shared" si="3"/>
        <v>42557.994884259257</v>
      </c>
    </row>
    <row r="127" spans="1:7" x14ac:dyDescent="0.25">
      <c r="A127" s="8">
        <v>42558.426018518519</v>
      </c>
      <c r="B127" s="33" t="s">
        <v>133</v>
      </c>
      <c r="C127" s="33" t="s">
        <v>712</v>
      </c>
      <c r="D127" s="33">
        <v>1110000</v>
      </c>
      <c r="E127" s="33" t="s">
        <v>222</v>
      </c>
      <c r="F127" s="33" t="str">
        <f t="shared" si="2"/>
        <v>rtdc.l.rtdc.4028:itc</v>
      </c>
      <c r="G127" s="8">
        <f t="shared" si="3"/>
        <v>42558.426018518519</v>
      </c>
    </row>
    <row r="128" spans="1:7" x14ac:dyDescent="0.25">
      <c r="A128" s="8">
        <v>42557.900439814817</v>
      </c>
      <c r="B128" s="33" t="s">
        <v>134</v>
      </c>
      <c r="C128" s="33" t="s">
        <v>254</v>
      </c>
      <c r="D128" s="33">
        <v>1740000</v>
      </c>
      <c r="E128" s="33" t="s">
        <v>216</v>
      </c>
      <c r="F128" s="33" t="str">
        <f t="shared" si="2"/>
        <v>rtdc.l.rtdc.4037:itc</v>
      </c>
      <c r="G128" s="8">
        <f t="shared" si="3"/>
        <v>42557.900439814817</v>
      </c>
    </row>
    <row r="129" spans="1:7" x14ac:dyDescent="0.25">
      <c r="A129" s="8">
        <v>42558.691284722219</v>
      </c>
      <c r="B129" s="33" t="s">
        <v>193</v>
      </c>
      <c r="C129" s="33" t="s">
        <v>651</v>
      </c>
      <c r="D129" s="33">
        <v>1520000</v>
      </c>
      <c r="E129" s="33" t="s">
        <v>148</v>
      </c>
      <c r="F129" s="33" t="str">
        <f t="shared" si="2"/>
        <v>rtdc.l.rtdc.4039:itc</v>
      </c>
      <c r="G129" s="8">
        <f t="shared" si="3"/>
        <v>42558.691284722219</v>
      </c>
    </row>
    <row r="130" spans="1:7" x14ac:dyDescent="0.25">
      <c r="A130" s="8">
        <v>42558.129189814812</v>
      </c>
      <c r="B130" s="33" t="s">
        <v>162</v>
      </c>
      <c r="C130" s="33" t="s">
        <v>283</v>
      </c>
      <c r="D130" s="33">
        <v>1840000</v>
      </c>
      <c r="E130" s="33" t="s">
        <v>118</v>
      </c>
      <c r="F130" s="33" t="str">
        <f t="shared" ref="F130:F193" si="4">B130</f>
        <v>rtdc.l.rtdc.4007:itc</v>
      </c>
      <c r="G130" s="8">
        <f t="shared" ref="G130:G193" si="5">A130</f>
        <v>42558.129189814812</v>
      </c>
    </row>
    <row r="131" spans="1:7" x14ac:dyDescent="0.25">
      <c r="A131" s="8">
        <v>42558.755486111113</v>
      </c>
      <c r="B131" s="33" t="s">
        <v>129</v>
      </c>
      <c r="C131" s="33" t="s">
        <v>665</v>
      </c>
      <c r="D131" s="33">
        <v>1780000</v>
      </c>
      <c r="E131" s="33" t="s">
        <v>164</v>
      </c>
      <c r="F131" s="33" t="str">
        <f t="shared" si="4"/>
        <v>rtdc.l.rtdc.4026:itc</v>
      </c>
      <c r="G131" s="8">
        <f t="shared" si="5"/>
        <v>42558.755486111113</v>
      </c>
    </row>
    <row r="132" spans="1:7" x14ac:dyDescent="0.25">
      <c r="A132" s="8">
        <v>42557.846516203703</v>
      </c>
      <c r="B132" s="33" t="s">
        <v>69</v>
      </c>
      <c r="C132" s="33" t="s">
        <v>252</v>
      </c>
      <c r="D132" s="33">
        <v>1540000</v>
      </c>
      <c r="E132" s="33" t="s">
        <v>157</v>
      </c>
      <c r="F132" s="33" t="str">
        <f t="shared" si="4"/>
        <v>rtdc.l.rtdc.4032:itc</v>
      </c>
      <c r="G132" s="8">
        <f t="shared" si="5"/>
        <v>42557.846516203703</v>
      </c>
    </row>
    <row r="133" spans="1:7" x14ac:dyDescent="0.25">
      <c r="A133" s="8">
        <v>42558.845983796295</v>
      </c>
      <c r="B133" s="33" t="s">
        <v>165</v>
      </c>
      <c r="C133" s="33" t="s">
        <v>682</v>
      </c>
      <c r="D133" s="33">
        <v>1520000</v>
      </c>
      <c r="E133" s="33" t="s">
        <v>148</v>
      </c>
      <c r="F133" s="33" t="str">
        <f t="shared" si="4"/>
        <v>rtdc.l.rtdc.4040:itc</v>
      </c>
      <c r="G133" s="8">
        <f t="shared" si="5"/>
        <v>42558.845983796295</v>
      </c>
    </row>
    <row r="134" spans="1:7" x14ac:dyDescent="0.25">
      <c r="A134" s="8">
        <v>42557.787187499998</v>
      </c>
      <c r="B134" s="33" t="s">
        <v>131</v>
      </c>
      <c r="C134" s="33" t="s">
        <v>247</v>
      </c>
      <c r="D134" s="33">
        <v>1140000</v>
      </c>
      <c r="E134" s="33" t="s">
        <v>143</v>
      </c>
      <c r="F134" s="33" t="str">
        <f t="shared" si="4"/>
        <v>rtdc.l.rtdc.4013:itc</v>
      </c>
      <c r="G134" s="8">
        <f t="shared" si="5"/>
        <v>42557.787187499998</v>
      </c>
    </row>
    <row r="135" spans="1:7" x14ac:dyDescent="0.25">
      <c r="A135" s="8">
        <v>42558.848738425928</v>
      </c>
      <c r="B135" s="33" t="s">
        <v>76</v>
      </c>
      <c r="C135" s="33" t="s">
        <v>566</v>
      </c>
      <c r="D135" s="33">
        <v>1240000</v>
      </c>
      <c r="E135" s="33" t="s">
        <v>161</v>
      </c>
      <c r="F135" s="33" t="str">
        <f t="shared" si="4"/>
        <v>rtdc.l.rtdc.4018:itc</v>
      </c>
      <c r="G135" s="8">
        <f t="shared" si="5"/>
        <v>42558.848738425928</v>
      </c>
    </row>
    <row r="136" spans="1:7" x14ac:dyDescent="0.25">
      <c r="A136" s="8">
        <v>42558.286898148152</v>
      </c>
      <c r="B136" s="33" t="s">
        <v>77</v>
      </c>
      <c r="C136" s="33" t="s">
        <v>285</v>
      </c>
      <c r="D136" s="33">
        <v>2030000</v>
      </c>
      <c r="E136" s="33" t="s">
        <v>217</v>
      </c>
      <c r="F136" s="33" t="str">
        <f t="shared" si="4"/>
        <v>rtdc.l.rtdc.4017:itc</v>
      </c>
      <c r="G136" s="8">
        <f t="shared" si="5"/>
        <v>42558.286898148152</v>
      </c>
    </row>
    <row r="137" spans="1:7" x14ac:dyDescent="0.25">
      <c r="A137" s="8">
        <v>42559.011956018519</v>
      </c>
      <c r="B137" s="33" t="s">
        <v>69</v>
      </c>
      <c r="C137" s="33" t="s">
        <v>588</v>
      </c>
      <c r="D137" s="33">
        <v>1990000</v>
      </c>
      <c r="E137" s="33" t="s">
        <v>279</v>
      </c>
      <c r="F137" s="33" t="str">
        <f t="shared" si="4"/>
        <v>rtdc.l.rtdc.4032:itc</v>
      </c>
      <c r="G137" s="8">
        <f t="shared" si="5"/>
        <v>42559.011956018519</v>
      </c>
    </row>
    <row r="138" spans="1:7" x14ac:dyDescent="0.25">
      <c r="A138" s="8">
        <v>42558.27747685185</v>
      </c>
      <c r="B138" s="33" t="s">
        <v>134</v>
      </c>
      <c r="C138" s="33" t="s">
        <v>286</v>
      </c>
      <c r="D138" s="33">
        <v>1830000</v>
      </c>
      <c r="E138" s="33" t="s">
        <v>146</v>
      </c>
      <c r="F138" s="33" t="str">
        <f t="shared" si="4"/>
        <v>rtdc.l.rtdc.4037:itc</v>
      </c>
      <c r="G138" s="8">
        <f t="shared" si="5"/>
        <v>42558.27747685185</v>
      </c>
    </row>
    <row r="139" spans="1:7" x14ac:dyDescent="0.25">
      <c r="A139" s="8">
        <v>42559.193252314813</v>
      </c>
      <c r="B139" s="33" t="s">
        <v>129</v>
      </c>
      <c r="C139" s="33" t="s">
        <v>713</v>
      </c>
      <c r="D139" s="33">
        <v>1480000</v>
      </c>
      <c r="E139" s="33" t="s">
        <v>125</v>
      </c>
      <c r="F139" s="33" t="str">
        <f t="shared" si="4"/>
        <v>rtdc.l.rtdc.4026:itc</v>
      </c>
      <c r="G139" s="8">
        <f t="shared" si="5"/>
        <v>42559.193252314813</v>
      </c>
    </row>
    <row r="140" spans="1:7" x14ac:dyDescent="0.25">
      <c r="A140" s="8">
        <v>42558.209606481483</v>
      </c>
      <c r="B140" s="33" t="s">
        <v>162</v>
      </c>
      <c r="C140" s="33" t="s">
        <v>287</v>
      </c>
      <c r="D140" s="33">
        <v>2040000</v>
      </c>
      <c r="E140" s="33" t="s">
        <v>265</v>
      </c>
      <c r="F140" s="33" t="str">
        <f t="shared" si="4"/>
        <v>rtdc.l.rtdc.4007:itc</v>
      </c>
      <c r="G140" s="8">
        <f t="shared" si="5"/>
        <v>42558.209606481483</v>
      </c>
    </row>
    <row r="141" spans="1:7" x14ac:dyDescent="0.25">
      <c r="A141" s="8">
        <v>42559.217141203706</v>
      </c>
      <c r="B141" s="33" t="s">
        <v>69</v>
      </c>
      <c r="C141" s="33" t="s">
        <v>709</v>
      </c>
      <c r="D141" s="33">
        <v>1340000</v>
      </c>
      <c r="E141" s="33" t="s">
        <v>149</v>
      </c>
      <c r="F141" s="33" t="str">
        <f t="shared" si="4"/>
        <v>rtdc.l.rtdc.4032:itc</v>
      </c>
      <c r="G141" s="8">
        <f t="shared" si="5"/>
        <v>42559.217141203706</v>
      </c>
    </row>
    <row r="142" spans="1:7" x14ac:dyDescent="0.25">
      <c r="A142" s="8">
        <v>42558.200300925928</v>
      </c>
      <c r="B142" s="33" t="s">
        <v>132</v>
      </c>
      <c r="C142" s="33" t="s">
        <v>288</v>
      </c>
      <c r="D142" s="33">
        <v>1340000</v>
      </c>
      <c r="E142" s="33" t="s">
        <v>149</v>
      </c>
      <c r="F142" s="33" t="str">
        <f t="shared" si="4"/>
        <v>rtdc.l.rtdc.4025:itc</v>
      </c>
      <c r="G142" s="8">
        <f t="shared" si="5"/>
        <v>42558.200300925928</v>
      </c>
    </row>
    <row r="143" spans="1:7" x14ac:dyDescent="0.25">
      <c r="A143" s="8">
        <v>42559.234814814816</v>
      </c>
      <c r="B143" s="33" t="s">
        <v>131</v>
      </c>
      <c r="C143" s="33" t="s">
        <v>714</v>
      </c>
      <c r="D143" s="33">
        <v>1310000</v>
      </c>
      <c r="E143" s="33" t="s">
        <v>120</v>
      </c>
      <c r="F143" s="33" t="str">
        <f t="shared" si="4"/>
        <v>rtdc.l.rtdc.4013:itc</v>
      </c>
      <c r="G143" s="8">
        <f t="shared" si="5"/>
        <v>42559.234814814816</v>
      </c>
    </row>
    <row r="144" spans="1:7" x14ac:dyDescent="0.25">
      <c r="A144" s="8">
        <v>42558.154085648152</v>
      </c>
      <c r="B144" s="33" t="s">
        <v>79</v>
      </c>
      <c r="C144" s="33" t="s">
        <v>289</v>
      </c>
      <c r="D144" s="33">
        <v>1110000</v>
      </c>
      <c r="E144" s="33" t="s">
        <v>222</v>
      </c>
      <c r="F144" s="33" t="str">
        <f t="shared" si="4"/>
        <v>rtdc.l.rtdc.4031:itc</v>
      </c>
      <c r="G144" s="8">
        <f t="shared" si="5"/>
        <v>42558.154085648152</v>
      </c>
    </row>
    <row r="145" spans="1:7" x14ac:dyDescent="0.25">
      <c r="A145" s="8">
        <v>42558.466736111113</v>
      </c>
      <c r="B145" s="33" t="s">
        <v>165</v>
      </c>
      <c r="C145" s="33" t="s">
        <v>624</v>
      </c>
      <c r="D145" s="33">
        <v>1460000</v>
      </c>
      <c r="E145" s="33" t="s">
        <v>119</v>
      </c>
      <c r="F145" s="33" t="str">
        <f t="shared" si="4"/>
        <v>rtdc.l.rtdc.4040:itc</v>
      </c>
      <c r="G145" s="8">
        <f t="shared" si="5"/>
        <v>42558.466736111113</v>
      </c>
    </row>
    <row r="146" spans="1:7" x14ac:dyDescent="0.25">
      <c r="A146" s="8">
        <v>42558.013171296298</v>
      </c>
      <c r="B146" s="33" t="s">
        <v>77</v>
      </c>
      <c r="C146" s="33" t="s">
        <v>290</v>
      </c>
      <c r="D146" s="33">
        <v>1990000</v>
      </c>
      <c r="E146" s="33" t="s">
        <v>279</v>
      </c>
      <c r="F146" s="33" t="str">
        <f t="shared" si="4"/>
        <v>rtdc.l.rtdc.4017:itc</v>
      </c>
      <c r="G146" s="8">
        <f t="shared" si="5"/>
        <v>42558.013171296298</v>
      </c>
    </row>
    <row r="147" spans="1:7" x14ac:dyDescent="0.25">
      <c r="A147" s="8">
        <v>42558.761550925927</v>
      </c>
      <c r="B147" s="33" t="s">
        <v>159</v>
      </c>
      <c r="C147" s="33" t="s">
        <v>542</v>
      </c>
      <c r="D147" s="33">
        <v>1740000</v>
      </c>
      <c r="E147" s="33" t="s">
        <v>216</v>
      </c>
      <c r="F147" s="33" t="str">
        <f t="shared" si="4"/>
        <v>rtdc.l.rtdc.4043:itc</v>
      </c>
      <c r="G147" s="8">
        <f t="shared" si="5"/>
        <v>42558.761550925927</v>
      </c>
    </row>
    <row r="148" spans="1:7" x14ac:dyDescent="0.25">
      <c r="A148" s="8">
        <v>42557.95349537037</v>
      </c>
      <c r="B148" s="33" t="s">
        <v>123</v>
      </c>
      <c r="C148" s="33" t="s">
        <v>291</v>
      </c>
      <c r="D148" s="33">
        <v>1280000</v>
      </c>
      <c r="E148" s="33" t="s">
        <v>135</v>
      </c>
      <c r="F148" s="33" t="str">
        <f t="shared" si="4"/>
        <v>rtdc.l.rtdc.4011:itc</v>
      </c>
      <c r="G148" s="8">
        <f t="shared" si="5"/>
        <v>42557.95349537037</v>
      </c>
    </row>
    <row r="149" spans="1:7" x14ac:dyDescent="0.25">
      <c r="A149" s="8">
        <v>42558.460335648146</v>
      </c>
      <c r="B149" s="33" t="s">
        <v>158</v>
      </c>
      <c r="C149" s="33" t="s">
        <v>444</v>
      </c>
      <c r="D149" s="33">
        <v>900000</v>
      </c>
      <c r="E149" s="33" t="s">
        <v>141</v>
      </c>
      <c r="F149" s="33" t="str">
        <f t="shared" si="4"/>
        <v>rtdc.l.rtdc.4008:itc</v>
      </c>
      <c r="G149" s="8">
        <f t="shared" si="5"/>
        <v>42558.460335648146</v>
      </c>
    </row>
    <row r="150" spans="1:7" x14ac:dyDescent="0.25">
      <c r="A150" s="8">
        <v>42557.78979166667</v>
      </c>
      <c r="B150" s="33" t="s">
        <v>123</v>
      </c>
      <c r="C150" s="33" t="s">
        <v>261</v>
      </c>
      <c r="D150" s="33">
        <v>1280000</v>
      </c>
      <c r="E150" s="33" t="s">
        <v>135</v>
      </c>
      <c r="F150" s="33" t="str">
        <f t="shared" si="4"/>
        <v>rtdc.l.rtdc.4011:itc</v>
      </c>
      <c r="G150" s="8">
        <f t="shared" si="5"/>
        <v>42557.78979166667</v>
      </c>
    </row>
    <row r="151" spans="1:7" x14ac:dyDescent="0.25">
      <c r="A151" s="8">
        <v>42558.474537037036</v>
      </c>
      <c r="B151" s="33" t="s">
        <v>76</v>
      </c>
      <c r="C151" s="33" t="s">
        <v>459</v>
      </c>
      <c r="D151" s="33">
        <v>2000000</v>
      </c>
      <c r="E151" s="33" t="s">
        <v>218</v>
      </c>
      <c r="F151" s="33" t="str">
        <f t="shared" si="4"/>
        <v>rtdc.l.rtdc.4018:itc</v>
      </c>
      <c r="G151" s="8">
        <f t="shared" si="5"/>
        <v>42558.474537037036</v>
      </c>
    </row>
    <row r="152" spans="1:7" x14ac:dyDescent="0.25">
      <c r="A152" s="8">
        <v>42558.994375000002</v>
      </c>
      <c r="B152" s="33" t="s">
        <v>131</v>
      </c>
      <c r="C152" s="33" t="s">
        <v>586</v>
      </c>
      <c r="D152" s="33">
        <v>2020000</v>
      </c>
      <c r="E152" s="33" t="s">
        <v>215</v>
      </c>
      <c r="F152" s="33" t="str">
        <f t="shared" si="4"/>
        <v>rtdc.l.rtdc.4013:itc</v>
      </c>
      <c r="G152" s="8">
        <f t="shared" si="5"/>
        <v>42558.994375000002</v>
      </c>
    </row>
    <row r="153" spans="1:7" x14ac:dyDescent="0.25">
      <c r="A153" s="8">
        <v>42559.216226851851</v>
      </c>
      <c r="B153" s="33" t="s">
        <v>69</v>
      </c>
      <c r="C153" s="33" t="s">
        <v>708</v>
      </c>
      <c r="D153" s="33">
        <v>1340000</v>
      </c>
      <c r="E153" s="33" t="s">
        <v>149</v>
      </c>
      <c r="F153" s="33" t="str">
        <f t="shared" si="4"/>
        <v>rtdc.l.rtdc.4032:itc</v>
      </c>
      <c r="G153" s="8">
        <f t="shared" si="5"/>
        <v>42559.216226851851</v>
      </c>
    </row>
    <row r="154" spans="1:7" x14ac:dyDescent="0.25">
      <c r="A154" s="8">
        <v>42558.930625000001</v>
      </c>
      <c r="B154" s="33" t="s">
        <v>165</v>
      </c>
      <c r="C154" s="33" t="s">
        <v>687</v>
      </c>
      <c r="D154" s="33">
        <v>1520000</v>
      </c>
      <c r="E154" s="33" t="s">
        <v>148</v>
      </c>
      <c r="F154" s="33" t="str">
        <f t="shared" si="4"/>
        <v>rtdc.l.rtdc.4040:itc</v>
      </c>
      <c r="G154" s="8">
        <f t="shared" si="5"/>
        <v>42558.930625000001</v>
      </c>
    </row>
    <row r="155" spans="1:7" x14ac:dyDescent="0.25">
      <c r="A155" s="8">
        <v>42559.233865740738</v>
      </c>
      <c r="B155" s="33" t="s">
        <v>132</v>
      </c>
      <c r="C155" s="33" t="s">
        <v>715</v>
      </c>
      <c r="D155" s="33">
        <v>1480000</v>
      </c>
      <c r="E155" s="33" t="s">
        <v>125</v>
      </c>
      <c r="F155" s="33" t="str">
        <f t="shared" si="4"/>
        <v>rtdc.l.rtdc.4025:itc</v>
      </c>
      <c r="G155" s="8">
        <f t="shared" si="5"/>
        <v>42559.233865740738</v>
      </c>
    </row>
    <row r="156" spans="1:7" x14ac:dyDescent="0.25">
      <c r="A156" s="8">
        <v>42558.785868055558</v>
      </c>
      <c r="B156" s="33" t="s">
        <v>133</v>
      </c>
      <c r="C156" s="33" t="s">
        <v>550</v>
      </c>
      <c r="D156" s="33">
        <v>1280000</v>
      </c>
      <c r="E156" s="33" t="s">
        <v>135</v>
      </c>
      <c r="F156" s="33" t="str">
        <f t="shared" si="4"/>
        <v>rtdc.l.rtdc.4028:itc</v>
      </c>
      <c r="G156" s="8">
        <f t="shared" si="5"/>
        <v>42558.785868055558</v>
      </c>
    </row>
    <row r="157" spans="1:7" x14ac:dyDescent="0.25">
      <c r="A157" s="8">
        <v>42559.257650462961</v>
      </c>
      <c r="B157" s="33" t="s">
        <v>716</v>
      </c>
      <c r="C157" s="33" t="s">
        <v>717</v>
      </c>
      <c r="D157" s="33">
        <v>2030000</v>
      </c>
      <c r="E157" s="33" t="s">
        <v>217</v>
      </c>
      <c r="F157" s="33" t="str">
        <f t="shared" si="4"/>
        <v>rtdc.l.rtdc.4015:itc</v>
      </c>
      <c r="G157" s="8">
        <f t="shared" si="5"/>
        <v>42559.257650462961</v>
      </c>
    </row>
    <row r="158" spans="1:7" x14ac:dyDescent="0.25">
      <c r="A158" s="8">
        <v>42558.757187499999</v>
      </c>
      <c r="B158" s="33" t="s">
        <v>131</v>
      </c>
      <c r="C158" s="33" t="s">
        <v>537</v>
      </c>
      <c r="D158" s="33">
        <v>2020000</v>
      </c>
      <c r="E158" s="33" t="s">
        <v>215</v>
      </c>
      <c r="F158" s="33" t="str">
        <f t="shared" si="4"/>
        <v>rtdc.l.rtdc.4013:itc</v>
      </c>
      <c r="G158" s="8">
        <f t="shared" si="5"/>
        <v>42558.757187499999</v>
      </c>
    </row>
    <row r="159" spans="1:7" x14ac:dyDescent="0.25">
      <c r="A159" s="8">
        <v>42558.577905092592</v>
      </c>
      <c r="B159" s="33" t="s">
        <v>155</v>
      </c>
      <c r="C159" s="33" t="s">
        <v>491</v>
      </c>
      <c r="D159" s="33">
        <v>1340000</v>
      </c>
      <c r="E159" s="33" t="s">
        <v>149</v>
      </c>
      <c r="F159" s="33" t="str">
        <f t="shared" si="4"/>
        <v>rtdc.l.rtdc.4044:itc</v>
      </c>
      <c r="G159" s="8">
        <f t="shared" si="5"/>
        <v>42558.577905092592</v>
      </c>
    </row>
    <row r="160" spans="1:7" x14ac:dyDescent="0.25">
      <c r="A160" s="8">
        <v>42558.726122685184</v>
      </c>
      <c r="B160" s="33" t="s">
        <v>155</v>
      </c>
      <c r="C160" s="33" t="s">
        <v>540</v>
      </c>
      <c r="D160" s="33">
        <v>1740000</v>
      </c>
      <c r="E160" s="33" t="s">
        <v>216</v>
      </c>
      <c r="F160" s="33" t="str">
        <f t="shared" si="4"/>
        <v>rtdc.l.rtdc.4044:itc</v>
      </c>
      <c r="G160" s="8">
        <f t="shared" si="5"/>
        <v>42558.726122685184</v>
      </c>
    </row>
    <row r="161" spans="1:7" x14ac:dyDescent="0.25">
      <c r="A161" s="8">
        <v>42558.891793981478</v>
      </c>
      <c r="B161" s="33" t="s">
        <v>77</v>
      </c>
      <c r="C161" s="33" t="s">
        <v>567</v>
      </c>
      <c r="D161" s="33">
        <v>1240000</v>
      </c>
      <c r="E161" s="33" t="s">
        <v>161</v>
      </c>
      <c r="F161" s="33" t="str">
        <f t="shared" si="4"/>
        <v>rtdc.l.rtdc.4017:itc</v>
      </c>
      <c r="G161" s="8">
        <f t="shared" si="5"/>
        <v>42558.891793981478</v>
      </c>
    </row>
    <row r="162" spans="1:7" x14ac:dyDescent="0.25">
      <c r="A162" s="8">
        <v>42559.210787037038</v>
      </c>
      <c r="B162" s="33" t="s">
        <v>74</v>
      </c>
      <c r="C162" s="33" t="s">
        <v>718</v>
      </c>
      <c r="D162" s="33">
        <v>1840000</v>
      </c>
      <c r="E162" s="33" t="s">
        <v>118</v>
      </c>
      <c r="F162" s="33" t="str">
        <f t="shared" si="4"/>
        <v>rtdc.l.rtdc.4019:itc</v>
      </c>
      <c r="G162" s="8">
        <f t="shared" si="5"/>
        <v>42559.210787037038</v>
      </c>
    </row>
    <row r="163" spans="1:7" x14ac:dyDescent="0.25">
      <c r="A163" s="8">
        <v>42558.974074074074</v>
      </c>
      <c r="B163" s="33" t="s">
        <v>77</v>
      </c>
      <c r="C163" s="33" t="s">
        <v>582</v>
      </c>
      <c r="D163" s="33">
        <v>1240000</v>
      </c>
      <c r="E163" s="33" t="s">
        <v>161</v>
      </c>
      <c r="F163" s="33" t="str">
        <f t="shared" si="4"/>
        <v>rtdc.l.rtdc.4017:itc</v>
      </c>
      <c r="G163" s="8">
        <f t="shared" si="5"/>
        <v>42558.974074074074</v>
      </c>
    </row>
    <row r="164" spans="1:7" x14ac:dyDescent="0.25">
      <c r="A164" s="8">
        <v>42559.156423611108</v>
      </c>
      <c r="B164" s="33" t="s">
        <v>162</v>
      </c>
      <c r="C164" s="33" t="s">
        <v>719</v>
      </c>
      <c r="D164" s="33">
        <v>1480000</v>
      </c>
      <c r="E164" s="33" t="s">
        <v>125</v>
      </c>
      <c r="F164" s="33" t="str">
        <f t="shared" si="4"/>
        <v>rtdc.l.rtdc.4007:itc</v>
      </c>
      <c r="G164" s="8">
        <f t="shared" si="5"/>
        <v>42559.156423611108</v>
      </c>
    </row>
    <row r="165" spans="1:7" x14ac:dyDescent="0.25">
      <c r="A165" s="8">
        <v>42559.016469907408</v>
      </c>
      <c r="B165" s="33" t="s">
        <v>76</v>
      </c>
      <c r="C165" s="33" t="s">
        <v>592</v>
      </c>
      <c r="D165" s="33">
        <v>1240000</v>
      </c>
      <c r="E165" s="33" t="s">
        <v>161</v>
      </c>
      <c r="F165" s="33" t="str">
        <f t="shared" si="4"/>
        <v>rtdc.l.rtdc.4018:itc</v>
      </c>
      <c r="G165" s="8">
        <f t="shared" si="5"/>
        <v>42559.016469907408</v>
      </c>
    </row>
    <row r="166" spans="1:7" x14ac:dyDescent="0.25">
      <c r="A166" s="8">
        <v>42558.913263888891</v>
      </c>
      <c r="B166" s="33" t="s">
        <v>117</v>
      </c>
      <c r="C166" s="33" t="s">
        <v>578</v>
      </c>
      <c r="D166" s="33">
        <v>1820000</v>
      </c>
      <c r="E166" s="33" t="s">
        <v>109</v>
      </c>
      <c r="F166" s="33" t="str">
        <f t="shared" si="4"/>
        <v>rtdc.l.rtdc.4038:itc</v>
      </c>
      <c r="G166" s="8">
        <f t="shared" si="5"/>
        <v>42558.913263888891</v>
      </c>
    </row>
    <row r="167" spans="1:7" x14ac:dyDescent="0.25">
      <c r="A167" s="8">
        <v>42559.126712962963</v>
      </c>
      <c r="B167" s="33" t="s">
        <v>123</v>
      </c>
      <c r="C167" s="33" t="s">
        <v>703</v>
      </c>
      <c r="D167" s="33">
        <v>1830000</v>
      </c>
      <c r="E167" s="33" t="s">
        <v>146</v>
      </c>
      <c r="F167" s="33" t="str">
        <f t="shared" si="4"/>
        <v>rtdc.l.rtdc.4011:itc</v>
      </c>
      <c r="G167" s="8">
        <f t="shared" si="5"/>
        <v>42559.126712962963</v>
      </c>
    </row>
    <row r="168" spans="1:7" x14ac:dyDescent="0.25">
      <c r="A168" s="8">
        <v>42558.910763888889</v>
      </c>
      <c r="B168" s="33" t="s">
        <v>131</v>
      </c>
      <c r="C168" s="33" t="s">
        <v>570</v>
      </c>
      <c r="D168" s="33">
        <v>2020000</v>
      </c>
      <c r="E168" s="33" t="s">
        <v>215</v>
      </c>
      <c r="F168" s="33" t="str">
        <f t="shared" si="4"/>
        <v>rtdc.l.rtdc.4013:itc</v>
      </c>
      <c r="G168" s="8">
        <f t="shared" si="5"/>
        <v>42558.910763888889</v>
      </c>
    </row>
    <row r="169" spans="1:7" x14ac:dyDescent="0.25">
      <c r="A169" s="8">
        <v>42558.539085648146</v>
      </c>
      <c r="B169" s="33" t="s">
        <v>117</v>
      </c>
      <c r="C169" s="33" t="s">
        <v>478</v>
      </c>
      <c r="D169" s="33">
        <v>1090000</v>
      </c>
      <c r="E169" s="33" t="s">
        <v>142</v>
      </c>
      <c r="F169" s="33" t="str">
        <f t="shared" si="4"/>
        <v>rtdc.l.rtdc.4038:itc</v>
      </c>
      <c r="G169" s="8">
        <f t="shared" si="5"/>
        <v>42558.539085648146</v>
      </c>
    </row>
    <row r="170" spans="1:7" x14ac:dyDescent="0.25">
      <c r="A170" s="8">
        <v>42558.888449074075</v>
      </c>
      <c r="B170" s="33" t="s">
        <v>165</v>
      </c>
      <c r="C170" s="33" t="s">
        <v>686</v>
      </c>
      <c r="D170" s="33">
        <v>1520000</v>
      </c>
      <c r="E170" s="33" t="s">
        <v>148</v>
      </c>
      <c r="F170" s="33" t="str">
        <f t="shared" si="4"/>
        <v>rtdc.l.rtdc.4040:itc</v>
      </c>
      <c r="G170" s="8">
        <f t="shared" si="5"/>
        <v>42558.888449074075</v>
      </c>
    </row>
    <row r="171" spans="1:7" x14ac:dyDescent="0.25">
      <c r="A171" s="8">
        <v>42558.712731481479</v>
      </c>
      <c r="B171" s="33" t="s">
        <v>129</v>
      </c>
      <c r="C171" s="33" t="s">
        <v>655</v>
      </c>
      <c r="D171" s="33">
        <v>1780000</v>
      </c>
      <c r="E171" s="33" t="s">
        <v>164</v>
      </c>
      <c r="F171" s="33" t="str">
        <f t="shared" si="4"/>
        <v>rtdc.l.rtdc.4026:itc</v>
      </c>
      <c r="G171" s="8">
        <f t="shared" si="5"/>
        <v>42558.712731481479</v>
      </c>
    </row>
    <row r="172" spans="1:7" x14ac:dyDescent="0.25">
      <c r="A172" s="8">
        <v>42558.762349537035</v>
      </c>
      <c r="B172" s="33" t="s">
        <v>165</v>
      </c>
      <c r="C172" s="33" t="s">
        <v>667</v>
      </c>
      <c r="D172" s="33">
        <v>1520000</v>
      </c>
      <c r="E172" s="33" t="s">
        <v>148</v>
      </c>
      <c r="F172" s="33" t="str">
        <f t="shared" si="4"/>
        <v>rtdc.l.rtdc.4040:itc</v>
      </c>
      <c r="G172" s="8">
        <f t="shared" si="5"/>
        <v>42558.762349537035</v>
      </c>
    </row>
    <row r="173" spans="1:7" x14ac:dyDescent="0.25">
      <c r="A173" s="8">
        <v>42558.756435185183</v>
      </c>
      <c r="B173" s="33" t="s">
        <v>117</v>
      </c>
      <c r="C173" s="33" t="s">
        <v>551</v>
      </c>
      <c r="D173" s="33">
        <v>1820000</v>
      </c>
      <c r="E173" s="33" t="s">
        <v>109</v>
      </c>
      <c r="F173" s="33" t="str">
        <f t="shared" si="4"/>
        <v>rtdc.l.rtdc.4038:itc</v>
      </c>
      <c r="G173" s="8">
        <f t="shared" si="5"/>
        <v>42558.756435185183</v>
      </c>
    </row>
    <row r="174" spans="1:7" x14ac:dyDescent="0.25">
      <c r="A174" s="8">
        <v>42559.206273148149</v>
      </c>
      <c r="B174" s="33" t="s">
        <v>138</v>
      </c>
      <c r="C174" s="33" t="s">
        <v>720</v>
      </c>
      <c r="D174" s="33">
        <v>1830000</v>
      </c>
      <c r="E174" s="33" t="s">
        <v>146</v>
      </c>
      <c r="F174" s="33" t="str">
        <f t="shared" si="4"/>
        <v>rtdc.l.rtdc.4027:itc</v>
      </c>
      <c r="G174" s="8">
        <f t="shared" si="5"/>
        <v>42559.206273148149</v>
      </c>
    </row>
    <row r="175" spans="1:7" x14ac:dyDescent="0.25">
      <c r="A175" s="8">
        <v>42558.930069444446</v>
      </c>
      <c r="B175" s="33" t="s">
        <v>69</v>
      </c>
      <c r="C175" s="33" t="s">
        <v>575</v>
      </c>
      <c r="D175" s="33">
        <v>1990000</v>
      </c>
      <c r="E175" s="33" t="s">
        <v>279</v>
      </c>
      <c r="F175" s="33" t="str">
        <f t="shared" si="4"/>
        <v>rtdc.l.rtdc.4032:itc</v>
      </c>
      <c r="G175" s="8">
        <f t="shared" si="5"/>
        <v>42558.930069444446</v>
      </c>
    </row>
    <row r="176" spans="1:7" x14ac:dyDescent="0.25">
      <c r="A176" s="8">
        <v>42558.890925925924</v>
      </c>
      <c r="B176" s="33" t="s">
        <v>79</v>
      </c>
      <c r="C176" s="33" t="s">
        <v>573</v>
      </c>
      <c r="D176" s="33">
        <v>1990000</v>
      </c>
      <c r="E176" s="33" t="s">
        <v>279</v>
      </c>
      <c r="F176" s="33" t="str">
        <f t="shared" si="4"/>
        <v>rtdc.l.rtdc.4031:itc</v>
      </c>
      <c r="G176" s="8">
        <f t="shared" si="5"/>
        <v>42558.890925925924</v>
      </c>
    </row>
    <row r="177" spans="1:7" x14ac:dyDescent="0.25">
      <c r="A177" s="8">
        <v>42559.264432870368</v>
      </c>
      <c r="B177" s="33" t="s">
        <v>117</v>
      </c>
      <c r="C177" s="33" t="s">
        <v>721</v>
      </c>
      <c r="D177" s="33">
        <v>1460000</v>
      </c>
      <c r="E177" s="33" t="s">
        <v>119</v>
      </c>
      <c r="F177" s="33" t="str">
        <f t="shared" si="4"/>
        <v>rtdc.l.rtdc.4038:itc</v>
      </c>
      <c r="G177" s="8">
        <f t="shared" si="5"/>
        <v>42559.264432870368</v>
      </c>
    </row>
    <row r="178" spans="1:7" x14ac:dyDescent="0.25">
      <c r="A178" s="8">
        <v>42558.74690972222</v>
      </c>
      <c r="B178" s="33" t="s">
        <v>138</v>
      </c>
      <c r="C178" s="33" t="s">
        <v>548</v>
      </c>
      <c r="D178" s="33">
        <v>1280000</v>
      </c>
      <c r="E178" s="33" t="s">
        <v>135</v>
      </c>
      <c r="F178" s="33" t="str">
        <f t="shared" si="4"/>
        <v>rtdc.l.rtdc.4027:itc</v>
      </c>
      <c r="G178" s="8">
        <f t="shared" si="5"/>
        <v>42558.74690972222</v>
      </c>
    </row>
    <row r="179" spans="1:7" x14ac:dyDescent="0.25">
      <c r="A179" s="8">
        <v>42558.56763888889</v>
      </c>
      <c r="B179" s="33" t="s">
        <v>193</v>
      </c>
      <c r="C179" s="33" t="s">
        <v>635</v>
      </c>
      <c r="D179" s="33">
        <v>1460000</v>
      </c>
      <c r="E179" s="33" t="s">
        <v>119</v>
      </c>
      <c r="F179" s="33" t="str">
        <f t="shared" si="4"/>
        <v>rtdc.l.rtdc.4039:itc</v>
      </c>
      <c r="G179" s="8">
        <f t="shared" si="5"/>
        <v>42558.56763888889</v>
      </c>
    </row>
    <row r="180" spans="1:7" x14ac:dyDescent="0.25">
      <c r="A180" s="8">
        <v>42558.743703703702</v>
      </c>
      <c r="B180" s="33" t="s">
        <v>124</v>
      </c>
      <c r="C180" s="33" t="s">
        <v>532</v>
      </c>
      <c r="D180" s="33">
        <v>1290000</v>
      </c>
      <c r="E180" s="33" t="s">
        <v>196</v>
      </c>
      <c r="F180" s="33" t="str">
        <f t="shared" si="4"/>
        <v>rtdc.l.rtdc.4012:itc</v>
      </c>
      <c r="G180" s="8">
        <f t="shared" si="5"/>
        <v>42558.743703703702</v>
      </c>
    </row>
    <row r="181" spans="1:7" x14ac:dyDescent="0.25">
      <c r="A181" s="8">
        <v>42558.598854166667</v>
      </c>
      <c r="B181" s="33" t="s">
        <v>138</v>
      </c>
      <c r="C181" s="33" t="s">
        <v>500</v>
      </c>
      <c r="D181" s="33">
        <v>1280000</v>
      </c>
      <c r="E181" s="33" t="s">
        <v>135</v>
      </c>
      <c r="F181" s="33" t="str">
        <f t="shared" si="4"/>
        <v>rtdc.l.rtdc.4027:itc</v>
      </c>
      <c r="G181" s="8">
        <f t="shared" si="5"/>
        <v>42558.598854166667</v>
      </c>
    </row>
    <row r="182" spans="1:7" x14ac:dyDescent="0.25">
      <c r="A182" s="8">
        <v>42558.740428240744</v>
      </c>
      <c r="B182" s="33" t="s">
        <v>132</v>
      </c>
      <c r="C182" s="33" t="s">
        <v>663</v>
      </c>
      <c r="D182" s="33">
        <v>1780000</v>
      </c>
      <c r="E182" s="33" t="s">
        <v>164</v>
      </c>
      <c r="F182" s="33" t="str">
        <f t="shared" si="4"/>
        <v>rtdc.l.rtdc.4025:itc</v>
      </c>
      <c r="G182" s="8">
        <f t="shared" si="5"/>
        <v>42558.740428240744</v>
      </c>
    </row>
    <row r="183" spans="1:7" x14ac:dyDescent="0.25">
      <c r="A183" s="8">
        <v>42558.611585648148</v>
      </c>
      <c r="B183" s="33" t="s">
        <v>131</v>
      </c>
      <c r="C183" s="33" t="s">
        <v>490</v>
      </c>
      <c r="D183" s="33">
        <v>900000</v>
      </c>
      <c r="E183" s="33" t="s">
        <v>141</v>
      </c>
      <c r="F183" s="33" t="str">
        <f t="shared" si="4"/>
        <v>rtdc.l.rtdc.4013:itc</v>
      </c>
      <c r="G183" s="8">
        <f t="shared" si="5"/>
        <v>42558.611585648148</v>
      </c>
    </row>
    <row r="184" spans="1:7" x14ac:dyDescent="0.25">
      <c r="A184" s="8">
        <v>42559.223796296297</v>
      </c>
      <c r="B184" s="33" t="s">
        <v>193</v>
      </c>
      <c r="C184" s="33" t="s">
        <v>722</v>
      </c>
      <c r="D184" s="33">
        <v>1110000</v>
      </c>
      <c r="E184" s="33" t="s">
        <v>222</v>
      </c>
      <c r="F184" s="33" t="str">
        <f t="shared" si="4"/>
        <v>rtdc.l.rtdc.4039:itc</v>
      </c>
      <c r="G184" s="8">
        <f t="shared" si="5"/>
        <v>42559.223796296297</v>
      </c>
    </row>
    <row r="185" spans="1:7" x14ac:dyDescent="0.25">
      <c r="A185" s="8">
        <v>42558.807453703703</v>
      </c>
      <c r="B185" s="33" t="s">
        <v>77</v>
      </c>
      <c r="C185" s="33" t="s">
        <v>554</v>
      </c>
      <c r="D185" s="33">
        <v>1240000</v>
      </c>
      <c r="E185" s="33" t="s">
        <v>161</v>
      </c>
      <c r="F185" s="33" t="str">
        <f t="shared" si="4"/>
        <v>rtdc.l.rtdc.4017:itc</v>
      </c>
      <c r="G185" s="8">
        <f t="shared" si="5"/>
        <v>42558.807453703703</v>
      </c>
    </row>
    <row r="186" spans="1:7" x14ac:dyDescent="0.25">
      <c r="A186" s="8">
        <v>42558.870219907411</v>
      </c>
      <c r="B186" s="33" t="s">
        <v>130</v>
      </c>
      <c r="C186" s="33" t="s">
        <v>568</v>
      </c>
      <c r="D186" s="33">
        <v>2020000</v>
      </c>
      <c r="E186" s="33" t="s">
        <v>215</v>
      </c>
      <c r="F186" s="33" t="str">
        <f t="shared" si="4"/>
        <v>rtdc.l.rtdc.4014:itc</v>
      </c>
      <c r="G186" s="8">
        <f t="shared" si="5"/>
        <v>42558.870219907411</v>
      </c>
    </row>
    <row r="187" spans="1:7" x14ac:dyDescent="0.25">
      <c r="A187" s="8">
        <v>42559.163761574076</v>
      </c>
      <c r="B187" s="33" t="s">
        <v>133</v>
      </c>
      <c r="C187" s="33" t="s">
        <v>723</v>
      </c>
      <c r="D187" s="33">
        <v>1830000</v>
      </c>
      <c r="E187" s="33" t="s">
        <v>146</v>
      </c>
      <c r="F187" s="33" t="str">
        <f t="shared" si="4"/>
        <v>rtdc.l.rtdc.4028:itc</v>
      </c>
      <c r="G187" s="8">
        <f t="shared" si="5"/>
        <v>42559.163761574076</v>
      </c>
    </row>
    <row r="188" spans="1:7" x14ac:dyDescent="0.25">
      <c r="A188" s="8">
        <v>42558.806516203702</v>
      </c>
      <c r="B188" s="33" t="s">
        <v>79</v>
      </c>
      <c r="C188" s="33" t="s">
        <v>559</v>
      </c>
      <c r="D188" s="33">
        <v>1990000</v>
      </c>
      <c r="E188" s="33" t="s">
        <v>279</v>
      </c>
      <c r="F188" s="33" t="str">
        <f t="shared" si="4"/>
        <v>rtdc.l.rtdc.4031:itc</v>
      </c>
      <c r="G188" s="8">
        <f t="shared" si="5"/>
        <v>42558.806516203702</v>
      </c>
    </row>
    <row r="189" spans="1:7" x14ac:dyDescent="0.25">
      <c r="A189" s="8">
        <v>42559.248761574076</v>
      </c>
      <c r="B189" s="33" t="s">
        <v>155</v>
      </c>
      <c r="C189" s="33" t="s">
        <v>724</v>
      </c>
      <c r="D189" s="33">
        <v>1840000</v>
      </c>
      <c r="E189" s="33" t="s">
        <v>118</v>
      </c>
      <c r="F189" s="33" t="str">
        <f t="shared" si="4"/>
        <v>rtdc.l.rtdc.4044:itc</v>
      </c>
      <c r="G189" s="8">
        <f t="shared" si="5"/>
        <v>42559.248761574076</v>
      </c>
    </row>
    <row r="190" spans="1:7" x14ac:dyDescent="0.25">
      <c r="A190" s="8">
        <v>42558.775509259256</v>
      </c>
      <c r="B190" s="33" t="s">
        <v>193</v>
      </c>
      <c r="C190" s="33" t="s">
        <v>670</v>
      </c>
      <c r="D190" s="33">
        <v>1520000</v>
      </c>
      <c r="E190" s="33" t="s">
        <v>148</v>
      </c>
      <c r="F190" s="33" t="str">
        <f t="shared" si="4"/>
        <v>rtdc.l.rtdc.4039:itc</v>
      </c>
      <c r="G190" s="8">
        <f t="shared" si="5"/>
        <v>42558.775509259256</v>
      </c>
    </row>
    <row r="191" spans="1:7" x14ac:dyDescent="0.25">
      <c r="A191" s="8">
        <v>42559.276898148149</v>
      </c>
      <c r="B191" s="33" t="s">
        <v>134</v>
      </c>
      <c r="C191" s="33" t="s">
        <v>725</v>
      </c>
      <c r="D191" s="33">
        <v>1460000</v>
      </c>
      <c r="E191" s="33" t="s">
        <v>119</v>
      </c>
      <c r="F191" s="33" t="str">
        <f t="shared" si="4"/>
        <v>rtdc.l.rtdc.4037:itc</v>
      </c>
      <c r="G191" s="8">
        <f t="shared" si="5"/>
        <v>42559.276898148149</v>
      </c>
    </row>
    <row r="192" spans="1:7" x14ac:dyDescent="0.25">
      <c r="A192" s="8">
        <v>42558.443449074075</v>
      </c>
      <c r="B192" s="33" t="s">
        <v>79</v>
      </c>
      <c r="C192" s="33" t="s">
        <v>448</v>
      </c>
      <c r="D192" s="33">
        <v>880000</v>
      </c>
      <c r="E192" s="33" t="s">
        <v>147</v>
      </c>
      <c r="F192" s="33" t="str">
        <f t="shared" si="4"/>
        <v>rtdc.l.rtdc.4031:itc</v>
      </c>
      <c r="G192" s="8">
        <f t="shared" si="5"/>
        <v>42558.443449074075</v>
      </c>
    </row>
    <row r="193" spans="1:7" x14ac:dyDescent="0.25">
      <c r="A193" s="8">
        <v>42558.636006944442</v>
      </c>
      <c r="B193" s="33" t="s">
        <v>165</v>
      </c>
      <c r="C193" s="33" t="s">
        <v>641</v>
      </c>
      <c r="D193" s="33">
        <v>1520000</v>
      </c>
      <c r="E193" s="33" t="s">
        <v>148</v>
      </c>
      <c r="F193" s="33" t="str">
        <f t="shared" si="4"/>
        <v>rtdc.l.rtdc.4040:itc</v>
      </c>
      <c r="G193" s="8">
        <f t="shared" si="5"/>
        <v>42558.636006944442</v>
      </c>
    </row>
    <row r="194" spans="1:7" x14ac:dyDescent="0.25">
      <c r="A194" s="8">
        <v>42558.40111111111</v>
      </c>
      <c r="B194" s="33" t="s">
        <v>193</v>
      </c>
      <c r="C194" s="33" t="s">
        <v>618</v>
      </c>
      <c r="D194" s="33">
        <v>1460000</v>
      </c>
      <c r="E194" s="33" t="s">
        <v>119</v>
      </c>
      <c r="F194" s="33" t="str">
        <f t="shared" ref="F194:F235" si="6">B194</f>
        <v>rtdc.l.rtdc.4039:itc</v>
      </c>
      <c r="G194" s="8">
        <f t="shared" ref="G194:G235" si="7">A194</f>
        <v>42558.40111111111</v>
      </c>
    </row>
    <row r="195" spans="1:7" x14ac:dyDescent="0.25">
      <c r="A195" s="8">
        <v>42558.869375000002</v>
      </c>
      <c r="B195" s="33" t="s">
        <v>134</v>
      </c>
      <c r="C195" s="33" t="s">
        <v>565</v>
      </c>
      <c r="D195" s="33">
        <v>1820000</v>
      </c>
      <c r="E195" s="33" t="s">
        <v>109</v>
      </c>
      <c r="F195" s="33" t="str">
        <f t="shared" si="6"/>
        <v>rtdc.l.rtdc.4037:itc</v>
      </c>
      <c r="G195" s="8">
        <f t="shared" si="7"/>
        <v>42558.869375000002</v>
      </c>
    </row>
    <row r="196" spans="1:7" x14ac:dyDescent="0.25">
      <c r="A196" s="8">
        <v>42558.257106481484</v>
      </c>
      <c r="B196" s="33" t="s">
        <v>129</v>
      </c>
      <c r="C196" s="33" t="s">
        <v>309</v>
      </c>
      <c r="D196" s="33">
        <v>1340000</v>
      </c>
      <c r="E196" s="33" t="s">
        <v>149</v>
      </c>
      <c r="F196" s="33" t="str">
        <f t="shared" si="6"/>
        <v>rtdc.l.rtdc.4026:itc</v>
      </c>
      <c r="G196" s="8">
        <f t="shared" si="7"/>
        <v>42558.257106481484</v>
      </c>
    </row>
    <row r="197" spans="1:7" x14ac:dyDescent="0.25">
      <c r="A197" s="8">
        <v>42557.888043981482</v>
      </c>
      <c r="B197" s="33" t="s">
        <v>117</v>
      </c>
      <c r="C197" s="33" t="s">
        <v>316</v>
      </c>
      <c r="D197" s="33">
        <v>1740000</v>
      </c>
      <c r="E197" s="33" t="s">
        <v>216</v>
      </c>
      <c r="F197" s="33" t="str">
        <f t="shared" si="6"/>
        <v>rtdc.l.rtdc.4038:itc</v>
      </c>
      <c r="G197" s="8">
        <f t="shared" si="7"/>
        <v>42557.888043981482</v>
      </c>
    </row>
    <row r="198" spans="1:7" x14ac:dyDescent="0.25">
      <c r="A198" s="8">
        <v>42558.213460648149</v>
      </c>
      <c r="B198" s="33" t="s">
        <v>155</v>
      </c>
      <c r="C198" s="33" t="s">
        <v>301</v>
      </c>
      <c r="D198" s="33">
        <v>1840000</v>
      </c>
      <c r="E198" s="33" t="s">
        <v>118</v>
      </c>
      <c r="F198" s="33" t="str">
        <f t="shared" si="6"/>
        <v>rtdc.l.rtdc.4044:itc</v>
      </c>
      <c r="G198" s="8">
        <f t="shared" si="7"/>
        <v>42558.213460648149</v>
      </c>
    </row>
    <row r="199" spans="1:7" x14ac:dyDescent="0.25">
      <c r="A199" s="8">
        <v>42557.910034722219</v>
      </c>
      <c r="B199" s="33" t="s">
        <v>124</v>
      </c>
      <c r="C199" s="33" t="s">
        <v>317</v>
      </c>
      <c r="D199" s="33">
        <v>1280000</v>
      </c>
      <c r="E199" s="33" t="s">
        <v>135</v>
      </c>
      <c r="F199" s="33" t="str">
        <f t="shared" si="6"/>
        <v>rtdc.l.rtdc.4012:itc</v>
      </c>
      <c r="G199" s="8">
        <f t="shared" si="7"/>
        <v>42557.910034722219</v>
      </c>
    </row>
    <row r="200" spans="1:7" x14ac:dyDescent="0.25">
      <c r="A200" s="8">
        <v>42558.194907407407</v>
      </c>
      <c r="B200" s="33" t="s">
        <v>133</v>
      </c>
      <c r="C200" s="33" t="s">
        <v>303</v>
      </c>
      <c r="D200" s="33">
        <v>1110000</v>
      </c>
      <c r="E200" s="33" t="s">
        <v>222</v>
      </c>
      <c r="F200" s="33" t="str">
        <f t="shared" si="6"/>
        <v>rtdc.l.rtdc.4028:itc</v>
      </c>
      <c r="G200" s="8">
        <f t="shared" si="7"/>
        <v>42558.194907407407</v>
      </c>
    </row>
    <row r="201" spans="1:7" x14ac:dyDescent="0.25">
      <c r="A201" s="8">
        <v>42557.913078703707</v>
      </c>
      <c r="B201" s="33" t="s">
        <v>132</v>
      </c>
      <c r="C201" s="33" t="s">
        <v>258</v>
      </c>
      <c r="D201" s="33">
        <v>1820000</v>
      </c>
      <c r="E201" s="33" t="s">
        <v>109</v>
      </c>
      <c r="F201" s="33" t="str">
        <f t="shared" si="6"/>
        <v>rtdc.l.rtdc.4025:itc</v>
      </c>
      <c r="G201" s="8">
        <f t="shared" si="7"/>
        <v>42557.913078703707</v>
      </c>
    </row>
    <row r="202" spans="1:7" x14ac:dyDescent="0.25">
      <c r="A202" s="43">
        <v>42558.556932870371</v>
      </c>
      <c r="B202" s="33" t="s">
        <v>69</v>
      </c>
      <c r="C202" s="33" t="s">
        <v>475</v>
      </c>
      <c r="D202" s="33">
        <v>880000</v>
      </c>
      <c r="E202" s="33" t="s">
        <v>147</v>
      </c>
      <c r="F202" s="33" t="str">
        <f t="shared" si="6"/>
        <v>rtdc.l.rtdc.4032:itc</v>
      </c>
      <c r="G202" s="8">
        <f t="shared" si="7"/>
        <v>42558.556932870371</v>
      </c>
    </row>
    <row r="203" spans="1:7" x14ac:dyDescent="0.25">
      <c r="A203" s="8">
        <v>42557.927071759259</v>
      </c>
      <c r="B203" s="33" t="s">
        <v>117</v>
      </c>
      <c r="C203" s="33" t="s">
        <v>256</v>
      </c>
      <c r="D203" s="33">
        <v>1740000</v>
      </c>
      <c r="E203" s="33" t="s">
        <v>216</v>
      </c>
      <c r="F203" s="33" t="str">
        <f t="shared" si="6"/>
        <v>rtdc.l.rtdc.4038:itc</v>
      </c>
      <c r="G203" s="8">
        <f t="shared" si="7"/>
        <v>42557.927071759259</v>
      </c>
    </row>
    <row r="204" spans="1:7" x14ac:dyDescent="0.25">
      <c r="A204" s="8">
        <v>42558.529085648152</v>
      </c>
      <c r="B204" s="33" t="s">
        <v>193</v>
      </c>
      <c r="C204" s="33" t="s">
        <v>629</v>
      </c>
      <c r="D204" s="33">
        <v>1460000</v>
      </c>
      <c r="E204" s="33" t="s">
        <v>119</v>
      </c>
      <c r="F204" s="33" t="str">
        <f t="shared" si="6"/>
        <v>rtdc.l.rtdc.4039:itc</v>
      </c>
      <c r="G204" s="8">
        <f t="shared" si="7"/>
        <v>42558.529085648152</v>
      </c>
    </row>
    <row r="205" spans="1:7" x14ac:dyDescent="0.25">
      <c r="A205" s="8">
        <v>42557.930243055554</v>
      </c>
      <c r="B205" s="33" t="s">
        <v>69</v>
      </c>
      <c r="C205" s="33" t="s">
        <v>257</v>
      </c>
      <c r="D205" s="33">
        <v>1990000</v>
      </c>
      <c r="E205" s="33" t="s">
        <v>279</v>
      </c>
      <c r="F205" s="33" t="str">
        <f t="shared" si="6"/>
        <v>rtdc.l.rtdc.4032:itc</v>
      </c>
      <c r="G205" s="8">
        <f t="shared" si="7"/>
        <v>42557.930243055554</v>
      </c>
    </row>
    <row r="206" spans="1:7" x14ac:dyDescent="0.25">
      <c r="A206" s="8">
        <v>42558.514374999999</v>
      </c>
      <c r="B206" s="33" t="s">
        <v>77</v>
      </c>
      <c r="C206" s="33" t="s">
        <v>460</v>
      </c>
      <c r="D206" s="33">
        <v>2000000</v>
      </c>
      <c r="E206" s="33" t="s">
        <v>218</v>
      </c>
      <c r="F206" s="33" t="str">
        <f t="shared" si="6"/>
        <v>rtdc.l.rtdc.4017:itc</v>
      </c>
      <c r="G206" s="8">
        <f t="shared" si="7"/>
        <v>42558.514374999999</v>
      </c>
    </row>
    <row r="207" spans="1:7" x14ac:dyDescent="0.25">
      <c r="A207" s="8">
        <v>42557.942407407405</v>
      </c>
      <c r="B207" s="33" t="s">
        <v>134</v>
      </c>
      <c r="C207" s="33" t="s">
        <v>312</v>
      </c>
      <c r="D207" s="33">
        <v>1740000</v>
      </c>
      <c r="E207" s="33" t="s">
        <v>216</v>
      </c>
      <c r="F207" s="33" t="str">
        <f t="shared" si="6"/>
        <v>rtdc.l.rtdc.4037:itc</v>
      </c>
      <c r="G207" s="8">
        <f t="shared" si="7"/>
        <v>42557.942407407405</v>
      </c>
    </row>
    <row r="208" spans="1:7" x14ac:dyDescent="0.25">
      <c r="A208" s="8">
        <v>42558.310416666667</v>
      </c>
      <c r="B208" s="33" t="s">
        <v>138</v>
      </c>
      <c r="C208" s="33" t="s">
        <v>413</v>
      </c>
      <c r="D208" s="33">
        <v>1110000</v>
      </c>
      <c r="E208" s="33" t="s">
        <v>222</v>
      </c>
      <c r="F208" s="33" t="str">
        <f t="shared" si="6"/>
        <v>rtdc.l.rtdc.4027:itc</v>
      </c>
      <c r="G208" s="8">
        <f t="shared" si="7"/>
        <v>42558.310416666667</v>
      </c>
    </row>
    <row r="209" spans="1:7" x14ac:dyDescent="0.25">
      <c r="A209" s="8">
        <v>42557.804155092592</v>
      </c>
      <c r="B209" s="33" t="s">
        <v>117</v>
      </c>
      <c r="C209" s="33" t="s">
        <v>314</v>
      </c>
      <c r="D209" s="33">
        <v>1740000</v>
      </c>
      <c r="E209" s="33" t="s">
        <v>216</v>
      </c>
      <c r="F209" s="33" t="str">
        <f t="shared" si="6"/>
        <v>rtdc.l.rtdc.4038:itc</v>
      </c>
      <c r="G209" s="8">
        <f t="shared" si="7"/>
        <v>42557.804155092592</v>
      </c>
    </row>
    <row r="210" spans="1:7" x14ac:dyDescent="0.25">
      <c r="A210" s="8">
        <v>42558.299513888887</v>
      </c>
      <c r="B210" s="33" t="s">
        <v>79</v>
      </c>
      <c r="C210" s="33" t="s">
        <v>411</v>
      </c>
      <c r="D210" s="33">
        <v>1310000</v>
      </c>
      <c r="E210" s="33" t="s">
        <v>120</v>
      </c>
      <c r="F210" s="33" t="str">
        <f t="shared" si="6"/>
        <v>rtdc.l.rtdc.4031:itc</v>
      </c>
      <c r="G210" s="8">
        <f t="shared" si="7"/>
        <v>42558.299513888887</v>
      </c>
    </row>
    <row r="211" spans="1:7" x14ac:dyDescent="0.25">
      <c r="A211" s="8">
        <v>42558.189386574071</v>
      </c>
      <c r="B211" s="33" t="s">
        <v>76</v>
      </c>
      <c r="C211" s="33" t="s">
        <v>305</v>
      </c>
      <c r="D211" s="33">
        <v>2030000</v>
      </c>
      <c r="E211" s="33" t="s">
        <v>217</v>
      </c>
      <c r="F211" s="33" t="str">
        <f t="shared" si="6"/>
        <v>rtdc.l.rtdc.4018:itc</v>
      </c>
      <c r="G211" s="8">
        <f t="shared" si="7"/>
        <v>42558.189386574071</v>
      </c>
    </row>
    <row r="212" spans="1:7" x14ac:dyDescent="0.25">
      <c r="A212" s="8">
        <v>42558.299675925926</v>
      </c>
      <c r="B212" s="33" t="s">
        <v>165</v>
      </c>
      <c r="C212" s="33" t="s">
        <v>603</v>
      </c>
      <c r="D212" s="33">
        <v>1460000</v>
      </c>
      <c r="E212" s="33" t="s">
        <v>119</v>
      </c>
      <c r="F212" s="33" t="str">
        <f t="shared" si="6"/>
        <v>rtdc.l.rtdc.4040:itc</v>
      </c>
      <c r="G212" s="8">
        <f t="shared" si="7"/>
        <v>42558.299675925926</v>
      </c>
    </row>
    <row r="213" spans="1:7" x14ac:dyDescent="0.25">
      <c r="A213" s="8">
        <v>42558.204930555556</v>
      </c>
      <c r="B213" s="33" t="s">
        <v>131</v>
      </c>
      <c r="C213" s="33" t="s">
        <v>302</v>
      </c>
      <c r="D213" s="33">
        <v>1830000</v>
      </c>
      <c r="E213" s="33" t="s">
        <v>146</v>
      </c>
      <c r="F213" s="33" t="str">
        <f t="shared" si="6"/>
        <v>rtdc.l.rtdc.4013:itc</v>
      </c>
      <c r="G213" s="8">
        <f t="shared" si="7"/>
        <v>42558.204930555556</v>
      </c>
    </row>
    <row r="214" spans="1:7" x14ac:dyDescent="0.25">
      <c r="A214" s="8">
        <v>42558.277696759258</v>
      </c>
      <c r="B214" s="33" t="s">
        <v>133</v>
      </c>
      <c r="C214" s="33" t="s">
        <v>307</v>
      </c>
      <c r="D214" s="33">
        <v>1110000</v>
      </c>
      <c r="E214" s="33" t="s">
        <v>222</v>
      </c>
      <c r="F214" s="33" t="str">
        <f t="shared" si="6"/>
        <v>rtdc.l.rtdc.4028:itc</v>
      </c>
      <c r="G214" s="8">
        <f t="shared" si="7"/>
        <v>42558.277696759258</v>
      </c>
    </row>
    <row r="215" spans="1:7" x14ac:dyDescent="0.25">
      <c r="A215" s="8">
        <v>42558.255219907405</v>
      </c>
      <c r="B215" s="33" t="s">
        <v>159</v>
      </c>
      <c r="C215" s="33" t="s">
        <v>315</v>
      </c>
      <c r="D215" s="33">
        <v>1840000</v>
      </c>
      <c r="E215" s="33" t="s">
        <v>118</v>
      </c>
      <c r="F215" s="33" t="str">
        <f t="shared" si="6"/>
        <v>rtdc.l.rtdc.4043:itc</v>
      </c>
      <c r="G215" s="8">
        <f t="shared" si="7"/>
        <v>42558.255219907405</v>
      </c>
    </row>
    <row r="216" spans="1:7" x14ac:dyDescent="0.25">
      <c r="A216" s="8">
        <v>42558.255937499998</v>
      </c>
      <c r="B216" s="33" t="s">
        <v>76</v>
      </c>
      <c r="C216" s="33" t="s">
        <v>292</v>
      </c>
      <c r="D216" s="33">
        <v>2030000</v>
      </c>
      <c r="E216" s="33" t="s">
        <v>217</v>
      </c>
      <c r="F216" s="33" t="str">
        <f t="shared" si="6"/>
        <v>rtdc.l.rtdc.4018:itc</v>
      </c>
      <c r="G216" s="8">
        <f t="shared" si="7"/>
        <v>42558.255937499998</v>
      </c>
    </row>
    <row r="217" spans="1:7" x14ac:dyDescent="0.25">
      <c r="A217" s="8">
        <v>42558.286469907405</v>
      </c>
      <c r="B217" s="33" t="s">
        <v>155</v>
      </c>
      <c r="C217" s="33" t="s">
        <v>313</v>
      </c>
      <c r="D217" s="33">
        <v>1840000</v>
      </c>
      <c r="E217" s="33" t="s">
        <v>118</v>
      </c>
      <c r="F217" s="33" t="str">
        <f t="shared" si="6"/>
        <v>rtdc.l.rtdc.4044:itc</v>
      </c>
      <c r="G217" s="8">
        <f t="shared" si="7"/>
        <v>42558.286469907405</v>
      </c>
    </row>
    <row r="218" spans="1:7" x14ac:dyDescent="0.25">
      <c r="A218" s="8">
        <v>42558.234710648147</v>
      </c>
      <c r="B218" s="33" t="s">
        <v>124</v>
      </c>
      <c r="C218" s="33" t="s">
        <v>304</v>
      </c>
      <c r="D218" s="33">
        <v>2010000</v>
      </c>
      <c r="E218" s="33" t="s">
        <v>271</v>
      </c>
      <c r="F218" s="33" t="str">
        <f t="shared" si="6"/>
        <v>rtdc.l.rtdc.4012:itc</v>
      </c>
      <c r="G218" s="8">
        <f t="shared" si="7"/>
        <v>42558.234710648147</v>
      </c>
    </row>
    <row r="219" spans="1:7" x14ac:dyDescent="0.25">
      <c r="A219" s="8">
        <v>42558.317696759259</v>
      </c>
      <c r="B219" s="33" t="s">
        <v>193</v>
      </c>
      <c r="C219" s="33" t="s">
        <v>605</v>
      </c>
      <c r="D219" s="33">
        <v>1460000</v>
      </c>
      <c r="E219" s="33" t="s">
        <v>119</v>
      </c>
      <c r="F219" s="33" t="str">
        <f t="shared" si="6"/>
        <v>rtdc.l.rtdc.4039:itc</v>
      </c>
      <c r="G219" s="8">
        <f t="shared" si="7"/>
        <v>42558.317696759259</v>
      </c>
    </row>
    <row r="220" spans="1:7" x14ac:dyDescent="0.25">
      <c r="A220" s="8">
        <v>42557.829340277778</v>
      </c>
      <c r="B220" s="33" t="s">
        <v>132</v>
      </c>
      <c r="C220" s="33" t="s">
        <v>249</v>
      </c>
      <c r="D220" s="33">
        <v>1820000</v>
      </c>
      <c r="E220" s="33" t="s">
        <v>109</v>
      </c>
      <c r="F220" s="33" t="str">
        <f t="shared" si="6"/>
        <v>rtdc.l.rtdc.4025:itc</v>
      </c>
      <c r="G220" s="8">
        <f t="shared" si="7"/>
        <v>42557.829340277778</v>
      </c>
    </row>
    <row r="221" spans="1:7" x14ac:dyDescent="0.25">
      <c r="A221" s="8">
        <v>42558.341053240743</v>
      </c>
      <c r="B221" s="33" t="s">
        <v>129</v>
      </c>
      <c r="C221" s="33" t="s">
        <v>609</v>
      </c>
      <c r="D221" s="33">
        <v>1340000</v>
      </c>
      <c r="E221" s="33" t="s">
        <v>149</v>
      </c>
      <c r="F221" s="33" t="str">
        <f t="shared" si="6"/>
        <v>rtdc.l.rtdc.4026:itc</v>
      </c>
      <c r="G221" s="8">
        <f t="shared" si="7"/>
        <v>42558.341053240743</v>
      </c>
    </row>
    <row r="222" spans="1:7" x14ac:dyDescent="0.25">
      <c r="A222" s="8">
        <v>42557.795219907406</v>
      </c>
      <c r="B222" s="33" t="s">
        <v>123</v>
      </c>
      <c r="C222" s="33" t="s">
        <v>261</v>
      </c>
      <c r="D222" s="33">
        <v>1280000</v>
      </c>
      <c r="E222" s="33" t="s">
        <v>135</v>
      </c>
      <c r="F222" s="33" t="str">
        <f t="shared" si="6"/>
        <v>rtdc.l.rtdc.4011:itc</v>
      </c>
      <c r="G222" s="8">
        <f t="shared" si="7"/>
        <v>42557.795219907406</v>
      </c>
    </row>
    <row r="223" spans="1:7" x14ac:dyDescent="0.25">
      <c r="A223" s="8">
        <v>42558.380914351852</v>
      </c>
      <c r="B223" s="33" t="s">
        <v>138</v>
      </c>
      <c r="C223" s="33" t="s">
        <v>435</v>
      </c>
      <c r="D223" s="33">
        <v>1110000</v>
      </c>
      <c r="E223" s="33" t="s">
        <v>222</v>
      </c>
      <c r="F223" s="33" t="str">
        <f t="shared" si="6"/>
        <v>rtdc.l.rtdc.4027:itc</v>
      </c>
      <c r="G223" s="8">
        <f t="shared" si="7"/>
        <v>42558.380914351852</v>
      </c>
    </row>
    <row r="224" spans="1:7" x14ac:dyDescent="0.25">
      <c r="A224" s="8">
        <v>42558.564259259256</v>
      </c>
      <c r="B224" t="s">
        <v>133</v>
      </c>
      <c r="C224" t="s">
        <v>477</v>
      </c>
      <c r="D224">
        <v>1280000</v>
      </c>
      <c r="E224" t="s">
        <v>135</v>
      </c>
      <c r="F224" s="33" t="str">
        <f t="shared" si="6"/>
        <v>rtdc.l.rtdc.4028:itc</v>
      </c>
      <c r="G224" s="8">
        <f t="shared" si="7"/>
        <v>42558.564259259256</v>
      </c>
    </row>
    <row r="225" spans="1:7" x14ac:dyDescent="0.25">
      <c r="A225" s="8">
        <v>42558.387731481482</v>
      </c>
      <c r="B225" t="s">
        <v>158</v>
      </c>
      <c r="C225" t="s">
        <v>426</v>
      </c>
      <c r="D225">
        <v>2040000</v>
      </c>
      <c r="E225" t="s">
        <v>265</v>
      </c>
      <c r="F225" s="33" t="str">
        <f t="shared" si="6"/>
        <v>rtdc.l.rtdc.4008:itc</v>
      </c>
      <c r="G225" s="8">
        <f t="shared" si="7"/>
        <v>42558.387731481482</v>
      </c>
    </row>
    <row r="226" spans="1:7" x14ac:dyDescent="0.25">
      <c r="A226" s="8">
        <v>42558.526828703703</v>
      </c>
      <c r="B226" t="s">
        <v>138</v>
      </c>
      <c r="C226" t="s">
        <v>476</v>
      </c>
      <c r="D226">
        <v>1280000</v>
      </c>
      <c r="E226" t="s">
        <v>135</v>
      </c>
      <c r="F226" s="33" t="str">
        <f t="shared" si="6"/>
        <v>rtdc.l.rtdc.4027:itc</v>
      </c>
      <c r="G226" s="8">
        <f t="shared" si="7"/>
        <v>42558.526828703703</v>
      </c>
    </row>
    <row r="227" spans="1:7" x14ac:dyDescent="0.25">
      <c r="A227" s="8">
        <v>42559.269131944442</v>
      </c>
      <c r="B227" t="s">
        <v>129</v>
      </c>
      <c r="C227" t="s">
        <v>726</v>
      </c>
      <c r="D227">
        <v>1480000</v>
      </c>
      <c r="E227" t="s">
        <v>125</v>
      </c>
      <c r="F227" s="33" t="str">
        <f t="shared" si="6"/>
        <v>rtdc.l.rtdc.4026:itc</v>
      </c>
      <c r="G227" s="8">
        <f t="shared" si="7"/>
        <v>42559.269131944442</v>
      </c>
    </row>
    <row r="228" spans="1:7" x14ac:dyDescent="0.25">
      <c r="A228" s="8">
        <v>42558.256608796299</v>
      </c>
      <c r="B228" t="s">
        <v>165</v>
      </c>
      <c r="C228" t="s">
        <v>311</v>
      </c>
      <c r="D228">
        <v>1460000</v>
      </c>
      <c r="E228" t="s">
        <v>119</v>
      </c>
      <c r="F228" s="33" t="str">
        <f t="shared" si="6"/>
        <v>rtdc.l.rtdc.4040:itc</v>
      </c>
      <c r="G228" s="8">
        <f t="shared" si="7"/>
        <v>42558.256608796299</v>
      </c>
    </row>
    <row r="229" spans="1:7" x14ac:dyDescent="0.25">
      <c r="A229" s="8">
        <v>42558.412175925929</v>
      </c>
      <c r="B229" t="s">
        <v>123</v>
      </c>
      <c r="C229" t="s">
        <v>440</v>
      </c>
      <c r="D229">
        <v>2010000</v>
      </c>
      <c r="E229" t="s">
        <v>271</v>
      </c>
      <c r="F229" s="33" t="str">
        <f t="shared" si="6"/>
        <v>rtdc.l.rtdc.4011:itc</v>
      </c>
      <c r="G229" s="8">
        <f t="shared" si="7"/>
        <v>42558.412175925929</v>
      </c>
    </row>
    <row r="230" spans="1:7" x14ac:dyDescent="0.25">
      <c r="A230" s="8">
        <v>42558.205914351849</v>
      </c>
      <c r="B230" t="s">
        <v>131</v>
      </c>
      <c r="C230" t="s">
        <v>302</v>
      </c>
      <c r="D230">
        <v>1830000</v>
      </c>
      <c r="E230" t="s">
        <v>146</v>
      </c>
      <c r="F230" s="33" t="str">
        <f t="shared" si="6"/>
        <v>rtdc.l.rtdc.4013:itc</v>
      </c>
      <c r="G230" s="8">
        <f t="shared" si="7"/>
        <v>42558.205914351849</v>
      </c>
    </row>
    <row r="231" spans="1:7" x14ac:dyDescent="0.25">
      <c r="A231" s="8">
        <v>42558.412106481483</v>
      </c>
      <c r="B231" t="s">
        <v>69</v>
      </c>
      <c r="C231" t="s">
        <v>433</v>
      </c>
      <c r="D231">
        <v>1310000</v>
      </c>
      <c r="E231" t="s">
        <v>120</v>
      </c>
      <c r="F231" s="33" t="str">
        <f t="shared" si="6"/>
        <v>rtdc.l.rtdc.4032:itc</v>
      </c>
      <c r="G231" s="8">
        <f t="shared" si="7"/>
        <v>42558.412106481483</v>
      </c>
    </row>
    <row r="232" spans="1:7" x14ac:dyDescent="0.25">
      <c r="A232" s="8">
        <v>42557.889421296299</v>
      </c>
      <c r="B232" t="s">
        <v>193</v>
      </c>
      <c r="C232" t="s">
        <v>308</v>
      </c>
      <c r="D232">
        <v>1240000</v>
      </c>
      <c r="E232" t="s">
        <v>161</v>
      </c>
      <c r="F232" s="33" t="str">
        <f t="shared" si="6"/>
        <v>rtdc.l.rtdc.4039:itc</v>
      </c>
      <c r="G232" s="8">
        <f t="shared" si="7"/>
        <v>42557.889421296299</v>
      </c>
    </row>
    <row r="233" spans="1:7" x14ac:dyDescent="0.25">
      <c r="A233" s="8">
        <v>42558.506701388891</v>
      </c>
      <c r="B233" t="s">
        <v>155</v>
      </c>
      <c r="C233" t="s">
        <v>469</v>
      </c>
      <c r="D233">
        <v>1340000</v>
      </c>
      <c r="E233" t="s">
        <v>149</v>
      </c>
      <c r="F233" s="33" t="str">
        <f t="shared" si="6"/>
        <v>rtdc.l.rtdc.4044:itc</v>
      </c>
      <c r="G233" s="8">
        <f t="shared" si="7"/>
        <v>42558.506701388891</v>
      </c>
    </row>
    <row r="234" spans="1:7" x14ac:dyDescent="0.25">
      <c r="A234" s="8">
        <v>42557.822013888886</v>
      </c>
      <c r="B234" t="s">
        <v>124</v>
      </c>
      <c r="C234" t="s">
        <v>299</v>
      </c>
      <c r="D234">
        <v>1280000</v>
      </c>
      <c r="E234" t="s">
        <v>135</v>
      </c>
      <c r="F234" s="33" t="str">
        <f t="shared" si="6"/>
        <v>rtdc.l.rtdc.4012:itc</v>
      </c>
      <c r="G234" s="8">
        <f t="shared" si="7"/>
        <v>42557.822013888886</v>
      </c>
    </row>
    <row r="235" spans="1:7" x14ac:dyDescent="0.25">
      <c r="A235" s="8">
        <v>42558.589421296296</v>
      </c>
      <c r="B235" t="s">
        <v>79</v>
      </c>
      <c r="C235" t="s">
        <v>495</v>
      </c>
      <c r="D235">
        <v>880000</v>
      </c>
      <c r="E235" t="s">
        <v>147</v>
      </c>
      <c r="F235" s="33" t="str">
        <f t="shared" si="6"/>
        <v>rtdc.l.rtdc.4031:itc</v>
      </c>
      <c r="G235" s="8">
        <f t="shared" si="7"/>
        <v>42558.589421296296</v>
      </c>
    </row>
    <row r="236" spans="1:7" x14ac:dyDescent="0.25">
      <c r="A236" s="8">
        <v>42558.693611111114</v>
      </c>
      <c r="B236" t="s">
        <v>159</v>
      </c>
      <c r="C236" t="s">
        <v>519</v>
      </c>
      <c r="D236">
        <v>1740000</v>
      </c>
      <c r="E236" t="s">
        <v>216</v>
      </c>
      <c r="F236" s="33" t="str">
        <f t="shared" ref="F236:F265" si="8">B236</f>
        <v>rtdc.l.rtdc.4043:itc</v>
      </c>
      <c r="G236" s="8">
        <f t="shared" ref="G236:G265" si="9">A236</f>
        <v>42558.693611111114</v>
      </c>
    </row>
    <row r="237" spans="1:7" x14ac:dyDescent="0.25">
      <c r="A237" s="8">
        <v>42558.598819444444</v>
      </c>
      <c r="B237" t="s">
        <v>165</v>
      </c>
      <c r="C237" t="s">
        <v>637</v>
      </c>
      <c r="D237">
        <v>1520000</v>
      </c>
      <c r="E237" t="s">
        <v>148</v>
      </c>
      <c r="F237" s="33" t="str">
        <f t="shared" si="8"/>
        <v>rtdc.l.rtdc.4040:itc</v>
      </c>
      <c r="G237" s="8">
        <f t="shared" si="9"/>
        <v>42558.598819444444</v>
      </c>
    </row>
    <row r="238" spans="1:7" x14ac:dyDescent="0.25">
      <c r="A238" s="8">
        <v>42558.64806712963</v>
      </c>
      <c r="B238" t="s">
        <v>134</v>
      </c>
      <c r="C238" t="s">
        <v>505</v>
      </c>
      <c r="D238">
        <v>1090000</v>
      </c>
      <c r="E238" t="s">
        <v>142</v>
      </c>
      <c r="F238" s="33" t="str">
        <f t="shared" si="8"/>
        <v>rtdc.l.rtdc.4037:itc</v>
      </c>
      <c r="G238" s="8">
        <f t="shared" si="9"/>
        <v>42558.64806712963</v>
      </c>
    </row>
    <row r="239" spans="1:7" x14ac:dyDescent="0.25">
      <c r="A239" s="8">
        <v>42558.671168981484</v>
      </c>
      <c r="B239" t="s">
        <v>129</v>
      </c>
      <c r="C239" t="s">
        <v>647</v>
      </c>
      <c r="D239">
        <v>1780000</v>
      </c>
      <c r="E239" t="s">
        <v>164</v>
      </c>
      <c r="F239" s="33" t="str">
        <f t="shared" si="8"/>
        <v>rtdc.l.rtdc.4026:itc</v>
      </c>
      <c r="G239" s="8">
        <f t="shared" si="9"/>
        <v>42558.671168981484</v>
      </c>
    </row>
    <row r="240" spans="1:7" x14ac:dyDescent="0.25">
      <c r="A240" s="8">
        <v>42558.306666666664</v>
      </c>
      <c r="B240" t="s">
        <v>124</v>
      </c>
      <c r="C240" t="s">
        <v>405</v>
      </c>
      <c r="D240">
        <v>2010000</v>
      </c>
      <c r="E240" t="s">
        <v>271</v>
      </c>
      <c r="F240" s="33" t="str">
        <f t="shared" si="8"/>
        <v>rtdc.l.rtdc.4012:itc</v>
      </c>
      <c r="G240" s="8">
        <f t="shared" si="9"/>
        <v>42558.306666666664</v>
      </c>
    </row>
    <row r="241" spans="1:7" x14ac:dyDescent="0.25">
      <c r="A241" s="8">
        <v>42559.231122685182</v>
      </c>
      <c r="B241" t="s">
        <v>727</v>
      </c>
      <c r="C241" t="s">
        <v>728</v>
      </c>
      <c r="D241">
        <v>2030000</v>
      </c>
      <c r="E241" t="s">
        <v>217</v>
      </c>
      <c r="F241" s="33" t="str">
        <f t="shared" si="8"/>
        <v>rtdc.l.rtdc.4016:itc</v>
      </c>
      <c r="G241" s="8">
        <f t="shared" si="9"/>
        <v>42559.231122685182</v>
      </c>
    </row>
    <row r="242" spans="1:7" x14ac:dyDescent="0.25">
      <c r="A242" s="8">
        <v>42558.188043981485</v>
      </c>
      <c r="B242" t="s">
        <v>76</v>
      </c>
      <c r="C242" t="s">
        <v>305</v>
      </c>
      <c r="D242">
        <v>2030000</v>
      </c>
      <c r="E242" t="s">
        <v>217</v>
      </c>
      <c r="F242" s="33" t="str">
        <f t="shared" si="8"/>
        <v>rtdc.l.rtdc.4018:itc</v>
      </c>
      <c r="G242" s="8">
        <f t="shared" si="9"/>
        <v>42558.188043981485</v>
      </c>
    </row>
    <row r="243" spans="1:7" x14ac:dyDescent="0.25">
      <c r="A243" s="8">
        <v>42559.244444444441</v>
      </c>
      <c r="B243" t="s">
        <v>133</v>
      </c>
      <c r="C243" t="s">
        <v>729</v>
      </c>
      <c r="D243">
        <v>1830000</v>
      </c>
      <c r="E243" t="s">
        <v>146</v>
      </c>
      <c r="F243" s="33" t="str">
        <f t="shared" si="8"/>
        <v>rtdc.l.rtdc.4028:itc</v>
      </c>
      <c r="G243" s="8">
        <f t="shared" si="9"/>
        <v>42559.244444444441</v>
      </c>
    </row>
    <row r="244" spans="1:7" x14ac:dyDescent="0.25">
      <c r="A244" s="8">
        <v>42558.652384259258</v>
      </c>
      <c r="B244" t="s">
        <v>193</v>
      </c>
      <c r="C244" t="s">
        <v>644</v>
      </c>
      <c r="D244">
        <v>1520000</v>
      </c>
      <c r="E244" t="s">
        <v>148</v>
      </c>
      <c r="F244" s="33" t="str">
        <f t="shared" si="8"/>
        <v>rtdc.l.rtdc.4039:itc</v>
      </c>
      <c r="G244" s="8">
        <f t="shared" si="9"/>
        <v>42558.652384259258</v>
      </c>
    </row>
    <row r="245" spans="1:7" x14ac:dyDescent="0.25">
      <c r="A245" s="8">
        <v>42559.273344907408</v>
      </c>
      <c r="B245" t="s">
        <v>130</v>
      </c>
      <c r="C245" t="s">
        <v>730</v>
      </c>
      <c r="D245">
        <v>1310000</v>
      </c>
      <c r="E245" t="s">
        <v>120</v>
      </c>
      <c r="F245" s="33" t="str">
        <f t="shared" si="8"/>
        <v>rtdc.l.rtdc.4014:itc</v>
      </c>
      <c r="G245" s="8">
        <f t="shared" si="9"/>
        <v>42559.273344907408</v>
      </c>
    </row>
    <row r="246" spans="1:7" x14ac:dyDescent="0.25">
      <c r="A246" s="8">
        <v>42558.541261574072</v>
      </c>
      <c r="B246" t="s">
        <v>159</v>
      </c>
      <c r="C246" t="s">
        <v>472</v>
      </c>
      <c r="D246">
        <v>1340000</v>
      </c>
      <c r="E246" t="s">
        <v>149</v>
      </c>
      <c r="F246" s="33" t="str">
        <f t="shared" si="8"/>
        <v>rtdc.l.rtdc.4043:itc</v>
      </c>
      <c r="G246" s="8">
        <f t="shared" si="9"/>
        <v>42558.541261574072</v>
      </c>
    </row>
    <row r="247" spans="1:7" x14ac:dyDescent="0.25">
      <c r="A247" s="8">
        <v>42559.282314814816</v>
      </c>
      <c r="B247" t="s">
        <v>79</v>
      </c>
      <c r="C247" t="s">
        <v>731</v>
      </c>
      <c r="D247">
        <v>1340000</v>
      </c>
      <c r="E247" t="s">
        <v>149</v>
      </c>
      <c r="F247" s="33" t="str">
        <f t="shared" si="8"/>
        <v>rtdc.l.rtdc.4031:itc</v>
      </c>
      <c r="G247" s="8">
        <f t="shared" si="9"/>
        <v>42559.282314814816</v>
      </c>
    </row>
    <row r="248" spans="1:7" x14ac:dyDescent="0.25">
      <c r="A248" s="8">
        <v>42557.849606481483</v>
      </c>
      <c r="B248" t="s">
        <v>165</v>
      </c>
      <c r="C248" t="s">
        <v>253</v>
      </c>
      <c r="D248">
        <v>1240000</v>
      </c>
      <c r="E248" t="s">
        <v>161</v>
      </c>
      <c r="F248" s="33" t="str">
        <f t="shared" si="8"/>
        <v>rtdc.l.rtdc.4040:itc</v>
      </c>
      <c r="G248" s="8">
        <f t="shared" si="9"/>
        <v>42557.849606481483</v>
      </c>
    </row>
    <row r="249" spans="1:7" x14ac:dyDescent="0.25">
      <c r="A249" s="8">
        <v>42558.641932870371</v>
      </c>
      <c r="B249" t="s">
        <v>129</v>
      </c>
      <c r="C249" t="s">
        <v>700</v>
      </c>
      <c r="D249">
        <v>1780000</v>
      </c>
      <c r="E249" t="s">
        <v>164</v>
      </c>
      <c r="F249" s="33" t="str">
        <f t="shared" si="8"/>
        <v>rtdc.l.rtdc.4026:itc</v>
      </c>
      <c r="G249" s="8">
        <f t="shared" si="9"/>
        <v>42558.641932870371</v>
      </c>
    </row>
    <row r="250" spans="1:7" x14ac:dyDescent="0.25">
      <c r="A250" s="8">
        <v>42558.684652777774</v>
      </c>
      <c r="B250" t="s">
        <v>117</v>
      </c>
      <c r="C250" t="s">
        <v>526</v>
      </c>
      <c r="D250">
        <v>1090000</v>
      </c>
      <c r="E250" t="s">
        <v>142</v>
      </c>
      <c r="F250" s="33" t="str">
        <f t="shared" si="8"/>
        <v>rtdc.l.rtdc.4038:itc</v>
      </c>
      <c r="G250" s="8">
        <f t="shared" si="9"/>
        <v>42558.684652777774</v>
      </c>
    </row>
    <row r="251" spans="1:7" x14ac:dyDescent="0.25">
      <c r="A251" s="8">
        <v>42558.50986111111</v>
      </c>
      <c r="B251" t="s">
        <v>165</v>
      </c>
      <c r="C251" t="s">
        <v>627</v>
      </c>
      <c r="D251">
        <v>1460000</v>
      </c>
      <c r="E251" t="s">
        <v>119</v>
      </c>
      <c r="F251" s="33" t="str">
        <f t="shared" si="8"/>
        <v>rtdc.l.rtdc.4040:itc</v>
      </c>
      <c r="G251" s="8">
        <f t="shared" si="9"/>
        <v>42558.50986111111</v>
      </c>
    </row>
    <row r="252" spans="1:7" x14ac:dyDescent="0.25">
      <c r="A252" s="8">
        <v>42558.486458333333</v>
      </c>
      <c r="B252" t="s">
        <v>193</v>
      </c>
      <c r="C252" t="s">
        <v>626</v>
      </c>
      <c r="D252">
        <v>1460000</v>
      </c>
      <c r="E252" t="s">
        <v>119</v>
      </c>
      <c r="F252" s="33" t="str">
        <f t="shared" si="8"/>
        <v>rtdc.l.rtdc.4039:itc</v>
      </c>
      <c r="G252" s="8">
        <f t="shared" si="9"/>
        <v>42558.486458333333</v>
      </c>
    </row>
    <row r="253" spans="1:7" x14ac:dyDescent="0.25">
      <c r="A253" s="8">
        <v>42558.995821759258</v>
      </c>
      <c r="B253" t="s">
        <v>117</v>
      </c>
      <c r="C253" t="s">
        <v>590</v>
      </c>
      <c r="D253">
        <v>1820000</v>
      </c>
      <c r="E253" t="s">
        <v>109</v>
      </c>
      <c r="F253" s="33" t="str">
        <f t="shared" si="8"/>
        <v>rtdc.l.rtdc.4038:itc</v>
      </c>
      <c r="G253" s="8">
        <f t="shared" si="9"/>
        <v>42558.995821759258</v>
      </c>
    </row>
    <row r="254" spans="1:7" x14ac:dyDescent="0.25">
      <c r="A254" s="8">
        <v>42558.434606481482</v>
      </c>
      <c r="B254" t="s">
        <v>155</v>
      </c>
      <c r="C254" t="s">
        <v>445</v>
      </c>
      <c r="D254">
        <v>2040000</v>
      </c>
      <c r="E254" t="s">
        <v>265</v>
      </c>
      <c r="F254" s="33" t="str">
        <f t="shared" si="8"/>
        <v>rtdc.l.rtdc.4044:itc</v>
      </c>
      <c r="G254" s="8">
        <f t="shared" si="9"/>
        <v>42558.434606481482</v>
      </c>
    </row>
    <row r="255" spans="1:7" x14ac:dyDescent="0.25">
      <c r="A255" s="8">
        <v>42558.654942129629</v>
      </c>
      <c r="B255" t="s">
        <v>132</v>
      </c>
      <c r="C255" t="s">
        <v>646</v>
      </c>
      <c r="D255">
        <v>1780000</v>
      </c>
      <c r="E255" t="s">
        <v>164</v>
      </c>
      <c r="F255" s="33" t="str">
        <f t="shared" si="8"/>
        <v>rtdc.l.rtdc.4025:itc</v>
      </c>
      <c r="G255" s="8">
        <f t="shared" si="9"/>
        <v>42558.654942129629</v>
      </c>
    </row>
    <row r="256" spans="1:7" x14ac:dyDescent="0.25">
      <c r="A256" s="8">
        <v>42557.97415509259</v>
      </c>
      <c r="B256" t="s">
        <v>193</v>
      </c>
      <c r="C256" t="s">
        <v>306</v>
      </c>
      <c r="D256">
        <v>1240000</v>
      </c>
      <c r="E256" t="s">
        <v>161</v>
      </c>
      <c r="F256" s="33" t="str">
        <f t="shared" si="8"/>
        <v>rtdc.l.rtdc.4039:itc</v>
      </c>
      <c r="G256" s="8">
        <f t="shared" si="9"/>
        <v>42557.97415509259</v>
      </c>
    </row>
    <row r="257" spans="1:7" x14ac:dyDescent="0.25">
      <c r="A257" s="8">
        <v>42558.671643518515</v>
      </c>
      <c r="B257" t="s">
        <v>124</v>
      </c>
      <c r="C257" t="s">
        <v>511</v>
      </c>
      <c r="D257">
        <v>1290000</v>
      </c>
      <c r="E257" t="s">
        <v>196</v>
      </c>
      <c r="F257" s="33" t="str">
        <f t="shared" si="8"/>
        <v>rtdc.l.rtdc.4012:itc</v>
      </c>
      <c r="G257" s="8">
        <f t="shared" si="9"/>
        <v>42558.671643518515</v>
      </c>
    </row>
    <row r="258" spans="1:7" x14ac:dyDescent="0.25">
      <c r="A258" s="8">
        <v>42557.847743055558</v>
      </c>
      <c r="B258" t="s">
        <v>69</v>
      </c>
      <c r="C258" t="s">
        <v>252</v>
      </c>
      <c r="D258">
        <v>1540000</v>
      </c>
      <c r="E258" t="s">
        <v>157</v>
      </c>
      <c r="F258" s="33" t="str">
        <f t="shared" si="8"/>
        <v>rtdc.l.rtdc.4032:itc</v>
      </c>
      <c r="G258" s="8">
        <f t="shared" si="9"/>
        <v>42557.847743055558</v>
      </c>
    </row>
    <row r="259" spans="1:7" x14ac:dyDescent="0.25">
      <c r="A259" s="8">
        <v>42558.765636574077</v>
      </c>
      <c r="B259" t="s">
        <v>76</v>
      </c>
      <c r="C259" t="s">
        <v>553</v>
      </c>
      <c r="D259">
        <v>1240000</v>
      </c>
      <c r="E259" t="s">
        <v>161</v>
      </c>
      <c r="F259" s="33" t="str">
        <f t="shared" si="8"/>
        <v>rtdc.l.rtdc.4018:itc</v>
      </c>
      <c r="G259" s="8">
        <f t="shared" si="9"/>
        <v>42558.765636574077</v>
      </c>
    </row>
    <row r="260" spans="1:7" x14ac:dyDescent="0.25">
      <c r="A260" s="8">
        <v>42558.719490740739</v>
      </c>
      <c r="B260" t="s">
        <v>134</v>
      </c>
      <c r="C260" t="s">
        <v>527</v>
      </c>
      <c r="D260">
        <v>1090000</v>
      </c>
      <c r="E260" t="s">
        <v>142</v>
      </c>
      <c r="F260" s="33" t="str">
        <f t="shared" si="8"/>
        <v>rtdc.l.rtdc.4037:itc</v>
      </c>
      <c r="G260" s="8">
        <f t="shared" si="9"/>
        <v>42558.719490740739</v>
      </c>
    </row>
    <row r="261" spans="1:7" x14ac:dyDescent="0.25">
      <c r="A261" s="8">
        <v>42558.442893518521</v>
      </c>
      <c r="B261" t="s">
        <v>193</v>
      </c>
      <c r="C261" t="s">
        <v>622</v>
      </c>
      <c r="D261">
        <v>1460000</v>
      </c>
      <c r="E261" t="s">
        <v>119</v>
      </c>
      <c r="F261" s="33" t="str">
        <f t="shared" si="8"/>
        <v>rtdc.l.rtdc.4039:itc</v>
      </c>
      <c r="G261" s="8">
        <f t="shared" si="9"/>
        <v>42558.442893518521</v>
      </c>
    </row>
    <row r="262" spans="1:7" x14ac:dyDescent="0.25">
      <c r="A262" s="8">
        <v>42558.633935185186</v>
      </c>
      <c r="B262" t="s">
        <v>123</v>
      </c>
      <c r="C262" t="s">
        <v>509</v>
      </c>
      <c r="D262">
        <v>1290000</v>
      </c>
      <c r="E262" t="s">
        <v>196</v>
      </c>
      <c r="F262" s="33" t="str">
        <f t="shared" si="8"/>
        <v>rtdc.l.rtdc.4011:itc</v>
      </c>
      <c r="G262" s="8">
        <f t="shared" si="9"/>
        <v>42558.633935185186</v>
      </c>
    </row>
    <row r="263" spans="1:7" x14ac:dyDescent="0.25">
      <c r="A263" s="8">
        <v>42558.588240740741</v>
      </c>
      <c r="B263" t="s">
        <v>77</v>
      </c>
      <c r="C263" t="s">
        <v>483</v>
      </c>
      <c r="D263">
        <v>2000000</v>
      </c>
      <c r="E263" t="s">
        <v>218</v>
      </c>
      <c r="F263" s="33" t="str">
        <f t="shared" si="8"/>
        <v>rtdc.l.rtdc.4017:itc</v>
      </c>
      <c r="G263" s="8">
        <f t="shared" si="9"/>
        <v>42558.588240740741</v>
      </c>
    </row>
    <row r="264" spans="1:7" x14ac:dyDescent="0.25">
      <c r="A264" s="8">
        <v>42558.573206018518</v>
      </c>
      <c r="B264" t="s">
        <v>130</v>
      </c>
      <c r="C264" t="s">
        <v>489</v>
      </c>
      <c r="D264">
        <v>900000</v>
      </c>
      <c r="E264" t="s">
        <v>141</v>
      </c>
      <c r="F264" s="33" t="str">
        <f t="shared" si="8"/>
        <v>rtdc.l.rtdc.4014:itc</v>
      </c>
      <c r="G264" s="8">
        <f t="shared" si="9"/>
        <v>42558.573206018518</v>
      </c>
    </row>
    <row r="265" spans="1:7" x14ac:dyDescent="0.25">
      <c r="A265" s="8">
        <v>42558.693726851852</v>
      </c>
      <c r="B265" t="s">
        <v>131</v>
      </c>
      <c r="C265" t="s">
        <v>514</v>
      </c>
      <c r="D265">
        <v>900000</v>
      </c>
      <c r="E265" t="s">
        <v>141</v>
      </c>
      <c r="F265" s="33" t="str">
        <f t="shared" si="8"/>
        <v>rtdc.l.rtdc.4013:itc</v>
      </c>
      <c r="G265" s="8">
        <f t="shared" si="9"/>
        <v>42558.693726851852</v>
      </c>
    </row>
    <row r="266" spans="1:7" x14ac:dyDescent="0.25">
      <c r="A266" s="8">
        <v>42558.495879629627</v>
      </c>
      <c r="B266" t="s">
        <v>133</v>
      </c>
      <c r="C266" t="s">
        <v>453</v>
      </c>
      <c r="D266">
        <v>1310000</v>
      </c>
      <c r="E266" t="s">
        <v>120</v>
      </c>
      <c r="F266" s="33" t="str">
        <f t="shared" ref="F266:F281" si="10">B266</f>
        <v>rtdc.l.rtdc.4028:itc</v>
      </c>
      <c r="G266" s="8">
        <f t="shared" ref="G266:G281" si="11">A266</f>
        <v>42558.495879629627</v>
      </c>
    </row>
    <row r="267" spans="1:7" x14ac:dyDescent="0.25">
      <c r="A267" s="8">
        <v>42558.735798611109</v>
      </c>
      <c r="B267" t="s">
        <v>79</v>
      </c>
      <c r="C267" t="s">
        <v>544</v>
      </c>
      <c r="D267">
        <v>1990000</v>
      </c>
      <c r="E267" t="s">
        <v>279</v>
      </c>
      <c r="F267" s="33" t="str">
        <f t="shared" si="10"/>
        <v>rtdc.l.rtdc.4031:itc</v>
      </c>
      <c r="G267" s="8">
        <f t="shared" si="11"/>
        <v>42558.735798611109</v>
      </c>
    </row>
    <row r="268" spans="1:7" x14ac:dyDescent="0.25">
      <c r="A268" s="8">
        <v>42558.495625000003</v>
      </c>
      <c r="B268" t="s">
        <v>69</v>
      </c>
      <c r="C268" t="s">
        <v>450</v>
      </c>
      <c r="D268">
        <v>880000</v>
      </c>
      <c r="E268" t="s">
        <v>147</v>
      </c>
      <c r="F268" s="33" t="str">
        <f t="shared" si="10"/>
        <v>rtdc.l.rtdc.4032:itc</v>
      </c>
      <c r="G268" s="8">
        <f t="shared" si="11"/>
        <v>42558.495625000003</v>
      </c>
    </row>
    <row r="269" spans="1:7" x14ac:dyDescent="0.25">
      <c r="A269" s="8">
        <v>42559.197430555556</v>
      </c>
      <c r="B269" t="s">
        <v>130</v>
      </c>
      <c r="C269" t="s">
        <v>701</v>
      </c>
      <c r="D269">
        <v>1310000</v>
      </c>
      <c r="E269" t="s">
        <v>120</v>
      </c>
      <c r="F269" s="33" t="str">
        <f t="shared" si="10"/>
        <v>rtdc.l.rtdc.4014:itc</v>
      </c>
      <c r="G269" s="8">
        <f t="shared" si="11"/>
        <v>42559.197430555556</v>
      </c>
    </row>
    <row r="270" spans="1:7" x14ac:dyDescent="0.25">
      <c r="A270" s="8">
        <v>42558.337060185186</v>
      </c>
      <c r="B270" t="s">
        <v>165</v>
      </c>
      <c r="C270" t="s">
        <v>612</v>
      </c>
      <c r="D270">
        <v>1460000</v>
      </c>
      <c r="E270" t="s">
        <v>119</v>
      </c>
      <c r="F270" s="33" t="str">
        <f t="shared" si="10"/>
        <v>rtdc.l.rtdc.4040:itc</v>
      </c>
      <c r="G270" s="8">
        <f t="shared" si="11"/>
        <v>42558.337060185186</v>
      </c>
    </row>
    <row r="271" spans="1:7" x14ac:dyDescent="0.25">
      <c r="A271" s="8">
        <v>42558.645358796297</v>
      </c>
      <c r="B271" t="s">
        <v>130</v>
      </c>
      <c r="C271" t="s">
        <v>513</v>
      </c>
      <c r="D271">
        <v>900000</v>
      </c>
      <c r="E271" t="s">
        <v>141</v>
      </c>
      <c r="F271" s="33" t="str">
        <f t="shared" si="10"/>
        <v>rtdc.l.rtdc.4014:itc</v>
      </c>
      <c r="G271" s="8">
        <f t="shared" si="11"/>
        <v>42558.645358796297</v>
      </c>
    </row>
    <row r="272" spans="1:7" x14ac:dyDescent="0.25">
      <c r="A272" s="8">
        <v>42558.24790509259</v>
      </c>
      <c r="B272" t="s">
        <v>117</v>
      </c>
      <c r="C272" t="s">
        <v>300</v>
      </c>
      <c r="D272">
        <v>1830000</v>
      </c>
      <c r="E272" t="s">
        <v>146</v>
      </c>
      <c r="F272" s="33" t="str">
        <f t="shared" si="10"/>
        <v>rtdc.l.rtdc.4038:itc</v>
      </c>
      <c r="G272" s="8">
        <f t="shared" si="11"/>
        <v>42558.24790509259</v>
      </c>
    </row>
    <row r="273" spans="1:7" x14ac:dyDescent="0.25">
      <c r="A273" s="8">
        <v>42558.776423611111</v>
      </c>
      <c r="B273" t="s">
        <v>69</v>
      </c>
      <c r="C273" t="s">
        <v>547</v>
      </c>
      <c r="D273">
        <v>1990000</v>
      </c>
      <c r="E273" t="s">
        <v>279</v>
      </c>
      <c r="F273" s="33" t="str">
        <f t="shared" si="10"/>
        <v>rtdc.l.rtdc.4032:itc</v>
      </c>
      <c r="G273" s="8">
        <f t="shared" si="11"/>
        <v>42558.776423611111</v>
      </c>
    </row>
    <row r="274" spans="1:7" x14ac:dyDescent="0.25">
      <c r="A274" s="8">
        <v>42558.183541666665</v>
      </c>
      <c r="B274" t="s">
        <v>159</v>
      </c>
      <c r="C274" t="s">
        <v>295</v>
      </c>
      <c r="D274">
        <v>1840000</v>
      </c>
      <c r="E274" t="s">
        <v>118</v>
      </c>
      <c r="F274" s="33" t="str">
        <f t="shared" si="10"/>
        <v>rtdc.l.rtdc.4043:itc</v>
      </c>
      <c r="G274" s="8">
        <f t="shared" si="11"/>
        <v>42558.183541666665</v>
      </c>
    </row>
    <row r="275" spans="1:7" x14ac:dyDescent="0.25">
      <c r="A275" s="8">
        <v>42559.257800925923</v>
      </c>
      <c r="B275" t="s">
        <v>165</v>
      </c>
      <c r="C275" t="s">
        <v>732</v>
      </c>
      <c r="D275">
        <v>1110000</v>
      </c>
      <c r="E275" t="s">
        <v>222</v>
      </c>
      <c r="F275" s="33" t="str">
        <f t="shared" si="10"/>
        <v>rtdc.l.rtdc.4040:itc</v>
      </c>
      <c r="G275" s="8">
        <f t="shared" si="11"/>
        <v>42559.257800925923</v>
      </c>
    </row>
    <row r="276" spans="1:7" x14ac:dyDescent="0.25">
      <c r="A276" s="8">
        <v>42557.860219907408</v>
      </c>
      <c r="B276" t="s">
        <v>134</v>
      </c>
      <c r="C276" t="s">
        <v>251</v>
      </c>
      <c r="D276">
        <v>1740000</v>
      </c>
      <c r="E276" t="s">
        <v>216</v>
      </c>
      <c r="F276" s="33" t="str">
        <f t="shared" si="10"/>
        <v>rtdc.l.rtdc.4037:itc</v>
      </c>
      <c r="G276" s="8">
        <f t="shared" si="11"/>
        <v>42557.860219907408</v>
      </c>
    </row>
    <row r="277" spans="1:7" x14ac:dyDescent="0.25">
      <c r="A277" s="8">
        <v>42559.285185185188</v>
      </c>
      <c r="B277" t="s">
        <v>159</v>
      </c>
      <c r="C277" t="s">
        <v>733</v>
      </c>
      <c r="D277">
        <v>1840000</v>
      </c>
      <c r="E277" t="s">
        <v>118</v>
      </c>
      <c r="F277" s="33" t="str">
        <f t="shared" si="10"/>
        <v>rtdc.l.rtdc.4043:itc</v>
      </c>
      <c r="G277" s="8">
        <f t="shared" si="11"/>
        <v>42559.285185185188</v>
      </c>
    </row>
    <row r="278" spans="1:7" x14ac:dyDescent="0.25">
      <c r="A278" s="8">
        <v>42558.389513888891</v>
      </c>
      <c r="B278" t="s">
        <v>117</v>
      </c>
      <c r="C278" t="s">
        <v>436</v>
      </c>
      <c r="D278">
        <v>1830000</v>
      </c>
      <c r="E278" t="s">
        <v>146</v>
      </c>
      <c r="F278" s="33" t="str">
        <f t="shared" si="10"/>
        <v>rtdc.l.rtdc.4038:itc</v>
      </c>
      <c r="G278" s="8">
        <f t="shared" si="11"/>
        <v>42558.389513888891</v>
      </c>
    </row>
    <row r="279" spans="1:7" x14ac:dyDescent="0.25">
      <c r="A279" s="8">
        <v>42558.639745370368</v>
      </c>
      <c r="B279" t="s">
        <v>133</v>
      </c>
      <c r="C279" t="s">
        <v>502</v>
      </c>
      <c r="D279">
        <v>1280000</v>
      </c>
      <c r="E279" t="s">
        <v>135</v>
      </c>
      <c r="F279" s="33" t="str">
        <f t="shared" si="10"/>
        <v>rtdc.l.rtdc.4028:itc</v>
      </c>
      <c r="G279" s="8">
        <f t="shared" si="11"/>
        <v>42558.639745370368</v>
      </c>
    </row>
    <row r="280" spans="1:7" x14ac:dyDescent="0.25">
      <c r="A280" s="8">
        <v>42558.196435185186</v>
      </c>
      <c r="B280" t="s">
        <v>123</v>
      </c>
      <c r="C280" t="s">
        <v>310</v>
      </c>
      <c r="D280">
        <v>2010000</v>
      </c>
      <c r="E280" t="s">
        <v>271</v>
      </c>
      <c r="F280" s="33" t="str">
        <f t="shared" si="10"/>
        <v>rtdc.l.rtdc.4011:itc</v>
      </c>
      <c r="G280" s="8">
        <f t="shared" si="11"/>
        <v>42558.196435185186</v>
      </c>
    </row>
    <row r="281" spans="1:7" x14ac:dyDescent="0.25">
      <c r="A281" s="8">
        <v>42558.943124999998</v>
      </c>
      <c r="B281" t="s">
        <v>193</v>
      </c>
      <c r="C281" t="s">
        <v>695</v>
      </c>
      <c r="D281">
        <v>1520000</v>
      </c>
      <c r="E281" t="s">
        <v>148</v>
      </c>
      <c r="F281" s="33" t="str">
        <f t="shared" si="10"/>
        <v>rtdc.l.rtdc.4039:itc</v>
      </c>
      <c r="G281" s="8">
        <f t="shared" si="11"/>
        <v>42558.943124999998</v>
      </c>
    </row>
    <row r="282" spans="1:7" x14ac:dyDescent="0.25">
      <c r="A282" s="8">
        <v>42558.227199074077</v>
      </c>
      <c r="B282" t="s">
        <v>79</v>
      </c>
      <c r="C282" t="s">
        <v>262</v>
      </c>
      <c r="D282">
        <v>1310000</v>
      </c>
      <c r="E282" t="s">
        <v>120</v>
      </c>
      <c r="F282" s="33" t="str">
        <f t="shared" ref="F282:F345" si="12">B282</f>
        <v>rtdc.l.rtdc.4031:itc</v>
      </c>
      <c r="G282" s="8">
        <f t="shared" ref="G282:G345" si="13">A282</f>
        <v>42558.227199074077</v>
      </c>
    </row>
    <row r="283" spans="1:7" x14ac:dyDescent="0.25">
      <c r="F283" s="33">
        <f t="shared" si="12"/>
        <v>0</v>
      </c>
      <c r="G283" s="8">
        <f t="shared" si="13"/>
        <v>0</v>
      </c>
    </row>
    <row r="284" spans="1:7" x14ac:dyDescent="0.25">
      <c r="A284" s="8">
        <v>42557.888043981482</v>
      </c>
      <c r="B284" t="s">
        <v>117</v>
      </c>
      <c r="C284" t="s">
        <v>316</v>
      </c>
      <c r="D284">
        <v>1740000</v>
      </c>
      <c r="E284" t="s">
        <v>216</v>
      </c>
      <c r="F284" s="33" t="str">
        <f t="shared" si="12"/>
        <v>rtdc.l.rtdc.4038:itc</v>
      </c>
      <c r="G284" s="8">
        <f t="shared" si="13"/>
        <v>42557.888043981482</v>
      </c>
    </row>
    <row r="285" spans="1:7" x14ac:dyDescent="0.25">
      <c r="A285" s="8">
        <v>42556.993761574071</v>
      </c>
      <c r="B285" t="s">
        <v>69</v>
      </c>
      <c r="C285" t="s">
        <v>223</v>
      </c>
      <c r="D285">
        <v>1820000</v>
      </c>
      <c r="E285" t="s">
        <v>109</v>
      </c>
      <c r="F285" s="33" t="str">
        <f t="shared" si="12"/>
        <v>rtdc.l.rtdc.4032:itc</v>
      </c>
      <c r="G285" s="8">
        <f t="shared" si="13"/>
        <v>42556.993761574071</v>
      </c>
    </row>
    <row r="286" spans="1:7" x14ac:dyDescent="0.25">
      <c r="A286" s="8">
        <v>42557.910034722219</v>
      </c>
      <c r="B286" t="s">
        <v>124</v>
      </c>
      <c r="C286" t="s">
        <v>317</v>
      </c>
      <c r="D286">
        <v>1280000</v>
      </c>
      <c r="E286" t="s">
        <v>135</v>
      </c>
      <c r="F286" s="33" t="str">
        <f t="shared" si="12"/>
        <v>rtdc.l.rtdc.4012:itc</v>
      </c>
      <c r="G286" s="8">
        <f t="shared" si="13"/>
        <v>42557.910034722219</v>
      </c>
    </row>
    <row r="287" spans="1:7" x14ac:dyDescent="0.25">
      <c r="A287" s="8">
        <v>42557.05673611111</v>
      </c>
      <c r="B287" t="s">
        <v>74</v>
      </c>
      <c r="C287" t="s">
        <v>224</v>
      </c>
      <c r="D287">
        <v>1240000</v>
      </c>
      <c r="E287" t="s">
        <v>161</v>
      </c>
      <c r="F287" s="33" t="str">
        <f t="shared" si="12"/>
        <v>rtdc.l.rtdc.4019:itc</v>
      </c>
      <c r="G287" s="8">
        <f t="shared" si="13"/>
        <v>42557.05673611111</v>
      </c>
    </row>
    <row r="288" spans="1:7" x14ac:dyDescent="0.25">
      <c r="A288" s="8">
        <v>42557.913078703707</v>
      </c>
      <c r="B288" t="s">
        <v>132</v>
      </c>
      <c r="C288" t="s">
        <v>258</v>
      </c>
      <c r="D288">
        <v>1820000</v>
      </c>
      <c r="E288" t="s">
        <v>109</v>
      </c>
      <c r="F288" s="33" t="str">
        <f t="shared" si="12"/>
        <v>rtdc.l.rtdc.4025:itc</v>
      </c>
      <c r="G288" s="8">
        <f t="shared" si="13"/>
        <v>42557.913078703707</v>
      </c>
    </row>
    <row r="289" spans="1:7" x14ac:dyDescent="0.25">
      <c r="A289" s="8">
        <v>42556.995486111111</v>
      </c>
      <c r="B289" t="s">
        <v>69</v>
      </c>
      <c r="C289" t="s">
        <v>223</v>
      </c>
      <c r="D289">
        <v>1820000</v>
      </c>
      <c r="E289" t="s">
        <v>109</v>
      </c>
      <c r="F289" s="33" t="str">
        <f t="shared" si="12"/>
        <v>rtdc.l.rtdc.4032:itc</v>
      </c>
      <c r="G289" s="8">
        <f t="shared" si="13"/>
        <v>42556.995486111111</v>
      </c>
    </row>
    <row r="290" spans="1:7" x14ac:dyDescent="0.25">
      <c r="A290" s="8">
        <v>42557.927071759259</v>
      </c>
      <c r="B290" t="s">
        <v>117</v>
      </c>
      <c r="C290" t="s">
        <v>256</v>
      </c>
      <c r="D290">
        <v>1740000</v>
      </c>
      <c r="E290" t="s">
        <v>216</v>
      </c>
      <c r="F290" s="33" t="str">
        <f t="shared" si="12"/>
        <v>rtdc.l.rtdc.4038:itc</v>
      </c>
      <c r="G290" s="8">
        <f t="shared" si="13"/>
        <v>42557.927071759259</v>
      </c>
    </row>
    <row r="291" spans="1:7" x14ac:dyDescent="0.25">
      <c r="A291" s="8">
        <v>42557.359560185185</v>
      </c>
      <c r="B291" t="s">
        <v>134</v>
      </c>
      <c r="C291" t="s">
        <v>245</v>
      </c>
      <c r="D291">
        <v>1520000</v>
      </c>
      <c r="E291" t="s">
        <v>148</v>
      </c>
      <c r="F291" s="33" t="str">
        <f t="shared" si="12"/>
        <v>rtdc.l.rtdc.4037:itc</v>
      </c>
      <c r="G291" s="8">
        <f t="shared" si="13"/>
        <v>42557.359560185185</v>
      </c>
    </row>
    <row r="292" spans="1:7" x14ac:dyDescent="0.25">
      <c r="A292" s="8">
        <v>42558.189386574071</v>
      </c>
      <c r="B292" t="s">
        <v>76</v>
      </c>
      <c r="C292" t="s">
        <v>305</v>
      </c>
      <c r="D292">
        <v>2030000</v>
      </c>
      <c r="E292" t="s">
        <v>217</v>
      </c>
      <c r="F292" s="33" t="str">
        <f t="shared" si="12"/>
        <v>rtdc.l.rtdc.4018:itc</v>
      </c>
      <c r="G292" s="8">
        <f t="shared" si="13"/>
        <v>42558.189386574071</v>
      </c>
    </row>
    <row r="293" spans="1:7" x14ac:dyDescent="0.25">
      <c r="A293" s="8">
        <v>42557.207372685189</v>
      </c>
      <c r="B293" t="s">
        <v>138</v>
      </c>
      <c r="C293" t="s">
        <v>244</v>
      </c>
      <c r="D293">
        <v>1480000</v>
      </c>
      <c r="E293" t="s">
        <v>125</v>
      </c>
      <c r="F293" s="33" t="str">
        <f t="shared" si="12"/>
        <v>rtdc.l.rtdc.4027:itc</v>
      </c>
      <c r="G293" s="8">
        <f t="shared" si="13"/>
        <v>42557.207372685189</v>
      </c>
    </row>
    <row r="294" spans="1:7" x14ac:dyDescent="0.25">
      <c r="A294" s="8">
        <v>42557.749525462961</v>
      </c>
      <c r="B294" t="s">
        <v>130</v>
      </c>
      <c r="C294" t="s">
        <v>318</v>
      </c>
      <c r="D294">
        <v>1140000</v>
      </c>
      <c r="E294" t="s">
        <v>143</v>
      </c>
      <c r="F294" s="33" t="str">
        <f t="shared" si="12"/>
        <v>rtdc.l.rtdc.4014:itc</v>
      </c>
      <c r="G294" s="8">
        <f t="shared" si="13"/>
        <v>42557.749525462961</v>
      </c>
    </row>
    <row r="295" spans="1:7" x14ac:dyDescent="0.25">
      <c r="A295" s="8">
        <v>42558.160578703704</v>
      </c>
      <c r="B295" t="s">
        <v>79</v>
      </c>
      <c r="C295" t="s">
        <v>289</v>
      </c>
      <c r="D295">
        <v>1110000</v>
      </c>
      <c r="E295" t="s">
        <v>222</v>
      </c>
      <c r="F295" s="33" t="str">
        <f t="shared" si="12"/>
        <v>rtdc.l.rtdc.4031:itc</v>
      </c>
      <c r="G295" s="8">
        <f t="shared" si="13"/>
        <v>42558.160578703704</v>
      </c>
    </row>
    <row r="296" spans="1:7" x14ac:dyDescent="0.25">
      <c r="F296" s="33">
        <f t="shared" si="12"/>
        <v>0</v>
      </c>
      <c r="G296" s="8">
        <f t="shared" si="13"/>
        <v>0</v>
      </c>
    </row>
    <row r="297" spans="1:7" x14ac:dyDescent="0.25">
      <c r="A297" s="8">
        <v>42555.231111111112</v>
      </c>
      <c r="B297" t="s">
        <v>137</v>
      </c>
      <c r="C297" t="s">
        <v>198</v>
      </c>
      <c r="D297">
        <v>1090000</v>
      </c>
      <c r="E297" t="s">
        <v>142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130</v>
      </c>
      <c r="C298" t="s">
        <v>186</v>
      </c>
      <c r="D298">
        <v>1770000</v>
      </c>
      <c r="E298" t="s">
        <v>150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87</v>
      </c>
      <c r="C299" t="s">
        <v>201</v>
      </c>
      <c r="D299">
        <v>900000</v>
      </c>
      <c r="E299" t="s">
        <v>141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133</v>
      </c>
      <c r="C300" t="s">
        <v>178</v>
      </c>
      <c r="D300">
        <v>1780000</v>
      </c>
      <c r="E300" t="s">
        <v>164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124</v>
      </c>
      <c r="C301" t="s">
        <v>191</v>
      </c>
      <c r="D301">
        <v>1280000</v>
      </c>
      <c r="E301" t="s">
        <v>135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123</v>
      </c>
      <c r="C302" t="s">
        <v>190</v>
      </c>
      <c r="D302">
        <v>1280000</v>
      </c>
      <c r="E302" t="s">
        <v>135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130</v>
      </c>
      <c r="C303" t="s">
        <v>189</v>
      </c>
      <c r="D303">
        <v>1770000</v>
      </c>
      <c r="E303" t="s">
        <v>150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77</v>
      </c>
      <c r="C304" t="s">
        <v>202</v>
      </c>
      <c r="D304">
        <v>1840000</v>
      </c>
      <c r="E304" t="s">
        <v>118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133</v>
      </c>
      <c r="C305" t="s">
        <v>179</v>
      </c>
      <c r="D305">
        <v>1780000</v>
      </c>
      <c r="E305" t="s">
        <v>164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76</v>
      </c>
      <c r="C306" t="s">
        <v>203</v>
      </c>
      <c r="D306">
        <v>1840000</v>
      </c>
      <c r="E306" t="s">
        <v>118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124</v>
      </c>
      <c r="C307" t="s">
        <v>188</v>
      </c>
      <c r="D307">
        <v>1280000</v>
      </c>
      <c r="E307" t="s">
        <v>135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136</v>
      </c>
      <c r="C308" t="s">
        <v>204</v>
      </c>
      <c r="D308">
        <v>1120000</v>
      </c>
      <c r="E308" t="s">
        <v>156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123</v>
      </c>
      <c r="C309" t="s">
        <v>187</v>
      </c>
      <c r="D309">
        <v>1280000</v>
      </c>
      <c r="E309" t="s">
        <v>135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138</v>
      </c>
      <c r="C310" t="s">
        <v>205</v>
      </c>
      <c r="D310">
        <v>1460000</v>
      </c>
      <c r="E310" t="s">
        <v>119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155</v>
      </c>
      <c r="C311" t="s">
        <v>185</v>
      </c>
      <c r="D311">
        <v>1140000</v>
      </c>
      <c r="E311" t="s">
        <v>143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75</v>
      </c>
      <c r="C312" t="s">
        <v>206</v>
      </c>
      <c r="D312">
        <v>950000</v>
      </c>
      <c r="E312" t="s">
        <v>160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124</v>
      </c>
      <c r="C313" t="s">
        <v>182</v>
      </c>
      <c r="D313">
        <v>1280000</v>
      </c>
      <c r="E313" t="s">
        <v>135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137</v>
      </c>
      <c r="C314" t="s">
        <v>197</v>
      </c>
      <c r="D314">
        <v>1090000</v>
      </c>
      <c r="E314" t="s">
        <v>142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162</v>
      </c>
      <c r="C315" t="s">
        <v>184</v>
      </c>
      <c r="D315">
        <v>1290000</v>
      </c>
      <c r="E315" t="s">
        <v>196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69</v>
      </c>
      <c r="C316" t="s">
        <v>199</v>
      </c>
      <c r="D316">
        <v>1540000</v>
      </c>
      <c r="E316" t="s">
        <v>157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133</v>
      </c>
      <c r="C317" t="s">
        <v>177</v>
      </c>
      <c r="D317">
        <v>1780000</v>
      </c>
      <c r="E317" t="s">
        <v>164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193</v>
      </c>
      <c r="C318" t="s">
        <v>207</v>
      </c>
      <c r="D318">
        <v>1810000</v>
      </c>
      <c r="E318" t="s">
        <v>194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131</v>
      </c>
      <c r="C319" t="s">
        <v>180</v>
      </c>
      <c r="D319">
        <v>1240000</v>
      </c>
      <c r="E319" t="s">
        <v>161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138</v>
      </c>
      <c r="C320" t="s">
        <v>200</v>
      </c>
      <c r="D320">
        <v>1460000</v>
      </c>
      <c r="E320" t="s">
        <v>119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77</v>
      </c>
      <c r="C321" t="s">
        <v>208</v>
      </c>
      <c r="D321">
        <v>890000</v>
      </c>
      <c r="E321" t="s">
        <v>195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1" t="s">
        <v>94</v>
      </c>
      <c r="K1" s="51" t="s">
        <v>95</v>
      </c>
      <c r="L1" s="51" t="s">
        <v>96</v>
      </c>
      <c r="M1" s="33"/>
    </row>
    <row r="2" spans="1:13" ht="15.75" thickBot="1" x14ac:dyDescent="0.3">
      <c r="A2" s="19">
        <v>42558</v>
      </c>
      <c r="B2" s="4"/>
      <c r="C2" s="22">
        <v>50</v>
      </c>
      <c r="F2" t="s">
        <v>63</v>
      </c>
      <c r="J2" s="51" t="s">
        <v>94</v>
      </c>
      <c r="K2" s="51" t="s">
        <v>95</v>
      </c>
      <c r="L2" s="51" t="s">
        <v>96</v>
      </c>
      <c r="M2" s="33"/>
    </row>
    <row r="3" spans="1:13" x14ac:dyDescent="0.25">
      <c r="F3" t="s">
        <v>64</v>
      </c>
      <c r="J3" s="52" t="s">
        <v>97</v>
      </c>
      <c r="K3" s="53">
        <v>2.7052</v>
      </c>
      <c r="L3" s="53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2" t="s">
        <v>98</v>
      </c>
      <c r="K4" s="53">
        <v>3.0830000000000002</v>
      </c>
      <c r="L4" s="53">
        <v>3.097</v>
      </c>
      <c r="M4" s="33">
        <f t="shared" si="0"/>
        <v>3.09</v>
      </c>
    </row>
    <row r="5" spans="1:13" x14ac:dyDescent="0.25">
      <c r="J5" s="52" t="s">
        <v>99</v>
      </c>
      <c r="K5" s="53">
        <v>3.3136000000000001</v>
      </c>
      <c r="L5" s="53">
        <v>3.3256999999999999</v>
      </c>
      <c r="M5" s="33">
        <f t="shared" si="0"/>
        <v>3.3196500000000002</v>
      </c>
    </row>
    <row r="6" spans="1:13" x14ac:dyDescent="0.25">
      <c r="J6" s="52" t="s">
        <v>100</v>
      </c>
      <c r="K6" s="53">
        <v>4.2778999999999998</v>
      </c>
      <c r="L6" s="53">
        <v>4.2961</v>
      </c>
      <c r="M6" s="33">
        <f t="shared" si="0"/>
        <v>4.2869999999999999</v>
      </c>
    </row>
    <row r="7" spans="1:13" x14ac:dyDescent="0.25">
      <c r="J7" s="52" t="s">
        <v>101</v>
      </c>
      <c r="K7" s="53">
        <v>4.7865000000000002</v>
      </c>
      <c r="L7" s="53">
        <v>4.8048000000000002</v>
      </c>
      <c r="M7" s="33">
        <f t="shared" si="0"/>
        <v>4.7956500000000002</v>
      </c>
    </row>
    <row r="8" spans="1:13" x14ac:dyDescent="0.25">
      <c r="J8" s="52" t="s">
        <v>102</v>
      </c>
      <c r="K8" s="53">
        <v>5.3155000000000001</v>
      </c>
      <c r="L8" s="53">
        <v>5.3277000000000001</v>
      </c>
      <c r="M8" s="33">
        <f t="shared" si="0"/>
        <v>5.3216000000000001</v>
      </c>
    </row>
    <row r="9" spans="1:13" x14ac:dyDescent="0.25">
      <c r="J9" s="52" t="s">
        <v>103</v>
      </c>
      <c r="K9" s="53">
        <v>5.8117000000000001</v>
      </c>
      <c r="L9" s="53">
        <v>5.8300999999999998</v>
      </c>
      <c r="M9" s="33">
        <f t="shared" si="0"/>
        <v>5.8209</v>
      </c>
    </row>
    <row r="10" spans="1:13" x14ac:dyDescent="0.25">
      <c r="J10" s="52" t="s">
        <v>104</v>
      </c>
      <c r="K10" s="53">
        <v>5.8783000000000003</v>
      </c>
      <c r="L10" s="53">
        <v>5.8903999999999996</v>
      </c>
      <c r="M10" s="33">
        <f t="shared" si="0"/>
        <v>5.8843499999999995</v>
      </c>
    </row>
    <row r="11" spans="1:13" x14ac:dyDescent="0.25">
      <c r="J11" s="52" t="s">
        <v>105</v>
      </c>
      <c r="K11" s="53">
        <v>6.3068</v>
      </c>
      <c r="L11" s="53">
        <v>6.3308999999999997</v>
      </c>
      <c r="M11" s="33">
        <f t="shared" si="0"/>
        <v>6.3188499999999994</v>
      </c>
    </row>
    <row r="12" spans="1:13" x14ac:dyDescent="0.25">
      <c r="J12" s="52" t="s">
        <v>106</v>
      </c>
      <c r="K12" s="53">
        <v>7.8349000000000002</v>
      </c>
      <c r="L12" s="53">
        <v>7.8468999999999998</v>
      </c>
      <c r="M12" s="33">
        <f t="shared" si="0"/>
        <v>7.8408999999999995</v>
      </c>
    </row>
    <row r="13" spans="1:13" x14ac:dyDescent="0.25">
      <c r="J13" s="52" t="s">
        <v>107</v>
      </c>
      <c r="K13" s="53">
        <v>10.373799999999999</v>
      </c>
      <c r="L13" s="53">
        <v>10.38</v>
      </c>
      <c r="M13" s="33">
        <f t="shared" si="0"/>
        <v>10.376899999999999</v>
      </c>
    </row>
    <row r="14" spans="1:13" x14ac:dyDescent="0.25">
      <c r="J14" s="52" t="s">
        <v>108</v>
      </c>
      <c r="K14" s="53">
        <v>10.8954</v>
      </c>
      <c r="L14" s="53">
        <v>10.913500000000001</v>
      </c>
      <c r="M14" s="33">
        <f t="shared" si="0"/>
        <v>10.904450000000001</v>
      </c>
    </row>
    <row r="15" spans="1:13" x14ac:dyDescent="0.25">
      <c r="J15" s="52"/>
      <c r="K15" s="53"/>
      <c r="L15" s="53"/>
      <c r="M15" s="33"/>
    </row>
    <row r="16" spans="1:13" x14ac:dyDescent="0.25">
      <c r="J16" s="52"/>
      <c r="K16" s="53"/>
      <c r="L16" s="53"/>
      <c r="M16" s="33"/>
    </row>
    <row r="17" spans="10:13" x14ac:dyDescent="0.25">
      <c r="J17" s="52"/>
      <c r="K17" s="53"/>
      <c r="L17" s="53"/>
      <c r="M17" s="33"/>
    </row>
    <row r="18" spans="10:13" x14ac:dyDescent="0.25">
      <c r="J18" s="52" t="s">
        <v>366</v>
      </c>
      <c r="K18" s="53"/>
      <c r="L18" s="53"/>
      <c r="M18" s="33" t="str">
        <f>"""C:\Program Files (x86)\AstroGrep\AstroGrep.exe"""</f>
        <v>"C:\Program Files (x86)\AstroGrep\AstroGrep.exe"</v>
      </c>
    </row>
    <row r="19" spans="10:13" x14ac:dyDescent="0.25">
      <c r="J19" s="52" t="s">
        <v>367</v>
      </c>
      <c r="K19" s="53"/>
      <c r="L19" s="53"/>
      <c r="M19" s="3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368</v>
      </c>
      <c r="M20" t="s">
        <v>369</v>
      </c>
    </row>
    <row r="21" spans="10:13" x14ac:dyDescent="0.25">
      <c r="J21" s="33" t="s">
        <v>372</v>
      </c>
      <c r="K21" s="33" t="s">
        <v>373</v>
      </c>
      <c r="M21" s="33" t="s">
        <v>373</v>
      </c>
    </row>
    <row r="22" spans="10:13" x14ac:dyDescent="0.25">
      <c r="J22" s="33" t="s">
        <v>374</v>
      </c>
      <c r="K22" s="33" t="s">
        <v>375</v>
      </c>
      <c r="M22" s="33" t="s">
        <v>375</v>
      </c>
    </row>
    <row r="23" spans="10:13" x14ac:dyDescent="0.25">
      <c r="J23" s="48" t="s">
        <v>377</v>
      </c>
      <c r="K23" s="33"/>
      <c r="M23" s="33">
        <v>-6</v>
      </c>
    </row>
    <row r="24" spans="10:13" x14ac:dyDescent="0.25">
      <c r="J24" s="33"/>
      <c r="K24" s="33"/>
      <c r="M24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2016-07-08T15:15:49Z</dcterms:modified>
</cp:coreProperties>
</file>