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Enforcements!$A$6:$V$70</definedName>
    <definedName name="_xlnm._FilterDatabase" localSheetId="2" hidden="1">'Missing Trips'!$A$2:$G$2</definedName>
    <definedName name="_xlnm._FilterDatabase" localSheetId="0" hidden="1">'Train Runs'!$A$12:$AD$177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V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" i="3"/>
  <c r="X138" i="1" l="1"/>
  <c r="X139" i="1"/>
  <c r="X140" i="1"/>
  <c r="AA137" i="1"/>
  <c r="W137" i="1" s="1"/>
  <c r="K137" i="1"/>
  <c r="L137" i="1"/>
  <c r="M137" i="1"/>
  <c r="N137" i="1" s="1"/>
  <c r="T137" i="1"/>
  <c r="U137" i="1" s="1"/>
  <c r="S137" i="1" s="1"/>
  <c r="V137" i="1"/>
  <c r="X137" i="1"/>
  <c r="AB137" i="1"/>
  <c r="AC137" i="1"/>
  <c r="AD137" i="1"/>
  <c r="AE137" i="1"/>
  <c r="AF137" i="1"/>
  <c r="AG137" i="1"/>
  <c r="K60" i="1"/>
  <c r="L60" i="1"/>
  <c r="M60" i="1"/>
  <c r="K61" i="1"/>
  <c r="L61" i="1"/>
  <c r="M61" i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 s="1"/>
  <c r="K70" i="1"/>
  <c r="L70" i="1"/>
  <c r="M70" i="1"/>
  <c r="N70" i="1" s="1"/>
  <c r="F71" i="1"/>
  <c r="AE71" i="1" s="1"/>
  <c r="P11" i="3" s="1"/>
  <c r="K71" i="1"/>
  <c r="L71" i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/>
  <c r="K87" i="1"/>
  <c r="L87" i="1"/>
  <c r="M87" i="1"/>
  <c r="N87" i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/>
  <c r="K103" i="1"/>
  <c r="L103" i="1"/>
  <c r="M103" i="1"/>
  <c r="N103" i="1"/>
  <c r="K104" i="1"/>
  <c r="L104" i="1"/>
  <c r="M104" i="1"/>
  <c r="N104" i="1" s="1"/>
  <c r="K105" i="1"/>
  <c r="L105" i="1"/>
  <c r="M105" i="1"/>
  <c r="K106" i="1"/>
  <c r="L106" i="1"/>
  <c r="M106" i="1"/>
  <c r="K107" i="1"/>
  <c r="L107" i="1"/>
  <c r="M107" i="1"/>
  <c r="N107" i="1" s="1"/>
  <c r="K108" i="1"/>
  <c r="L108" i="1"/>
  <c r="M108" i="1"/>
  <c r="N108" i="1"/>
  <c r="K109" i="1"/>
  <c r="L109" i="1"/>
  <c r="M109" i="1"/>
  <c r="N109" i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P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/>
  <c r="K125" i="1"/>
  <c r="L125" i="1"/>
  <c r="M125" i="1"/>
  <c r="N125" i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/>
  <c r="K142" i="1"/>
  <c r="L142" i="1"/>
  <c r="M142" i="1"/>
  <c r="N142" i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K157" i="1"/>
  <c r="L157" i="1"/>
  <c r="M157" i="1"/>
  <c r="N157" i="1"/>
  <c r="K158" i="1"/>
  <c r="L158" i="1"/>
  <c r="M158" i="1"/>
  <c r="N158" i="1"/>
  <c r="K159" i="1"/>
  <c r="L159" i="1"/>
  <c r="M159" i="1"/>
  <c r="N159" i="1" s="1"/>
  <c r="X73" i="1"/>
  <c r="Y73" i="1"/>
  <c r="X74" i="1"/>
  <c r="Y74" i="1"/>
  <c r="X75" i="1"/>
  <c r="Y75" i="1"/>
  <c r="X76" i="1"/>
  <c r="Y76" i="1"/>
  <c r="X77" i="1"/>
  <c r="Y77" i="1"/>
  <c r="T73" i="1"/>
  <c r="V73" i="1"/>
  <c r="Z73" i="1"/>
  <c r="AB73" i="1"/>
  <c r="AC73" i="1"/>
  <c r="AD73" i="1"/>
  <c r="AE73" i="1"/>
  <c r="AF73" i="1"/>
  <c r="AG73" i="1"/>
  <c r="V71" i="1"/>
  <c r="Q11" i="3" s="1"/>
  <c r="X71" i="1"/>
  <c r="Y71" i="1"/>
  <c r="AA71" i="1" s="1"/>
  <c r="W71" i="1" s="1"/>
  <c r="Z71" i="1"/>
  <c r="AB71" i="1"/>
  <c r="AC71" i="1"/>
  <c r="AD71" i="1"/>
  <c r="AG71" i="1"/>
  <c r="X70" i="1"/>
  <c r="X72" i="1"/>
  <c r="T71" i="1"/>
  <c r="U71" i="1" s="1"/>
  <c r="S71" i="1" s="1"/>
  <c r="X69" i="1"/>
  <c r="Y69" i="1"/>
  <c r="Z69" i="1"/>
  <c r="AB69" i="1"/>
  <c r="AC69" i="1"/>
  <c r="AD69" i="1"/>
  <c r="AE69" i="1"/>
  <c r="AF69" i="1"/>
  <c r="AG69" i="1"/>
  <c r="V69" i="1"/>
  <c r="T69" i="1"/>
  <c r="T139" i="1"/>
  <c r="V139" i="1"/>
  <c r="Y139" i="1"/>
  <c r="Z139" i="1"/>
  <c r="AB139" i="1"/>
  <c r="AC139" i="1"/>
  <c r="AD139" i="1"/>
  <c r="AE139" i="1"/>
  <c r="AF139" i="1"/>
  <c r="AG139" i="1"/>
  <c r="T140" i="1"/>
  <c r="V140" i="1"/>
  <c r="Y140" i="1"/>
  <c r="Z140" i="1"/>
  <c r="AB140" i="1"/>
  <c r="AC140" i="1"/>
  <c r="AD140" i="1"/>
  <c r="AE140" i="1"/>
  <c r="AF140" i="1"/>
  <c r="AG140" i="1"/>
  <c r="T141" i="1"/>
  <c r="V141" i="1"/>
  <c r="X141" i="1"/>
  <c r="Y141" i="1"/>
  <c r="Z141" i="1"/>
  <c r="AB141" i="1"/>
  <c r="AC141" i="1"/>
  <c r="AD141" i="1"/>
  <c r="AE141" i="1"/>
  <c r="AF141" i="1"/>
  <c r="AG141" i="1"/>
  <c r="T142" i="1"/>
  <c r="V142" i="1"/>
  <c r="X142" i="1"/>
  <c r="Y142" i="1"/>
  <c r="Z142" i="1"/>
  <c r="AB142" i="1"/>
  <c r="AC142" i="1"/>
  <c r="AD142" i="1"/>
  <c r="AE142" i="1"/>
  <c r="AF142" i="1"/>
  <c r="AG142" i="1"/>
  <c r="T143" i="1"/>
  <c r="V143" i="1"/>
  <c r="X143" i="1"/>
  <c r="Y143" i="1"/>
  <c r="Z143" i="1"/>
  <c r="AB143" i="1"/>
  <c r="AC143" i="1"/>
  <c r="AD143" i="1"/>
  <c r="AE143" i="1"/>
  <c r="AF143" i="1"/>
  <c r="AG143" i="1"/>
  <c r="T144" i="1"/>
  <c r="V144" i="1"/>
  <c r="X144" i="1"/>
  <c r="Y144" i="1"/>
  <c r="Z144" i="1"/>
  <c r="AB144" i="1"/>
  <c r="AC144" i="1"/>
  <c r="AD144" i="1"/>
  <c r="AE144" i="1"/>
  <c r="AF144" i="1"/>
  <c r="AG144" i="1"/>
  <c r="T145" i="1"/>
  <c r="V145" i="1"/>
  <c r="X145" i="1"/>
  <c r="Y145" i="1"/>
  <c r="Z145" i="1"/>
  <c r="AB145" i="1"/>
  <c r="AC145" i="1"/>
  <c r="AD145" i="1"/>
  <c r="AE145" i="1"/>
  <c r="AF145" i="1"/>
  <c r="AG145" i="1"/>
  <c r="T146" i="1"/>
  <c r="V146" i="1"/>
  <c r="X146" i="1"/>
  <c r="Y146" i="1"/>
  <c r="Z146" i="1"/>
  <c r="AB146" i="1"/>
  <c r="AC146" i="1"/>
  <c r="AD146" i="1"/>
  <c r="AE146" i="1"/>
  <c r="AF146" i="1"/>
  <c r="AG146" i="1"/>
  <c r="T147" i="1"/>
  <c r="V147" i="1"/>
  <c r="X147" i="1"/>
  <c r="Y147" i="1"/>
  <c r="Z147" i="1"/>
  <c r="AB147" i="1"/>
  <c r="AC147" i="1"/>
  <c r="AD147" i="1"/>
  <c r="AE147" i="1"/>
  <c r="AF147" i="1"/>
  <c r="AG147" i="1"/>
  <c r="T148" i="1"/>
  <c r="V148" i="1"/>
  <c r="Q60" i="3" s="1"/>
  <c r="X148" i="1"/>
  <c r="Y148" i="1"/>
  <c r="Z148" i="1"/>
  <c r="AB148" i="1"/>
  <c r="AC148" i="1"/>
  <c r="AD148" i="1"/>
  <c r="AE148" i="1"/>
  <c r="P60" i="3" s="1"/>
  <c r="AF148" i="1"/>
  <c r="AG148" i="1"/>
  <c r="T149" i="1"/>
  <c r="V149" i="1"/>
  <c r="X149" i="1"/>
  <c r="Y149" i="1"/>
  <c r="Z149" i="1"/>
  <c r="AB149" i="1"/>
  <c r="AC149" i="1"/>
  <c r="AD149" i="1"/>
  <c r="AE149" i="1"/>
  <c r="AF149" i="1"/>
  <c r="AG149" i="1"/>
  <c r="T150" i="1"/>
  <c r="V150" i="1"/>
  <c r="Q61" i="3" s="1"/>
  <c r="X150" i="1"/>
  <c r="Y150" i="1"/>
  <c r="Z150" i="1"/>
  <c r="AB150" i="1"/>
  <c r="AC150" i="1"/>
  <c r="AD150" i="1"/>
  <c r="AE150" i="1"/>
  <c r="P61" i="3" s="1"/>
  <c r="AF150" i="1"/>
  <c r="R61" i="3" s="1"/>
  <c r="AG150" i="1"/>
  <c r="T151" i="1"/>
  <c r="V151" i="1"/>
  <c r="X151" i="1"/>
  <c r="Y151" i="1"/>
  <c r="Z151" i="1"/>
  <c r="AB151" i="1"/>
  <c r="AC151" i="1"/>
  <c r="AD151" i="1"/>
  <c r="AE151" i="1"/>
  <c r="P48" i="3" s="1"/>
  <c r="AF151" i="1"/>
  <c r="R48" i="3" s="1"/>
  <c r="AG151" i="1"/>
  <c r="T152" i="1"/>
  <c r="V152" i="1"/>
  <c r="Q62" i="3" s="1"/>
  <c r="X152" i="1"/>
  <c r="Y152" i="1"/>
  <c r="Z152" i="1"/>
  <c r="AB152" i="1"/>
  <c r="AC152" i="1"/>
  <c r="AD152" i="1"/>
  <c r="AE152" i="1"/>
  <c r="P62" i="3" s="1"/>
  <c r="AF152" i="1"/>
  <c r="R62" i="3" s="1"/>
  <c r="AG152" i="1"/>
  <c r="T153" i="1"/>
  <c r="V153" i="1"/>
  <c r="X153" i="1"/>
  <c r="Y153" i="1"/>
  <c r="Z153" i="1"/>
  <c r="AB153" i="1"/>
  <c r="AC153" i="1"/>
  <c r="AD153" i="1"/>
  <c r="AE153" i="1"/>
  <c r="AF153" i="1"/>
  <c r="AG153" i="1"/>
  <c r="T154" i="1"/>
  <c r="V154" i="1"/>
  <c r="X154" i="1"/>
  <c r="Y154" i="1"/>
  <c r="Z154" i="1"/>
  <c r="AB154" i="1"/>
  <c r="AC154" i="1"/>
  <c r="AD154" i="1"/>
  <c r="AE154" i="1"/>
  <c r="AF154" i="1"/>
  <c r="AG154" i="1"/>
  <c r="T155" i="1"/>
  <c r="V155" i="1"/>
  <c r="X155" i="1"/>
  <c r="Y155" i="1"/>
  <c r="Z155" i="1"/>
  <c r="AB155" i="1"/>
  <c r="AC155" i="1"/>
  <c r="AD155" i="1"/>
  <c r="AE155" i="1"/>
  <c r="AF155" i="1"/>
  <c r="AG155" i="1"/>
  <c r="T156" i="1"/>
  <c r="V156" i="1"/>
  <c r="X156" i="1"/>
  <c r="Y156" i="1"/>
  <c r="Z156" i="1"/>
  <c r="AB156" i="1"/>
  <c r="AC156" i="1"/>
  <c r="AD156" i="1"/>
  <c r="AE156" i="1"/>
  <c r="AF156" i="1"/>
  <c r="AG156" i="1"/>
  <c r="T157" i="1"/>
  <c r="V157" i="1"/>
  <c r="Q49" i="3" s="1"/>
  <c r="X157" i="1"/>
  <c r="Y157" i="1"/>
  <c r="Z157" i="1"/>
  <c r="AB157" i="1"/>
  <c r="AC157" i="1"/>
  <c r="AD157" i="1"/>
  <c r="AE157" i="1"/>
  <c r="P49" i="3" s="1"/>
  <c r="AF157" i="1"/>
  <c r="R49" i="3" s="1"/>
  <c r="AG157" i="1"/>
  <c r="T158" i="1"/>
  <c r="V158" i="1"/>
  <c r="X158" i="1"/>
  <c r="Y158" i="1"/>
  <c r="Z158" i="1"/>
  <c r="AB158" i="1"/>
  <c r="AC158" i="1"/>
  <c r="AD158" i="1"/>
  <c r="AE158" i="1"/>
  <c r="AF158" i="1"/>
  <c r="AG158" i="1"/>
  <c r="T159" i="1"/>
  <c r="V159" i="1"/>
  <c r="X159" i="1"/>
  <c r="Y159" i="1"/>
  <c r="Z159" i="1"/>
  <c r="AB159" i="1"/>
  <c r="AC159" i="1"/>
  <c r="AD159" i="1"/>
  <c r="AE159" i="1"/>
  <c r="AF159" i="1"/>
  <c r="AG159" i="1"/>
  <c r="L58" i="3"/>
  <c r="S58" i="3"/>
  <c r="T58" i="3"/>
  <c r="U58" i="3"/>
  <c r="L47" i="3"/>
  <c r="S47" i="3"/>
  <c r="T47" i="3"/>
  <c r="U47" i="3"/>
  <c r="L59" i="3"/>
  <c r="S59" i="3"/>
  <c r="T59" i="3"/>
  <c r="U59" i="3"/>
  <c r="L33" i="3"/>
  <c r="S33" i="3"/>
  <c r="T33" i="3"/>
  <c r="U33" i="3"/>
  <c r="L19" i="3"/>
  <c r="S19" i="3"/>
  <c r="T19" i="3"/>
  <c r="U19" i="3"/>
  <c r="L60" i="3"/>
  <c r="R60" i="3"/>
  <c r="S60" i="3"/>
  <c r="T60" i="3"/>
  <c r="U60" i="3"/>
  <c r="L61" i="3"/>
  <c r="S61" i="3"/>
  <c r="T61" i="3"/>
  <c r="U61" i="3"/>
  <c r="L62" i="3"/>
  <c r="S62" i="3"/>
  <c r="T62" i="3"/>
  <c r="U62" i="3"/>
  <c r="L48" i="3"/>
  <c r="Q48" i="3"/>
  <c r="S48" i="3"/>
  <c r="T48" i="3"/>
  <c r="U48" i="3"/>
  <c r="L49" i="3"/>
  <c r="S49" i="3"/>
  <c r="T49" i="3"/>
  <c r="U49" i="3"/>
  <c r="L63" i="3"/>
  <c r="P63" i="3"/>
  <c r="Q63" i="3"/>
  <c r="R63" i="3"/>
  <c r="S63" i="3"/>
  <c r="T63" i="3"/>
  <c r="U63" i="3"/>
  <c r="L11" i="3"/>
  <c r="S11" i="3"/>
  <c r="T11" i="3"/>
  <c r="U11" i="3"/>
  <c r="L22" i="3"/>
  <c r="S22" i="3"/>
  <c r="T22" i="3"/>
  <c r="U22" i="3"/>
  <c r="L8" i="3"/>
  <c r="S8" i="3"/>
  <c r="T8" i="3"/>
  <c r="U8" i="3"/>
  <c r="L41" i="3"/>
  <c r="S41" i="3"/>
  <c r="T41" i="3"/>
  <c r="U41" i="3"/>
  <c r="L17" i="3"/>
  <c r="S17" i="3"/>
  <c r="T17" i="3"/>
  <c r="U17" i="3"/>
  <c r="L42" i="3"/>
  <c r="S42" i="3"/>
  <c r="T42" i="3"/>
  <c r="U42" i="3"/>
  <c r="L54" i="3"/>
  <c r="S54" i="3"/>
  <c r="T54" i="3"/>
  <c r="U54" i="3"/>
  <c r="L55" i="3"/>
  <c r="S55" i="3"/>
  <c r="T55" i="3"/>
  <c r="U55" i="3"/>
  <c r="L43" i="3"/>
  <c r="S43" i="3"/>
  <c r="T43" i="3"/>
  <c r="U43" i="3"/>
  <c r="L31" i="3"/>
  <c r="S31" i="3"/>
  <c r="T31" i="3"/>
  <c r="U31" i="3"/>
  <c r="L56" i="3"/>
  <c r="S56" i="3"/>
  <c r="T56" i="3"/>
  <c r="U56" i="3"/>
  <c r="L32" i="3"/>
  <c r="S32" i="3"/>
  <c r="T32" i="3"/>
  <c r="U32" i="3"/>
  <c r="L44" i="3"/>
  <c r="S44" i="3"/>
  <c r="T44" i="3"/>
  <c r="U44" i="3"/>
  <c r="L57" i="3"/>
  <c r="S57" i="3"/>
  <c r="T57" i="3"/>
  <c r="U57" i="3"/>
  <c r="L25" i="3"/>
  <c r="S25" i="3"/>
  <c r="T25" i="3"/>
  <c r="U25" i="3"/>
  <c r="L7" i="3"/>
  <c r="S7" i="3"/>
  <c r="T7" i="3"/>
  <c r="U7" i="3"/>
  <c r="L45" i="3"/>
  <c r="S45" i="3"/>
  <c r="T45" i="3"/>
  <c r="U45" i="3"/>
  <c r="L46" i="3"/>
  <c r="S46" i="3"/>
  <c r="T46" i="3"/>
  <c r="U46" i="3"/>
  <c r="L18" i="3"/>
  <c r="S18" i="3"/>
  <c r="T18" i="3"/>
  <c r="U18" i="3"/>
  <c r="P105" i="1" l="1"/>
  <c r="AA157" i="1"/>
  <c r="W157" i="1" s="1"/>
  <c r="AA149" i="1"/>
  <c r="W149" i="1" s="1"/>
  <c r="AA141" i="1"/>
  <c r="W141" i="1" s="1"/>
  <c r="AA147" i="1"/>
  <c r="W147" i="1" s="1"/>
  <c r="U139" i="1"/>
  <c r="S139" i="1" s="1"/>
  <c r="AA155" i="1"/>
  <c r="W155" i="1" s="1"/>
  <c r="U156" i="1"/>
  <c r="S156" i="1" s="1"/>
  <c r="U148" i="1"/>
  <c r="S148" i="1" s="1"/>
  <c r="U140" i="1"/>
  <c r="S140" i="1" s="1"/>
  <c r="AA158" i="1"/>
  <c r="W158" i="1" s="1"/>
  <c r="AA150" i="1"/>
  <c r="W150" i="1" s="1"/>
  <c r="AA142" i="1"/>
  <c r="W142" i="1" s="1"/>
  <c r="M71" i="1"/>
  <c r="N71" i="1" s="1"/>
  <c r="U153" i="1"/>
  <c r="S153" i="1" s="1"/>
  <c r="U145" i="1"/>
  <c r="S145" i="1" s="1"/>
  <c r="AA154" i="1"/>
  <c r="W154" i="1" s="1"/>
  <c r="AA146" i="1"/>
  <c r="W146" i="1" s="1"/>
  <c r="AA143" i="1"/>
  <c r="W143" i="1" s="1"/>
  <c r="U73" i="1"/>
  <c r="S73" i="1" s="1"/>
  <c r="AA152" i="1"/>
  <c r="W152" i="1" s="1"/>
  <c r="AA144" i="1"/>
  <c r="W144" i="1" s="1"/>
  <c r="U69" i="1"/>
  <c r="S69" i="1" s="1"/>
  <c r="U158" i="1"/>
  <c r="S158" i="1" s="1"/>
  <c r="AA156" i="1"/>
  <c r="W156" i="1" s="1"/>
  <c r="AA148" i="1"/>
  <c r="W148" i="1" s="1"/>
  <c r="AA140" i="1"/>
  <c r="W140" i="1" s="1"/>
  <c r="AA69" i="1"/>
  <c r="W69" i="1" s="1"/>
  <c r="AA73" i="1"/>
  <c r="W73" i="1" s="1"/>
  <c r="U150" i="1"/>
  <c r="S150" i="1" s="1"/>
  <c r="U142" i="1"/>
  <c r="S142" i="1" s="1"/>
  <c r="AA151" i="1"/>
  <c r="W151" i="1" s="1"/>
  <c r="U149" i="1"/>
  <c r="S149" i="1" s="1"/>
  <c r="AA145" i="1"/>
  <c r="W145" i="1" s="1"/>
  <c r="U143" i="1"/>
  <c r="S143" i="1" s="1"/>
  <c r="U141" i="1"/>
  <c r="S141" i="1" s="1"/>
  <c r="AA159" i="1"/>
  <c r="W159" i="1" s="1"/>
  <c r="U157" i="1"/>
  <c r="S157" i="1" s="1"/>
  <c r="AA153" i="1"/>
  <c r="W153" i="1" s="1"/>
  <c r="U154" i="1"/>
  <c r="S154" i="1" s="1"/>
  <c r="U152" i="1"/>
  <c r="S152" i="1" s="1"/>
  <c r="U146" i="1"/>
  <c r="S146" i="1" s="1"/>
  <c r="U144" i="1"/>
  <c r="S144" i="1" s="1"/>
  <c r="AA139" i="1"/>
  <c r="W139" i="1" s="1"/>
  <c r="AF71" i="1"/>
  <c r="R11" i="3" s="1"/>
  <c r="U155" i="1"/>
  <c r="S155" i="1" s="1"/>
  <c r="U159" i="1"/>
  <c r="S159" i="1" s="1"/>
  <c r="U147" i="1"/>
  <c r="S147" i="1" s="1"/>
  <c r="U151" i="1"/>
  <c r="S151" i="1" s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2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8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U10" i="3"/>
  <c r="U64" i="3"/>
  <c r="U12" i="3"/>
  <c r="U13" i="3"/>
  <c r="U14" i="3"/>
  <c r="U65" i="3"/>
  <c r="U15" i="3"/>
  <c r="U16" i="3"/>
  <c r="U20" i="3"/>
  <c r="U21" i="3"/>
  <c r="U66" i="3"/>
  <c r="U67" i="3"/>
  <c r="U23" i="3"/>
  <c r="U24" i="3"/>
  <c r="U26" i="3"/>
  <c r="U27" i="3"/>
  <c r="U28" i="3"/>
  <c r="U68" i="3"/>
  <c r="U29" i="3"/>
  <c r="U30" i="3"/>
  <c r="U34" i="3"/>
  <c r="U35" i="3"/>
  <c r="U36" i="3"/>
  <c r="U37" i="3"/>
  <c r="U38" i="3"/>
  <c r="U39" i="3"/>
  <c r="U40" i="3"/>
  <c r="U69" i="3"/>
  <c r="U70" i="3"/>
  <c r="U50" i="3"/>
  <c r="U51" i="3"/>
  <c r="U52" i="3"/>
  <c r="U53" i="3"/>
  <c r="U9" i="3"/>
  <c r="T15" i="1"/>
  <c r="V15" i="1"/>
  <c r="X15" i="1"/>
  <c r="Y15" i="1"/>
  <c r="Z15" i="1"/>
  <c r="AB15" i="1"/>
  <c r="AC15" i="1"/>
  <c r="AD15" i="1"/>
  <c r="T16" i="1"/>
  <c r="V16" i="1"/>
  <c r="X16" i="1"/>
  <c r="Y16" i="1"/>
  <c r="Z16" i="1"/>
  <c r="AB16" i="1"/>
  <c r="AC16" i="1"/>
  <c r="AD16" i="1"/>
  <c r="T17" i="1"/>
  <c r="V17" i="1"/>
  <c r="X17" i="1"/>
  <c r="Y17" i="1"/>
  <c r="Z17" i="1"/>
  <c r="AB17" i="1"/>
  <c r="AC17" i="1"/>
  <c r="AD17" i="1"/>
  <c r="T18" i="1"/>
  <c r="V18" i="1"/>
  <c r="X18" i="1"/>
  <c r="Y18" i="1"/>
  <c r="Z18" i="1"/>
  <c r="AB18" i="1"/>
  <c r="AC18" i="1"/>
  <c r="AD18" i="1"/>
  <c r="T19" i="1"/>
  <c r="V19" i="1"/>
  <c r="X19" i="1"/>
  <c r="Y19" i="1"/>
  <c r="Z19" i="1"/>
  <c r="AB19" i="1"/>
  <c r="AC19" i="1"/>
  <c r="AD19" i="1"/>
  <c r="T20" i="1"/>
  <c r="V20" i="1"/>
  <c r="X20" i="1"/>
  <c r="Y20" i="1"/>
  <c r="Z20" i="1"/>
  <c r="AB20" i="1"/>
  <c r="AC20" i="1"/>
  <c r="AD20" i="1"/>
  <c r="T21" i="1"/>
  <c r="V21" i="1"/>
  <c r="X21" i="1"/>
  <c r="Y21" i="1"/>
  <c r="Z21" i="1"/>
  <c r="AB21" i="1"/>
  <c r="AC21" i="1"/>
  <c r="AD21" i="1"/>
  <c r="T22" i="1"/>
  <c r="V22" i="1"/>
  <c r="X22" i="1"/>
  <c r="Y22" i="1"/>
  <c r="Z22" i="1"/>
  <c r="AB22" i="1"/>
  <c r="AC22" i="1"/>
  <c r="AD22" i="1"/>
  <c r="T23" i="1"/>
  <c r="V23" i="1"/>
  <c r="X23" i="1"/>
  <c r="Y23" i="1"/>
  <c r="Z23" i="1"/>
  <c r="AB23" i="1"/>
  <c r="AC23" i="1"/>
  <c r="AD23" i="1"/>
  <c r="T24" i="1"/>
  <c r="V24" i="1"/>
  <c r="X24" i="1"/>
  <c r="Y24" i="1"/>
  <c r="Z24" i="1"/>
  <c r="AB24" i="1"/>
  <c r="AC24" i="1"/>
  <c r="AD24" i="1"/>
  <c r="T25" i="1"/>
  <c r="V25" i="1"/>
  <c r="X25" i="1"/>
  <c r="Y25" i="1"/>
  <c r="Z25" i="1"/>
  <c r="AB25" i="1"/>
  <c r="AC25" i="1"/>
  <c r="AD25" i="1"/>
  <c r="T26" i="1"/>
  <c r="V26" i="1"/>
  <c r="X26" i="1"/>
  <c r="Y26" i="1"/>
  <c r="Z26" i="1"/>
  <c r="AB26" i="1"/>
  <c r="AC26" i="1"/>
  <c r="AD26" i="1"/>
  <c r="T27" i="1"/>
  <c r="V27" i="1"/>
  <c r="X27" i="1"/>
  <c r="Y27" i="1"/>
  <c r="AA27" i="1" s="1"/>
  <c r="W27" i="1" s="1"/>
  <c r="Z27" i="1"/>
  <c r="AB27" i="1"/>
  <c r="AC27" i="1"/>
  <c r="AD27" i="1"/>
  <c r="T28" i="1"/>
  <c r="V28" i="1"/>
  <c r="X28" i="1"/>
  <c r="Y28" i="1"/>
  <c r="Z28" i="1"/>
  <c r="AB28" i="1"/>
  <c r="AC28" i="1"/>
  <c r="AD28" i="1"/>
  <c r="T29" i="1"/>
  <c r="V29" i="1"/>
  <c r="X29" i="1"/>
  <c r="Y29" i="1"/>
  <c r="Z29" i="1"/>
  <c r="AB29" i="1"/>
  <c r="AC29" i="1"/>
  <c r="AD29" i="1"/>
  <c r="T30" i="1"/>
  <c r="V30" i="1"/>
  <c r="X30" i="1"/>
  <c r="Y30" i="1"/>
  <c r="Z30" i="1"/>
  <c r="AB30" i="1"/>
  <c r="AC30" i="1"/>
  <c r="AD30" i="1"/>
  <c r="T31" i="1"/>
  <c r="V31" i="1"/>
  <c r="X31" i="1"/>
  <c r="Y31" i="1"/>
  <c r="Z31" i="1"/>
  <c r="AB31" i="1"/>
  <c r="AC31" i="1"/>
  <c r="AD31" i="1"/>
  <c r="T32" i="1"/>
  <c r="V32" i="1"/>
  <c r="X32" i="1"/>
  <c r="Y32" i="1"/>
  <c r="Z32" i="1"/>
  <c r="AB32" i="1"/>
  <c r="AC32" i="1"/>
  <c r="AD32" i="1"/>
  <c r="T33" i="1"/>
  <c r="V33" i="1"/>
  <c r="X33" i="1"/>
  <c r="Y33" i="1"/>
  <c r="Z33" i="1"/>
  <c r="AB33" i="1"/>
  <c r="AC33" i="1"/>
  <c r="AD33" i="1"/>
  <c r="T34" i="1"/>
  <c r="V34" i="1"/>
  <c r="X34" i="1"/>
  <c r="Y34" i="1"/>
  <c r="Z34" i="1"/>
  <c r="AB34" i="1"/>
  <c r="AC34" i="1"/>
  <c r="AD34" i="1"/>
  <c r="T35" i="1"/>
  <c r="V35" i="1"/>
  <c r="X35" i="1"/>
  <c r="Y35" i="1"/>
  <c r="Z35" i="1"/>
  <c r="AB35" i="1"/>
  <c r="AC35" i="1"/>
  <c r="AD35" i="1"/>
  <c r="T36" i="1"/>
  <c r="V36" i="1"/>
  <c r="X36" i="1"/>
  <c r="Y36" i="1"/>
  <c r="Z36" i="1"/>
  <c r="AB36" i="1"/>
  <c r="AC36" i="1"/>
  <c r="AD36" i="1"/>
  <c r="T37" i="1"/>
  <c r="V37" i="1"/>
  <c r="X37" i="1"/>
  <c r="Y37" i="1"/>
  <c r="Z37" i="1"/>
  <c r="AB37" i="1"/>
  <c r="AC37" i="1"/>
  <c r="AD37" i="1"/>
  <c r="T38" i="1"/>
  <c r="V38" i="1"/>
  <c r="X38" i="1"/>
  <c r="Y38" i="1"/>
  <c r="Z38" i="1"/>
  <c r="AB38" i="1"/>
  <c r="AC38" i="1"/>
  <c r="AD38" i="1"/>
  <c r="T39" i="1"/>
  <c r="V39" i="1"/>
  <c r="X39" i="1"/>
  <c r="Y39" i="1"/>
  <c r="AA39" i="1" s="1"/>
  <c r="W39" i="1" s="1"/>
  <c r="Z39" i="1"/>
  <c r="AB39" i="1"/>
  <c r="AC39" i="1"/>
  <c r="AD39" i="1"/>
  <c r="T40" i="1"/>
  <c r="V40" i="1"/>
  <c r="X40" i="1"/>
  <c r="Y40" i="1"/>
  <c r="Z40" i="1"/>
  <c r="AB40" i="1"/>
  <c r="AC40" i="1"/>
  <c r="AD40" i="1"/>
  <c r="T41" i="1"/>
  <c r="V41" i="1"/>
  <c r="X41" i="1"/>
  <c r="Y41" i="1"/>
  <c r="Z41" i="1"/>
  <c r="AB41" i="1"/>
  <c r="AC41" i="1"/>
  <c r="AD41" i="1"/>
  <c r="T42" i="1"/>
  <c r="V42" i="1"/>
  <c r="X42" i="1"/>
  <c r="Y42" i="1"/>
  <c r="Z42" i="1"/>
  <c r="AB42" i="1"/>
  <c r="AC42" i="1"/>
  <c r="AD42" i="1"/>
  <c r="T43" i="1"/>
  <c r="V43" i="1"/>
  <c r="X43" i="1"/>
  <c r="Y43" i="1"/>
  <c r="AA43" i="1" s="1"/>
  <c r="W43" i="1" s="1"/>
  <c r="Z43" i="1"/>
  <c r="AB43" i="1"/>
  <c r="AC43" i="1"/>
  <c r="AD43" i="1"/>
  <c r="T44" i="1"/>
  <c r="V44" i="1"/>
  <c r="X44" i="1"/>
  <c r="Y44" i="1"/>
  <c r="Z44" i="1"/>
  <c r="AB44" i="1"/>
  <c r="AC44" i="1"/>
  <c r="AD44" i="1"/>
  <c r="T45" i="1"/>
  <c r="V45" i="1"/>
  <c r="X45" i="1"/>
  <c r="Y45" i="1"/>
  <c r="Z45" i="1"/>
  <c r="AB45" i="1"/>
  <c r="AC45" i="1"/>
  <c r="AD45" i="1"/>
  <c r="T46" i="1"/>
  <c r="V46" i="1"/>
  <c r="X46" i="1"/>
  <c r="Y46" i="1"/>
  <c r="Z46" i="1"/>
  <c r="AB46" i="1"/>
  <c r="AC46" i="1"/>
  <c r="AD46" i="1"/>
  <c r="T47" i="1"/>
  <c r="V47" i="1"/>
  <c r="X47" i="1"/>
  <c r="Y47" i="1"/>
  <c r="Z47" i="1"/>
  <c r="AB47" i="1"/>
  <c r="AC47" i="1"/>
  <c r="AD47" i="1"/>
  <c r="T48" i="1"/>
  <c r="V48" i="1"/>
  <c r="X48" i="1"/>
  <c r="Y48" i="1"/>
  <c r="Z48" i="1"/>
  <c r="AB48" i="1"/>
  <c r="AC48" i="1"/>
  <c r="AD48" i="1"/>
  <c r="T49" i="1"/>
  <c r="V49" i="1"/>
  <c r="X49" i="1"/>
  <c r="Y49" i="1"/>
  <c r="Z49" i="1"/>
  <c r="AB49" i="1"/>
  <c r="AC49" i="1"/>
  <c r="AD49" i="1"/>
  <c r="T50" i="1"/>
  <c r="V50" i="1"/>
  <c r="X50" i="1"/>
  <c r="Y50" i="1"/>
  <c r="Z50" i="1"/>
  <c r="AB50" i="1"/>
  <c r="AC50" i="1"/>
  <c r="AD50" i="1"/>
  <c r="T51" i="1"/>
  <c r="V51" i="1"/>
  <c r="X51" i="1"/>
  <c r="Y51" i="1"/>
  <c r="Z51" i="1"/>
  <c r="AB51" i="1"/>
  <c r="AC51" i="1"/>
  <c r="AD51" i="1"/>
  <c r="T52" i="1"/>
  <c r="V52" i="1"/>
  <c r="X52" i="1"/>
  <c r="Y52" i="1"/>
  <c r="Z52" i="1"/>
  <c r="AB52" i="1"/>
  <c r="AC52" i="1"/>
  <c r="AD52" i="1"/>
  <c r="T53" i="1"/>
  <c r="V53" i="1"/>
  <c r="X53" i="1"/>
  <c r="Y53" i="1"/>
  <c r="Z53" i="1"/>
  <c r="AB53" i="1"/>
  <c r="AC53" i="1"/>
  <c r="AD53" i="1"/>
  <c r="T54" i="1"/>
  <c r="V54" i="1"/>
  <c r="X54" i="1"/>
  <c r="Y54" i="1"/>
  <c r="Z54" i="1"/>
  <c r="AB54" i="1"/>
  <c r="AC54" i="1"/>
  <c r="AD54" i="1"/>
  <c r="T55" i="1"/>
  <c r="V55" i="1"/>
  <c r="X55" i="1"/>
  <c r="Y55" i="1"/>
  <c r="Z55" i="1"/>
  <c r="AB55" i="1"/>
  <c r="AC55" i="1"/>
  <c r="AD55" i="1"/>
  <c r="T56" i="1"/>
  <c r="V56" i="1"/>
  <c r="X56" i="1"/>
  <c r="Y56" i="1"/>
  <c r="Z56" i="1"/>
  <c r="AB56" i="1"/>
  <c r="AC56" i="1"/>
  <c r="AD56" i="1"/>
  <c r="T57" i="1"/>
  <c r="V57" i="1"/>
  <c r="X57" i="1"/>
  <c r="Y57" i="1"/>
  <c r="Z57" i="1"/>
  <c r="AB57" i="1"/>
  <c r="AC57" i="1"/>
  <c r="AD57" i="1"/>
  <c r="T58" i="1"/>
  <c r="V58" i="1"/>
  <c r="X58" i="1"/>
  <c r="Y58" i="1"/>
  <c r="Z58" i="1"/>
  <c r="AB58" i="1"/>
  <c r="AC58" i="1"/>
  <c r="AD58" i="1"/>
  <c r="T59" i="1"/>
  <c r="V59" i="1"/>
  <c r="X59" i="1"/>
  <c r="Y59" i="1"/>
  <c r="Z59" i="1"/>
  <c r="AB59" i="1"/>
  <c r="AC59" i="1"/>
  <c r="AD59" i="1"/>
  <c r="T60" i="1"/>
  <c r="V60" i="1"/>
  <c r="X60" i="1"/>
  <c r="Y60" i="1"/>
  <c r="Z60" i="1"/>
  <c r="AB60" i="1"/>
  <c r="AC60" i="1"/>
  <c r="AD60" i="1"/>
  <c r="T61" i="1"/>
  <c r="V61" i="1"/>
  <c r="X61" i="1"/>
  <c r="Y61" i="1"/>
  <c r="Z61" i="1"/>
  <c r="AB61" i="1"/>
  <c r="AC61" i="1"/>
  <c r="AD61" i="1"/>
  <c r="T62" i="1"/>
  <c r="V62" i="1"/>
  <c r="X62" i="1"/>
  <c r="Y62" i="1"/>
  <c r="Z62" i="1"/>
  <c r="AB62" i="1"/>
  <c r="AC62" i="1"/>
  <c r="AD62" i="1"/>
  <c r="T63" i="1"/>
  <c r="V63" i="1"/>
  <c r="X63" i="1"/>
  <c r="Y63" i="1"/>
  <c r="Z63" i="1"/>
  <c r="AB63" i="1"/>
  <c r="AC63" i="1"/>
  <c r="AD63" i="1"/>
  <c r="T64" i="1"/>
  <c r="V64" i="1"/>
  <c r="X64" i="1"/>
  <c r="Y64" i="1"/>
  <c r="Z64" i="1"/>
  <c r="AB64" i="1"/>
  <c r="AC64" i="1"/>
  <c r="AD64" i="1"/>
  <c r="T65" i="1"/>
  <c r="V65" i="1"/>
  <c r="X65" i="1"/>
  <c r="Y65" i="1"/>
  <c r="Z65" i="1"/>
  <c r="AB65" i="1"/>
  <c r="AC65" i="1"/>
  <c r="AD65" i="1"/>
  <c r="T66" i="1"/>
  <c r="V66" i="1"/>
  <c r="X66" i="1"/>
  <c r="Y66" i="1"/>
  <c r="Z66" i="1"/>
  <c r="AB66" i="1"/>
  <c r="AC66" i="1"/>
  <c r="AD66" i="1"/>
  <c r="T67" i="1"/>
  <c r="V67" i="1"/>
  <c r="X67" i="1"/>
  <c r="Y67" i="1"/>
  <c r="Z67" i="1"/>
  <c r="AB67" i="1"/>
  <c r="AC67" i="1"/>
  <c r="AD67" i="1"/>
  <c r="T68" i="1"/>
  <c r="V68" i="1"/>
  <c r="X68" i="1"/>
  <c r="Y68" i="1"/>
  <c r="Z68" i="1"/>
  <c r="AB68" i="1"/>
  <c r="AC68" i="1"/>
  <c r="AD68" i="1"/>
  <c r="T70" i="1"/>
  <c r="V70" i="1"/>
  <c r="Y70" i="1"/>
  <c r="Z70" i="1"/>
  <c r="AB70" i="1"/>
  <c r="AC70" i="1"/>
  <c r="AD70" i="1"/>
  <c r="AE13" i="1"/>
  <c r="AF13" i="1"/>
  <c r="T72" i="1"/>
  <c r="V72" i="1"/>
  <c r="Y72" i="1"/>
  <c r="Z72" i="1"/>
  <c r="AB72" i="1"/>
  <c r="AC72" i="1"/>
  <c r="AD72" i="1"/>
  <c r="AE14" i="1"/>
  <c r="AF14" i="1"/>
  <c r="T74" i="1"/>
  <c r="V74" i="1"/>
  <c r="Z74" i="1"/>
  <c r="AA74" i="1"/>
  <c r="W74" i="1" s="1"/>
  <c r="AB74" i="1"/>
  <c r="AC74" i="1"/>
  <c r="AD74" i="1"/>
  <c r="AE15" i="1"/>
  <c r="AF15" i="1"/>
  <c r="AD160" i="1"/>
  <c r="AE16" i="1"/>
  <c r="AF16" i="1"/>
  <c r="AD161" i="1"/>
  <c r="AE17" i="1"/>
  <c r="AF17" i="1"/>
  <c r="AD162" i="1"/>
  <c r="AE18" i="1"/>
  <c r="AF18" i="1"/>
  <c r="AD163" i="1"/>
  <c r="AE19" i="1"/>
  <c r="AF19" i="1"/>
  <c r="AD164" i="1"/>
  <c r="AE20" i="1"/>
  <c r="AF20" i="1"/>
  <c r="AD165" i="1"/>
  <c r="AE21" i="1"/>
  <c r="AF21" i="1"/>
  <c r="AD166" i="1"/>
  <c r="AE22" i="1"/>
  <c r="AF22" i="1"/>
  <c r="AD167" i="1"/>
  <c r="AE23" i="1"/>
  <c r="AF23" i="1"/>
  <c r="AD168" i="1"/>
  <c r="AE24" i="1"/>
  <c r="AF24" i="1"/>
  <c r="AD169" i="1"/>
  <c r="AE25" i="1"/>
  <c r="AF25" i="1"/>
  <c r="AD170" i="1"/>
  <c r="AE26" i="1"/>
  <c r="AF26" i="1"/>
  <c r="AD171" i="1"/>
  <c r="AE27" i="1"/>
  <c r="AF27" i="1"/>
  <c r="AD172" i="1"/>
  <c r="AE28" i="1"/>
  <c r="AF28" i="1"/>
  <c r="AD173" i="1"/>
  <c r="AE29" i="1"/>
  <c r="AF29" i="1"/>
  <c r="AD174" i="1"/>
  <c r="AE30" i="1"/>
  <c r="AF30" i="1"/>
  <c r="AD175" i="1"/>
  <c r="AE31" i="1"/>
  <c r="AF31" i="1"/>
  <c r="AD176" i="1"/>
  <c r="AE32" i="1"/>
  <c r="AF32" i="1"/>
  <c r="AD177" i="1"/>
  <c r="AE33" i="1"/>
  <c r="AF33" i="1"/>
  <c r="T75" i="1"/>
  <c r="V75" i="1"/>
  <c r="Q41" i="3" s="1"/>
  <c r="Z75" i="1"/>
  <c r="AA75" i="1" s="1"/>
  <c r="W75" i="1" s="1"/>
  <c r="AB75" i="1"/>
  <c r="AC75" i="1"/>
  <c r="AD75" i="1"/>
  <c r="AE34" i="1"/>
  <c r="AF34" i="1"/>
  <c r="T76" i="1"/>
  <c r="V76" i="1"/>
  <c r="Z76" i="1"/>
  <c r="AA76" i="1" s="1"/>
  <c r="W76" i="1" s="1"/>
  <c r="AB76" i="1"/>
  <c r="AC76" i="1"/>
  <c r="AD76" i="1"/>
  <c r="AE35" i="1"/>
  <c r="AF35" i="1"/>
  <c r="T77" i="1"/>
  <c r="V77" i="1"/>
  <c r="Z77" i="1"/>
  <c r="AB77" i="1"/>
  <c r="AC77" i="1"/>
  <c r="AD77" i="1"/>
  <c r="AE36" i="1"/>
  <c r="AF36" i="1"/>
  <c r="T78" i="1"/>
  <c r="V78" i="1"/>
  <c r="X78" i="1"/>
  <c r="Y78" i="1"/>
  <c r="Z78" i="1"/>
  <c r="AB78" i="1"/>
  <c r="AC78" i="1"/>
  <c r="AD78" i="1"/>
  <c r="AE37" i="1"/>
  <c r="AF37" i="1"/>
  <c r="L29" i="3"/>
  <c r="L68" i="3"/>
  <c r="L66" i="3"/>
  <c r="L69" i="3"/>
  <c r="L64" i="3"/>
  <c r="L12" i="3"/>
  <c r="L28" i="3"/>
  <c r="L34" i="3"/>
  <c r="L20" i="3"/>
  <c r="L9" i="3"/>
  <c r="L35" i="3"/>
  <c r="L21" i="3"/>
  <c r="L70" i="3"/>
  <c r="L50" i="3"/>
  <c r="L65" i="3"/>
  <c r="L16" i="3"/>
  <c r="L36" i="3"/>
  <c r="L67" i="3"/>
  <c r="L10" i="3"/>
  <c r="L37" i="3"/>
  <c r="L13" i="3"/>
  <c r="L38" i="3"/>
  <c r="L24" i="3"/>
  <c r="L30" i="3"/>
  <c r="L27" i="3"/>
  <c r="L23" i="3"/>
  <c r="L14" i="3"/>
  <c r="L15" i="3"/>
  <c r="L51" i="3"/>
  <c r="L39" i="3"/>
  <c r="L52" i="3"/>
  <c r="L53" i="3"/>
  <c r="L40" i="3"/>
  <c r="L26" i="3"/>
  <c r="S50" i="3"/>
  <c r="T50" i="3"/>
  <c r="S10" i="3"/>
  <c r="T10" i="3"/>
  <c r="S36" i="3"/>
  <c r="T36" i="3"/>
  <c r="S28" i="3"/>
  <c r="T28" i="3"/>
  <c r="S69" i="3"/>
  <c r="T69" i="3"/>
  <c r="S20" i="3"/>
  <c r="T20" i="3"/>
  <c r="S9" i="3"/>
  <c r="T9" i="3"/>
  <c r="S68" i="3"/>
  <c r="T68" i="3"/>
  <c r="AA55" i="1" l="1"/>
  <c r="W55" i="1" s="1"/>
  <c r="AA54" i="1"/>
  <c r="W54" i="1" s="1"/>
  <c r="AA53" i="1"/>
  <c r="W53" i="1" s="1"/>
  <c r="AA51" i="1"/>
  <c r="W51" i="1" s="1"/>
  <c r="AA50" i="1"/>
  <c r="W50" i="1" s="1"/>
  <c r="AA48" i="1"/>
  <c r="W48" i="1" s="1"/>
  <c r="AA45" i="1"/>
  <c r="W45" i="1" s="1"/>
  <c r="AA44" i="1"/>
  <c r="W44" i="1" s="1"/>
  <c r="AA18" i="1"/>
  <c r="W18" i="1" s="1"/>
  <c r="AA17" i="1"/>
  <c r="W17" i="1" s="1"/>
  <c r="AA16" i="1"/>
  <c r="W16" i="1" s="1"/>
  <c r="U74" i="1"/>
  <c r="S74" i="1" s="1"/>
  <c r="AA42" i="1"/>
  <c r="W42" i="1" s="1"/>
  <c r="AA41" i="1"/>
  <c r="W41" i="1" s="1"/>
  <c r="AA40" i="1"/>
  <c r="W40" i="1" s="1"/>
  <c r="AA19" i="1"/>
  <c r="W19" i="1" s="1"/>
  <c r="U72" i="1"/>
  <c r="S72" i="1" s="1"/>
  <c r="AA68" i="1"/>
  <c r="W68" i="1" s="1"/>
  <c r="U70" i="1"/>
  <c r="S70" i="1" s="1"/>
  <c r="U68" i="1"/>
  <c r="S68" i="1" s="1"/>
  <c r="AA67" i="1"/>
  <c r="W67" i="1" s="1"/>
  <c r="AA63" i="1"/>
  <c r="W63" i="1" s="1"/>
  <c r="AA15" i="1"/>
  <c r="W15" i="1" s="1"/>
  <c r="AA72" i="1"/>
  <c r="W72" i="1" s="1"/>
  <c r="AA38" i="1"/>
  <c r="W38" i="1" s="1"/>
  <c r="AA37" i="1"/>
  <c r="W37" i="1" s="1"/>
  <c r="AA35" i="1"/>
  <c r="W35" i="1" s="1"/>
  <c r="AA34" i="1"/>
  <c r="W34" i="1" s="1"/>
  <c r="AA32" i="1"/>
  <c r="W32" i="1" s="1"/>
  <c r="AA29" i="1"/>
  <c r="W29" i="1" s="1"/>
  <c r="AA28" i="1"/>
  <c r="W28" i="1" s="1"/>
  <c r="AA23" i="1"/>
  <c r="W23" i="1" s="1"/>
  <c r="AA22" i="1"/>
  <c r="W22" i="1" s="1"/>
  <c r="AA21" i="1"/>
  <c r="W21" i="1" s="1"/>
  <c r="U54" i="1"/>
  <c r="S54" i="1" s="1"/>
  <c r="U52" i="1"/>
  <c r="S52" i="1" s="1"/>
  <c r="AA47" i="1"/>
  <c r="W47" i="1" s="1"/>
  <c r="U20" i="1"/>
  <c r="S20" i="1" s="1"/>
  <c r="U38" i="1"/>
  <c r="S38" i="1" s="1"/>
  <c r="U36" i="1"/>
  <c r="S36" i="1" s="1"/>
  <c r="AA70" i="1"/>
  <c r="W70" i="1" s="1"/>
  <c r="AA66" i="1"/>
  <c r="W66" i="1" s="1"/>
  <c r="AA61" i="1"/>
  <c r="W61" i="1" s="1"/>
  <c r="AA60" i="1"/>
  <c r="W60" i="1" s="1"/>
  <c r="AA59" i="1"/>
  <c r="W59" i="1" s="1"/>
  <c r="U59" i="1"/>
  <c r="AA58" i="1"/>
  <c r="W58" i="1" s="1"/>
  <c r="AA57" i="1"/>
  <c r="W57" i="1" s="1"/>
  <c r="AA56" i="1"/>
  <c r="W56" i="1" s="1"/>
  <c r="AA31" i="1"/>
  <c r="W31" i="1" s="1"/>
  <c r="AA26" i="1"/>
  <c r="W26" i="1" s="1"/>
  <c r="AA25" i="1"/>
  <c r="W25" i="1" s="1"/>
  <c r="AA24" i="1"/>
  <c r="W24" i="1" s="1"/>
  <c r="U23" i="1"/>
  <c r="S23" i="1" s="1"/>
  <c r="U22" i="1"/>
  <c r="S22" i="1" s="1"/>
  <c r="U15" i="1"/>
  <c r="S15" i="1" s="1"/>
  <c r="U56" i="1"/>
  <c r="S56" i="1" s="1"/>
  <c r="U51" i="1"/>
  <c r="S51" i="1" s="1"/>
  <c r="U40" i="1"/>
  <c r="S40" i="1" s="1"/>
  <c r="U35" i="1"/>
  <c r="S35" i="1" s="1"/>
  <c r="U24" i="1"/>
  <c r="S24" i="1" s="1"/>
  <c r="U55" i="1"/>
  <c r="S55" i="1" s="1"/>
  <c r="U44" i="1"/>
  <c r="S44" i="1" s="1"/>
  <c r="U58" i="1"/>
  <c r="S58" i="1" s="1"/>
  <c r="U48" i="1"/>
  <c r="S48" i="1" s="1"/>
  <c r="U43" i="1"/>
  <c r="S43" i="1" s="1"/>
  <c r="U42" i="1"/>
  <c r="S42" i="1" s="1"/>
  <c r="U32" i="1"/>
  <c r="S32" i="1" s="1"/>
  <c r="U27" i="1"/>
  <c r="S27" i="1" s="1"/>
  <c r="U26" i="1"/>
  <c r="S26" i="1" s="1"/>
  <c r="U19" i="1"/>
  <c r="S19" i="1" s="1"/>
  <c r="U18" i="1"/>
  <c r="S18" i="1" s="1"/>
  <c r="U60" i="1"/>
  <c r="U50" i="1"/>
  <c r="S50" i="1" s="1"/>
  <c r="U34" i="1"/>
  <c r="S34" i="1" s="1"/>
  <c r="U16" i="1"/>
  <c r="S16" i="1" s="1"/>
  <c r="AA65" i="1"/>
  <c r="W65" i="1" s="1"/>
  <c r="U39" i="1"/>
  <c r="S39" i="1" s="1"/>
  <c r="U28" i="1"/>
  <c r="S28" i="1" s="1"/>
  <c r="U67" i="1"/>
  <c r="S67" i="1" s="1"/>
  <c r="AA77" i="1"/>
  <c r="W77" i="1" s="1"/>
  <c r="AA64" i="1"/>
  <c r="W64" i="1" s="1"/>
  <c r="U63" i="1"/>
  <c r="S63" i="1" s="1"/>
  <c r="AA62" i="1"/>
  <c r="W62" i="1" s="1"/>
  <c r="U62" i="1"/>
  <c r="S62" i="1" s="1"/>
  <c r="AA52" i="1"/>
  <c r="W52" i="1" s="1"/>
  <c r="AA49" i="1"/>
  <c r="W49" i="1" s="1"/>
  <c r="U47" i="1"/>
  <c r="S47" i="1" s="1"/>
  <c r="AA46" i="1"/>
  <c r="W46" i="1" s="1"/>
  <c r="U46" i="1"/>
  <c r="S46" i="1" s="1"/>
  <c r="AA36" i="1"/>
  <c r="W36" i="1" s="1"/>
  <c r="AA33" i="1"/>
  <c r="W33" i="1" s="1"/>
  <c r="U31" i="1"/>
  <c r="S31" i="1" s="1"/>
  <c r="AA30" i="1"/>
  <c r="W30" i="1" s="1"/>
  <c r="U30" i="1"/>
  <c r="S30" i="1" s="1"/>
  <c r="AA78" i="1"/>
  <c r="W78" i="1" s="1"/>
  <c r="U76" i="1"/>
  <c r="S76" i="1" s="1"/>
  <c r="U65" i="1"/>
  <c r="S65" i="1" s="1"/>
  <c r="AA20" i="1"/>
  <c r="W20" i="1" s="1"/>
  <c r="U64" i="1"/>
  <c r="S64" i="1" s="1"/>
  <c r="U78" i="1"/>
  <c r="S78" i="1" s="1"/>
  <c r="U77" i="1"/>
  <c r="S77" i="1" s="1"/>
  <c r="U61" i="1"/>
  <c r="U57" i="1"/>
  <c r="S57" i="1" s="1"/>
  <c r="U53" i="1"/>
  <c r="S53" i="1" s="1"/>
  <c r="U49" i="1"/>
  <c r="S49" i="1" s="1"/>
  <c r="U45" i="1"/>
  <c r="S45" i="1" s="1"/>
  <c r="U41" i="1"/>
  <c r="S41" i="1" s="1"/>
  <c r="U37" i="1"/>
  <c r="S37" i="1" s="1"/>
  <c r="U33" i="1"/>
  <c r="S33" i="1" s="1"/>
  <c r="U29" i="1"/>
  <c r="S29" i="1" s="1"/>
  <c r="U25" i="1"/>
  <c r="S25" i="1" s="1"/>
  <c r="U75" i="1"/>
  <c r="S75" i="1" s="1"/>
  <c r="U66" i="1"/>
  <c r="S66" i="1" s="1"/>
  <c r="U21" i="1"/>
  <c r="S21" i="1" s="1"/>
  <c r="U17" i="1"/>
  <c r="S17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P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Q28" i="3"/>
  <c r="P28" i="3"/>
  <c r="R28" i="3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Q20" i="3"/>
  <c r="P20" i="3"/>
  <c r="R20" i="3"/>
  <c r="K34" i="1"/>
  <c r="L34" i="1"/>
  <c r="M34" i="1"/>
  <c r="N34" i="1" s="1"/>
  <c r="K35" i="1"/>
  <c r="L35" i="1"/>
  <c r="M35" i="1"/>
  <c r="N35" i="1" s="1"/>
  <c r="Q9" i="3"/>
  <c r="P9" i="3"/>
  <c r="R9" i="3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Q36" i="3"/>
  <c r="K43" i="1"/>
  <c r="L43" i="1"/>
  <c r="M43" i="1"/>
  <c r="N43" i="1" s="1"/>
  <c r="Q50" i="3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Q10" i="3"/>
  <c r="K160" i="1"/>
  <c r="L160" i="1"/>
  <c r="M160" i="1"/>
  <c r="Q69" i="3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Q68" i="3"/>
  <c r="K177" i="1"/>
  <c r="L177" i="1"/>
  <c r="M177" i="1"/>
  <c r="T79" i="1"/>
  <c r="V79" i="1"/>
  <c r="X79" i="1"/>
  <c r="Y79" i="1"/>
  <c r="Z79" i="1"/>
  <c r="AB79" i="1"/>
  <c r="AC79" i="1"/>
  <c r="AD79" i="1"/>
  <c r="AE38" i="1"/>
  <c r="AF38" i="1"/>
  <c r="T80" i="1"/>
  <c r="V80" i="1"/>
  <c r="Q22" i="3" s="1"/>
  <c r="X80" i="1"/>
  <c r="Y80" i="1"/>
  <c r="Z80" i="1"/>
  <c r="AB80" i="1"/>
  <c r="AC80" i="1"/>
  <c r="AD80" i="1"/>
  <c r="AE39" i="1"/>
  <c r="AF39" i="1"/>
  <c r="T81" i="1"/>
  <c r="V81" i="1"/>
  <c r="Q42" i="3" s="1"/>
  <c r="X81" i="1"/>
  <c r="Y81" i="1"/>
  <c r="Z81" i="1"/>
  <c r="AB81" i="1"/>
  <c r="AC81" i="1"/>
  <c r="AD81" i="1"/>
  <c r="AE40" i="1"/>
  <c r="AF40" i="1"/>
  <c r="T82" i="1"/>
  <c r="V82" i="1"/>
  <c r="X82" i="1"/>
  <c r="Y82" i="1"/>
  <c r="Z82" i="1"/>
  <c r="AB82" i="1"/>
  <c r="AC82" i="1"/>
  <c r="AD82" i="1"/>
  <c r="AE41" i="1"/>
  <c r="AF41" i="1"/>
  <c r="T83" i="1"/>
  <c r="V83" i="1"/>
  <c r="X83" i="1"/>
  <c r="Y83" i="1"/>
  <c r="Z83" i="1"/>
  <c r="AB83" i="1"/>
  <c r="AC83" i="1"/>
  <c r="AD83" i="1"/>
  <c r="AE42" i="1"/>
  <c r="P36" i="3" s="1"/>
  <c r="AF42" i="1"/>
  <c r="R36" i="3" s="1"/>
  <c r="T84" i="1"/>
  <c r="V84" i="1"/>
  <c r="X84" i="1"/>
  <c r="Y84" i="1"/>
  <c r="Z84" i="1"/>
  <c r="AB84" i="1"/>
  <c r="AC84" i="1"/>
  <c r="AD84" i="1"/>
  <c r="AE43" i="1"/>
  <c r="P50" i="3" s="1"/>
  <c r="AF43" i="1"/>
  <c r="R50" i="3" s="1"/>
  <c r="T85" i="1"/>
  <c r="V85" i="1"/>
  <c r="X85" i="1"/>
  <c r="Y85" i="1"/>
  <c r="Z85" i="1"/>
  <c r="AB85" i="1"/>
  <c r="AC85" i="1"/>
  <c r="AD85" i="1"/>
  <c r="AE44" i="1"/>
  <c r="AF44" i="1"/>
  <c r="T86" i="1"/>
  <c r="V86" i="1"/>
  <c r="X86" i="1"/>
  <c r="Y86" i="1"/>
  <c r="Z86" i="1"/>
  <c r="AB86" i="1"/>
  <c r="AC86" i="1"/>
  <c r="AD86" i="1"/>
  <c r="AE45" i="1"/>
  <c r="AF45" i="1"/>
  <c r="T87" i="1"/>
  <c r="V87" i="1"/>
  <c r="Q43" i="3" s="1"/>
  <c r="X87" i="1"/>
  <c r="Y87" i="1"/>
  <c r="Z87" i="1"/>
  <c r="AB87" i="1"/>
  <c r="AC87" i="1"/>
  <c r="AD87" i="1"/>
  <c r="AE46" i="1"/>
  <c r="AF46" i="1"/>
  <c r="T88" i="1"/>
  <c r="V88" i="1"/>
  <c r="Q54" i="3" s="1"/>
  <c r="X88" i="1"/>
  <c r="Y88" i="1"/>
  <c r="Z88" i="1"/>
  <c r="AB88" i="1"/>
  <c r="AC88" i="1"/>
  <c r="AD88" i="1"/>
  <c r="AE47" i="1"/>
  <c r="AF47" i="1"/>
  <c r="T89" i="1"/>
  <c r="V89" i="1"/>
  <c r="X89" i="1"/>
  <c r="Y89" i="1"/>
  <c r="AB89" i="1"/>
  <c r="AC89" i="1"/>
  <c r="AD89" i="1"/>
  <c r="AE48" i="1"/>
  <c r="AF48" i="1"/>
  <c r="T90" i="1"/>
  <c r="V90" i="1"/>
  <c r="X90" i="1"/>
  <c r="Y90" i="1"/>
  <c r="Z90" i="1"/>
  <c r="AB90" i="1"/>
  <c r="AC90" i="1"/>
  <c r="AD90" i="1"/>
  <c r="AE49" i="1"/>
  <c r="AF49" i="1"/>
  <c r="T91" i="1"/>
  <c r="V91" i="1"/>
  <c r="X91" i="1"/>
  <c r="Y91" i="1"/>
  <c r="Z91" i="1"/>
  <c r="AB91" i="1"/>
  <c r="AC91" i="1"/>
  <c r="AD91" i="1"/>
  <c r="AE50" i="1"/>
  <c r="AF50" i="1"/>
  <c r="T92" i="1"/>
  <c r="V92" i="1"/>
  <c r="Q55" i="3" s="1"/>
  <c r="X92" i="1"/>
  <c r="Y92" i="1"/>
  <c r="Z92" i="1"/>
  <c r="AB92" i="1"/>
  <c r="AC92" i="1"/>
  <c r="AD92" i="1"/>
  <c r="AE51" i="1"/>
  <c r="AF51" i="1"/>
  <c r="T93" i="1"/>
  <c r="V93" i="1"/>
  <c r="X93" i="1"/>
  <c r="Y93" i="1"/>
  <c r="Z93" i="1"/>
  <c r="AB93" i="1"/>
  <c r="AC93" i="1"/>
  <c r="AD93" i="1"/>
  <c r="AE52" i="1"/>
  <c r="AF52" i="1"/>
  <c r="T94" i="1"/>
  <c r="V94" i="1"/>
  <c r="X94" i="1"/>
  <c r="Y94" i="1"/>
  <c r="Z94" i="1"/>
  <c r="AB94" i="1"/>
  <c r="AC94" i="1"/>
  <c r="AD94" i="1"/>
  <c r="AE53" i="1"/>
  <c r="AF53" i="1"/>
  <c r="T95" i="1"/>
  <c r="V95" i="1"/>
  <c r="X95" i="1"/>
  <c r="Y95" i="1"/>
  <c r="Z95" i="1"/>
  <c r="AB95" i="1"/>
  <c r="AC95" i="1"/>
  <c r="AD95" i="1"/>
  <c r="AE54" i="1"/>
  <c r="AF54" i="1"/>
  <c r="T96" i="1"/>
  <c r="V96" i="1"/>
  <c r="X96" i="1"/>
  <c r="Y96" i="1"/>
  <c r="Z96" i="1"/>
  <c r="AB96" i="1"/>
  <c r="AC96" i="1"/>
  <c r="AD96" i="1"/>
  <c r="AE55" i="1"/>
  <c r="AF55" i="1"/>
  <c r="T97" i="1"/>
  <c r="V97" i="1"/>
  <c r="Q31" i="3" s="1"/>
  <c r="X97" i="1"/>
  <c r="Y97" i="1"/>
  <c r="Z97" i="1"/>
  <c r="AB97" i="1"/>
  <c r="AC97" i="1"/>
  <c r="AD97" i="1"/>
  <c r="AE56" i="1"/>
  <c r="AF56" i="1"/>
  <c r="T98" i="1"/>
  <c r="V98" i="1"/>
  <c r="X98" i="1"/>
  <c r="Y98" i="1"/>
  <c r="Z98" i="1"/>
  <c r="AB98" i="1"/>
  <c r="AC98" i="1"/>
  <c r="AD98" i="1"/>
  <c r="AE57" i="1"/>
  <c r="AF57" i="1"/>
  <c r="T99" i="1"/>
  <c r="V99" i="1"/>
  <c r="X99" i="1"/>
  <c r="Y99" i="1"/>
  <c r="Z99" i="1"/>
  <c r="AB99" i="1"/>
  <c r="AC99" i="1"/>
  <c r="AD99" i="1"/>
  <c r="AE58" i="1"/>
  <c r="AF58" i="1"/>
  <c r="T100" i="1"/>
  <c r="V100" i="1"/>
  <c r="Q56" i="3" s="1"/>
  <c r="X100" i="1"/>
  <c r="Y100" i="1"/>
  <c r="Z100" i="1"/>
  <c r="AB100" i="1"/>
  <c r="AC100" i="1"/>
  <c r="AD100" i="1"/>
  <c r="AE59" i="1"/>
  <c r="AF59" i="1"/>
  <c r="T101" i="1"/>
  <c r="V101" i="1"/>
  <c r="X101" i="1"/>
  <c r="Y101" i="1"/>
  <c r="Z101" i="1"/>
  <c r="AB101" i="1"/>
  <c r="AC101" i="1"/>
  <c r="AD101" i="1"/>
  <c r="AE60" i="1"/>
  <c r="AF60" i="1"/>
  <c r="T102" i="1"/>
  <c r="V102" i="1"/>
  <c r="X102" i="1"/>
  <c r="Y102" i="1"/>
  <c r="Z102" i="1"/>
  <c r="AB102" i="1"/>
  <c r="AC102" i="1"/>
  <c r="AD102" i="1"/>
  <c r="AE61" i="1"/>
  <c r="AF61" i="1"/>
  <c r="T103" i="1"/>
  <c r="V103" i="1"/>
  <c r="Q44" i="3" s="1"/>
  <c r="X103" i="1"/>
  <c r="Y103" i="1"/>
  <c r="Z103" i="1"/>
  <c r="AB103" i="1"/>
  <c r="AC103" i="1"/>
  <c r="AD103" i="1"/>
  <c r="AE62" i="1"/>
  <c r="AF62" i="1"/>
  <c r="T104" i="1"/>
  <c r="V104" i="1"/>
  <c r="X104" i="1"/>
  <c r="Y104" i="1"/>
  <c r="Z104" i="1"/>
  <c r="AB104" i="1"/>
  <c r="AC104" i="1"/>
  <c r="AD104" i="1"/>
  <c r="AE63" i="1"/>
  <c r="AF63" i="1"/>
  <c r="T105" i="1"/>
  <c r="V105" i="1"/>
  <c r="X105" i="1"/>
  <c r="Y105" i="1"/>
  <c r="Z105" i="1"/>
  <c r="AB105" i="1"/>
  <c r="AC105" i="1"/>
  <c r="AD105" i="1"/>
  <c r="AE64" i="1"/>
  <c r="P10" i="3" s="1"/>
  <c r="AF64" i="1"/>
  <c r="R10" i="3" s="1"/>
  <c r="T106" i="1"/>
  <c r="V106" i="1"/>
  <c r="X106" i="1"/>
  <c r="Y106" i="1"/>
  <c r="Z106" i="1"/>
  <c r="AB106" i="1"/>
  <c r="AC106" i="1"/>
  <c r="AD106" i="1"/>
  <c r="AE65" i="1"/>
  <c r="AF65" i="1"/>
  <c r="T107" i="1"/>
  <c r="V107" i="1"/>
  <c r="X107" i="1"/>
  <c r="Y107" i="1"/>
  <c r="Z107" i="1"/>
  <c r="AB107" i="1"/>
  <c r="AC107" i="1"/>
  <c r="AD107" i="1"/>
  <c r="AE66" i="1"/>
  <c r="AF66" i="1"/>
  <c r="T108" i="1"/>
  <c r="V108" i="1"/>
  <c r="X108" i="1"/>
  <c r="Y108" i="1"/>
  <c r="Z108" i="1"/>
  <c r="AB108" i="1"/>
  <c r="AC108" i="1"/>
  <c r="AD108" i="1"/>
  <c r="AE67" i="1"/>
  <c r="AF67" i="1"/>
  <c r="T109" i="1"/>
  <c r="V109" i="1"/>
  <c r="X109" i="1"/>
  <c r="Y109" i="1"/>
  <c r="Z109" i="1"/>
  <c r="AB109" i="1"/>
  <c r="AC109" i="1"/>
  <c r="AD109" i="1"/>
  <c r="AE68" i="1"/>
  <c r="AF68" i="1"/>
  <c r="T110" i="1"/>
  <c r="V110" i="1"/>
  <c r="X110" i="1"/>
  <c r="Y110" i="1"/>
  <c r="Z110" i="1"/>
  <c r="AB110" i="1"/>
  <c r="AC110" i="1"/>
  <c r="AD110" i="1"/>
  <c r="AE70" i="1"/>
  <c r="AF70" i="1"/>
  <c r="T111" i="1"/>
  <c r="V111" i="1"/>
  <c r="X111" i="1"/>
  <c r="Y111" i="1"/>
  <c r="Z111" i="1"/>
  <c r="AB111" i="1"/>
  <c r="AC111" i="1"/>
  <c r="AD111" i="1"/>
  <c r="AE72" i="1"/>
  <c r="AF72" i="1"/>
  <c r="T112" i="1"/>
  <c r="V112" i="1"/>
  <c r="X112" i="1"/>
  <c r="Y112" i="1"/>
  <c r="Z112" i="1"/>
  <c r="AB112" i="1"/>
  <c r="AC112" i="1"/>
  <c r="AD112" i="1"/>
  <c r="AE74" i="1"/>
  <c r="AF74" i="1"/>
  <c r="T113" i="1"/>
  <c r="V113" i="1"/>
  <c r="Q57" i="3" s="1"/>
  <c r="X113" i="1"/>
  <c r="Y113" i="1"/>
  <c r="Z113" i="1"/>
  <c r="AB113" i="1"/>
  <c r="AC113" i="1"/>
  <c r="AD113" i="1"/>
  <c r="AE75" i="1"/>
  <c r="P41" i="3" s="1"/>
  <c r="AF75" i="1"/>
  <c r="T114" i="1"/>
  <c r="V114" i="1"/>
  <c r="X114" i="1"/>
  <c r="Y114" i="1"/>
  <c r="Z114" i="1"/>
  <c r="AB114" i="1"/>
  <c r="AC114" i="1"/>
  <c r="AD114" i="1"/>
  <c r="AE76" i="1"/>
  <c r="AF76" i="1"/>
  <c r="T115" i="1"/>
  <c r="V115" i="1"/>
  <c r="X115" i="1"/>
  <c r="Y115" i="1"/>
  <c r="Z115" i="1"/>
  <c r="AB115" i="1"/>
  <c r="AC115" i="1"/>
  <c r="AD115" i="1"/>
  <c r="AE77" i="1"/>
  <c r="AF77" i="1"/>
  <c r="T116" i="1"/>
  <c r="V116" i="1"/>
  <c r="Q47" i="3" s="1"/>
  <c r="X116" i="1"/>
  <c r="Y116" i="1"/>
  <c r="Z116" i="1"/>
  <c r="AB116" i="1"/>
  <c r="AC116" i="1"/>
  <c r="AD116" i="1"/>
  <c r="AE78" i="1"/>
  <c r="AF78" i="1"/>
  <c r="T117" i="1"/>
  <c r="V117" i="1"/>
  <c r="X117" i="1"/>
  <c r="Y117" i="1"/>
  <c r="Z117" i="1"/>
  <c r="AB117" i="1"/>
  <c r="AC117" i="1"/>
  <c r="AD117" i="1"/>
  <c r="AE79" i="1"/>
  <c r="AF79" i="1"/>
  <c r="T118" i="1"/>
  <c r="V118" i="1"/>
  <c r="X118" i="1"/>
  <c r="Y118" i="1"/>
  <c r="Z118" i="1"/>
  <c r="AB118" i="1"/>
  <c r="AC118" i="1"/>
  <c r="AD118" i="1"/>
  <c r="AE80" i="1"/>
  <c r="AF80" i="1"/>
  <c r="T119" i="1"/>
  <c r="V119" i="1"/>
  <c r="X119" i="1"/>
  <c r="Y119" i="1"/>
  <c r="Z119" i="1"/>
  <c r="AB119" i="1"/>
  <c r="AC119" i="1"/>
  <c r="AD119" i="1"/>
  <c r="AE81" i="1"/>
  <c r="AF81" i="1"/>
  <c r="T120" i="1"/>
  <c r="V120" i="1"/>
  <c r="Q18" i="3" s="1"/>
  <c r="X120" i="1"/>
  <c r="Y120" i="1"/>
  <c r="Z120" i="1"/>
  <c r="AB120" i="1"/>
  <c r="AC120" i="1"/>
  <c r="AD120" i="1"/>
  <c r="AE82" i="1"/>
  <c r="AF82" i="1"/>
  <c r="T121" i="1"/>
  <c r="V121" i="1"/>
  <c r="X121" i="1"/>
  <c r="Y121" i="1"/>
  <c r="Z121" i="1"/>
  <c r="AB121" i="1"/>
  <c r="AC121" i="1"/>
  <c r="AD121" i="1"/>
  <c r="AE83" i="1"/>
  <c r="AF83" i="1"/>
  <c r="T122" i="1"/>
  <c r="V122" i="1"/>
  <c r="Q58" i="3" s="1"/>
  <c r="X122" i="1"/>
  <c r="Y122" i="1"/>
  <c r="Z122" i="1"/>
  <c r="AB122" i="1"/>
  <c r="AC122" i="1"/>
  <c r="AD122" i="1"/>
  <c r="AE84" i="1"/>
  <c r="AF84" i="1"/>
  <c r="T123" i="1"/>
  <c r="V123" i="1"/>
  <c r="X123" i="1"/>
  <c r="Y123" i="1"/>
  <c r="Z123" i="1"/>
  <c r="AB123" i="1"/>
  <c r="AC123" i="1"/>
  <c r="AD123" i="1"/>
  <c r="AE85" i="1"/>
  <c r="AF85" i="1"/>
  <c r="T124" i="1"/>
  <c r="V124" i="1"/>
  <c r="X124" i="1"/>
  <c r="Y124" i="1"/>
  <c r="Z124" i="1"/>
  <c r="AB124" i="1"/>
  <c r="AC124" i="1"/>
  <c r="AD124" i="1"/>
  <c r="AE86" i="1"/>
  <c r="AF86" i="1"/>
  <c r="T125" i="1"/>
  <c r="V125" i="1"/>
  <c r="X125" i="1"/>
  <c r="Y125" i="1"/>
  <c r="Z125" i="1"/>
  <c r="AB125" i="1"/>
  <c r="AC125" i="1"/>
  <c r="AD125" i="1"/>
  <c r="AE87" i="1"/>
  <c r="AF87" i="1"/>
  <c r="T126" i="1"/>
  <c r="V126" i="1"/>
  <c r="X126" i="1"/>
  <c r="Y126" i="1"/>
  <c r="Z126" i="1"/>
  <c r="AB126" i="1"/>
  <c r="AC126" i="1"/>
  <c r="AD126" i="1"/>
  <c r="AE88" i="1"/>
  <c r="AF88" i="1"/>
  <c r="T127" i="1"/>
  <c r="V127" i="1"/>
  <c r="X127" i="1"/>
  <c r="Y127" i="1"/>
  <c r="Z127" i="1"/>
  <c r="AB127" i="1"/>
  <c r="AC127" i="1"/>
  <c r="AD127" i="1"/>
  <c r="AE89" i="1"/>
  <c r="AF89" i="1"/>
  <c r="T128" i="1"/>
  <c r="V128" i="1"/>
  <c r="X128" i="1"/>
  <c r="Y128" i="1"/>
  <c r="Z128" i="1"/>
  <c r="AB128" i="1"/>
  <c r="AC128" i="1"/>
  <c r="AD128" i="1"/>
  <c r="AE90" i="1"/>
  <c r="AF90" i="1"/>
  <c r="T129" i="1"/>
  <c r="V129" i="1"/>
  <c r="X129" i="1"/>
  <c r="Y129" i="1"/>
  <c r="Z129" i="1"/>
  <c r="AB129" i="1"/>
  <c r="AC129" i="1"/>
  <c r="AD129" i="1"/>
  <c r="AE91" i="1"/>
  <c r="AF91" i="1"/>
  <c r="T130" i="1"/>
  <c r="V130" i="1"/>
  <c r="Q59" i="3" s="1"/>
  <c r="X130" i="1"/>
  <c r="Y130" i="1"/>
  <c r="Z130" i="1"/>
  <c r="AB130" i="1"/>
  <c r="AC130" i="1"/>
  <c r="AD130" i="1"/>
  <c r="AE92" i="1"/>
  <c r="AF92" i="1"/>
  <c r="T131" i="1"/>
  <c r="V131" i="1"/>
  <c r="X131" i="1"/>
  <c r="Y131" i="1"/>
  <c r="Z131" i="1"/>
  <c r="AB131" i="1"/>
  <c r="AC131" i="1"/>
  <c r="AD131" i="1"/>
  <c r="AE93" i="1"/>
  <c r="AF93" i="1"/>
  <c r="T132" i="1"/>
  <c r="V132" i="1"/>
  <c r="X132" i="1"/>
  <c r="Y132" i="1"/>
  <c r="Z132" i="1"/>
  <c r="AB132" i="1"/>
  <c r="AC132" i="1"/>
  <c r="AD132" i="1"/>
  <c r="AE94" i="1"/>
  <c r="AF94" i="1"/>
  <c r="T133" i="1"/>
  <c r="V133" i="1"/>
  <c r="Q33" i="3" s="1"/>
  <c r="X133" i="1"/>
  <c r="Y133" i="1"/>
  <c r="Z133" i="1"/>
  <c r="AB133" i="1"/>
  <c r="AC133" i="1"/>
  <c r="AD133" i="1"/>
  <c r="AE95" i="1"/>
  <c r="AF95" i="1"/>
  <c r="T134" i="1"/>
  <c r="V134" i="1"/>
  <c r="X134" i="1"/>
  <c r="Y134" i="1"/>
  <c r="Z134" i="1"/>
  <c r="AB134" i="1"/>
  <c r="AC134" i="1"/>
  <c r="AD134" i="1"/>
  <c r="AE96" i="1"/>
  <c r="AF96" i="1"/>
  <c r="T135" i="1"/>
  <c r="V135" i="1"/>
  <c r="X135" i="1"/>
  <c r="Y135" i="1"/>
  <c r="Z135" i="1"/>
  <c r="AB135" i="1"/>
  <c r="AC135" i="1"/>
  <c r="AD135" i="1"/>
  <c r="AE97" i="1"/>
  <c r="AF97" i="1"/>
  <c r="T136" i="1"/>
  <c r="V136" i="1"/>
  <c r="X136" i="1"/>
  <c r="Y136" i="1"/>
  <c r="Z136" i="1"/>
  <c r="AB136" i="1"/>
  <c r="AC136" i="1"/>
  <c r="AD136" i="1"/>
  <c r="AE98" i="1"/>
  <c r="AF98" i="1"/>
  <c r="T138" i="1"/>
  <c r="V138" i="1"/>
  <c r="Q19" i="3" s="1"/>
  <c r="Y138" i="1"/>
  <c r="Z138" i="1"/>
  <c r="AB138" i="1"/>
  <c r="AC138" i="1"/>
  <c r="AD13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P56" i="3" l="1"/>
  <c r="S59" i="1"/>
  <c r="R44" i="3"/>
  <c r="P55" i="3"/>
  <c r="P43" i="3"/>
  <c r="P44" i="3"/>
  <c r="R42" i="3"/>
  <c r="R31" i="3"/>
  <c r="R54" i="3"/>
  <c r="P42" i="3"/>
  <c r="R22" i="3"/>
  <c r="R41" i="3"/>
  <c r="R56" i="3"/>
  <c r="P31" i="3"/>
  <c r="R55" i="3"/>
  <c r="P54" i="3"/>
  <c r="R43" i="3"/>
  <c r="P22" i="3"/>
  <c r="P59" i="1"/>
  <c r="Q45" i="3"/>
  <c r="Q32" i="3"/>
  <c r="Q7" i="3"/>
  <c r="P17" i="3"/>
  <c r="P8" i="3"/>
  <c r="Q25" i="3"/>
  <c r="Q46" i="3"/>
  <c r="R8" i="3"/>
  <c r="R17" i="3"/>
  <c r="Q8" i="3"/>
  <c r="Q17" i="3"/>
  <c r="AA133" i="1"/>
  <c r="W133" i="1" s="1"/>
  <c r="AA129" i="1"/>
  <c r="W129" i="1" s="1"/>
  <c r="AA134" i="1"/>
  <c r="W134" i="1" s="1"/>
  <c r="AA126" i="1"/>
  <c r="W126" i="1" s="1"/>
  <c r="U123" i="1"/>
  <c r="S123" i="1" s="1"/>
  <c r="U119" i="1"/>
  <c r="S119" i="1" s="1"/>
  <c r="AA118" i="1"/>
  <c r="W118" i="1" s="1"/>
  <c r="U89" i="1"/>
  <c r="S89" i="1" s="1"/>
  <c r="U114" i="1"/>
  <c r="S114" i="1" s="1"/>
  <c r="U109" i="1"/>
  <c r="S109" i="1" s="1"/>
  <c r="U105" i="1"/>
  <c r="S105" i="1" s="1"/>
  <c r="U101" i="1"/>
  <c r="S101" i="1" s="1"/>
  <c r="U97" i="1"/>
  <c r="S97" i="1" s="1"/>
  <c r="U93" i="1"/>
  <c r="S93" i="1" s="1"/>
  <c r="U85" i="1"/>
  <c r="S85" i="1" s="1"/>
  <c r="U81" i="1"/>
  <c r="S81" i="1" s="1"/>
  <c r="U136" i="1"/>
  <c r="S136" i="1" s="1"/>
  <c r="U116" i="1"/>
  <c r="S116" i="1" s="1"/>
  <c r="U130" i="1"/>
  <c r="S130" i="1" s="1"/>
  <c r="U126" i="1"/>
  <c r="S126" i="1" s="1"/>
  <c r="AA110" i="1"/>
  <c r="W110" i="1" s="1"/>
  <c r="AA106" i="1"/>
  <c r="W106" i="1" s="1"/>
  <c r="AA102" i="1"/>
  <c r="W102" i="1" s="1"/>
  <c r="AA98" i="1"/>
  <c r="W98" i="1" s="1"/>
  <c r="AA94" i="1"/>
  <c r="W94" i="1" s="1"/>
  <c r="AA90" i="1"/>
  <c r="W90" i="1" s="1"/>
  <c r="AA86" i="1"/>
  <c r="W86" i="1" s="1"/>
  <c r="AA82" i="1"/>
  <c r="W82" i="1" s="1"/>
  <c r="U135" i="1"/>
  <c r="S135" i="1" s="1"/>
  <c r="U132" i="1"/>
  <c r="S132" i="1" s="1"/>
  <c r="U120" i="1"/>
  <c r="S120" i="1" s="1"/>
  <c r="AA117" i="1"/>
  <c r="W117" i="1" s="1"/>
  <c r="AA113" i="1"/>
  <c r="W113" i="1" s="1"/>
  <c r="AA108" i="1"/>
  <c r="W108" i="1" s="1"/>
  <c r="AA104" i="1"/>
  <c r="W104" i="1" s="1"/>
  <c r="AA100" i="1"/>
  <c r="W100" i="1" s="1"/>
  <c r="AA96" i="1"/>
  <c r="W96" i="1" s="1"/>
  <c r="AA92" i="1"/>
  <c r="W92" i="1" s="1"/>
  <c r="AA88" i="1"/>
  <c r="W88" i="1" s="1"/>
  <c r="AA84" i="1"/>
  <c r="W84" i="1" s="1"/>
  <c r="AA80" i="1"/>
  <c r="W80" i="1" s="1"/>
  <c r="AA122" i="1"/>
  <c r="W122" i="1" s="1"/>
  <c r="U111" i="1"/>
  <c r="S111" i="1" s="1"/>
  <c r="U107" i="1"/>
  <c r="S107" i="1" s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AA130" i="1"/>
  <c r="W130" i="1" s="1"/>
  <c r="U128" i="1"/>
  <c r="S128" i="1" s="1"/>
  <c r="U122" i="1"/>
  <c r="S122" i="1" s="1"/>
  <c r="AA114" i="1"/>
  <c r="W114" i="1" s="1"/>
  <c r="U112" i="1"/>
  <c r="S112" i="1" s="1"/>
  <c r="U108" i="1"/>
  <c r="S108" i="1" s="1"/>
  <c r="U104" i="1"/>
  <c r="S104" i="1" s="1"/>
  <c r="U100" i="1"/>
  <c r="S100" i="1" s="1"/>
  <c r="U96" i="1"/>
  <c r="S96" i="1" s="1"/>
  <c r="U92" i="1"/>
  <c r="S92" i="1" s="1"/>
  <c r="U88" i="1"/>
  <c r="S88" i="1" s="1"/>
  <c r="U84" i="1"/>
  <c r="S84" i="1" s="1"/>
  <c r="U82" i="1"/>
  <c r="S82" i="1" s="1"/>
  <c r="U80" i="1"/>
  <c r="S80" i="1" s="1"/>
  <c r="U131" i="1"/>
  <c r="S131" i="1" s="1"/>
  <c r="AA125" i="1"/>
  <c r="W125" i="1" s="1"/>
  <c r="U115" i="1"/>
  <c r="S115" i="1" s="1"/>
  <c r="U110" i="1"/>
  <c r="S110" i="1" s="1"/>
  <c r="U106" i="1"/>
  <c r="U102" i="1"/>
  <c r="S102" i="1" s="1"/>
  <c r="U98" i="1"/>
  <c r="S98" i="1" s="1"/>
  <c r="U94" i="1"/>
  <c r="S94" i="1" s="1"/>
  <c r="U90" i="1"/>
  <c r="S90" i="1" s="1"/>
  <c r="U86" i="1"/>
  <c r="S86" i="1" s="1"/>
  <c r="AA138" i="1"/>
  <c r="W138" i="1" s="1"/>
  <c r="U134" i="1"/>
  <c r="S134" i="1" s="1"/>
  <c r="U127" i="1"/>
  <c r="S127" i="1" s="1"/>
  <c r="U124" i="1"/>
  <c r="S124" i="1" s="1"/>
  <c r="AA121" i="1"/>
  <c r="W121" i="1" s="1"/>
  <c r="U118" i="1"/>
  <c r="S118" i="1" s="1"/>
  <c r="AA111" i="1"/>
  <c r="W111" i="1" s="1"/>
  <c r="AA109" i="1"/>
  <c r="W109" i="1" s="1"/>
  <c r="AA107" i="1"/>
  <c r="W107" i="1" s="1"/>
  <c r="AA105" i="1"/>
  <c r="W105" i="1" s="1"/>
  <c r="AA103" i="1"/>
  <c r="W103" i="1" s="1"/>
  <c r="AA101" i="1"/>
  <c r="W101" i="1" s="1"/>
  <c r="AA99" i="1"/>
  <c r="W99" i="1" s="1"/>
  <c r="AA97" i="1"/>
  <c r="W97" i="1" s="1"/>
  <c r="AA95" i="1"/>
  <c r="W95" i="1" s="1"/>
  <c r="AA93" i="1"/>
  <c r="W93" i="1" s="1"/>
  <c r="AA91" i="1"/>
  <c r="W91" i="1" s="1"/>
  <c r="AA89" i="1"/>
  <c r="W89" i="1" s="1"/>
  <c r="AA87" i="1"/>
  <c r="W87" i="1" s="1"/>
  <c r="AA85" i="1"/>
  <c r="W85" i="1" s="1"/>
  <c r="AA83" i="1"/>
  <c r="W83" i="1" s="1"/>
  <c r="AA81" i="1"/>
  <c r="W81" i="1" s="1"/>
  <c r="AA79" i="1"/>
  <c r="W79" i="1" s="1"/>
  <c r="AA132" i="1"/>
  <c r="W132" i="1" s="1"/>
  <c r="AA124" i="1"/>
  <c r="W124" i="1" s="1"/>
  <c r="AA116" i="1"/>
  <c r="W116" i="1" s="1"/>
  <c r="AA136" i="1"/>
  <c r="W136" i="1" s="1"/>
  <c r="AA128" i="1"/>
  <c r="W128" i="1" s="1"/>
  <c r="AA120" i="1"/>
  <c r="W120" i="1" s="1"/>
  <c r="AA112" i="1"/>
  <c r="W112" i="1" s="1"/>
  <c r="U138" i="1"/>
  <c r="S138" i="1" s="1"/>
  <c r="AA135" i="1"/>
  <c r="W135" i="1" s="1"/>
  <c r="U133" i="1"/>
  <c r="S133" i="1" s="1"/>
  <c r="AA131" i="1"/>
  <c r="W131" i="1" s="1"/>
  <c r="U129" i="1"/>
  <c r="S129" i="1" s="1"/>
  <c r="AA127" i="1"/>
  <c r="W127" i="1" s="1"/>
  <c r="U125" i="1"/>
  <c r="S125" i="1" s="1"/>
  <c r="AA123" i="1"/>
  <c r="W123" i="1" s="1"/>
  <c r="U121" i="1"/>
  <c r="S121" i="1" s="1"/>
  <c r="AA119" i="1"/>
  <c r="W119" i="1" s="1"/>
  <c r="U117" i="1"/>
  <c r="S117" i="1" s="1"/>
  <c r="AA115" i="1"/>
  <c r="W115" i="1" s="1"/>
  <c r="U113" i="1"/>
  <c r="S113" i="1" s="1"/>
  <c r="R27" i="3"/>
  <c r="R53" i="3"/>
  <c r="R13" i="3"/>
  <c r="R51" i="3"/>
  <c r="R34" i="3"/>
  <c r="R16" i="3"/>
  <c r="R24" i="3"/>
  <c r="R40" i="3"/>
  <c r="R21" i="3"/>
  <c r="R14" i="3"/>
  <c r="R37" i="3"/>
  <c r="AF105" i="1"/>
  <c r="R7" i="3" s="1"/>
  <c r="AF106" i="1"/>
  <c r="AF107" i="1"/>
  <c r="R12" i="3" s="1"/>
  <c r="AF108" i="1"/>
  <c r="AF109" i="1"/>
  <c r="AF110" i="1"/>
  <c r="R25" i="3" s="1"/>
  <c r="AF111" i="1"/>
  <c r="AF112" i="1"/>
  <c r="AF113" i="1"/>
  <c r="R57" i="3" s="1"/>
  <c r="AF114" i="1"/>
  <c r="AF115" i="1"/>
  <c r="AF116" i="1"/>
  <c r="R47" i="3" s="1"/>
  <c r="AF117" i="1"/>
  <c r="AF118" i="1"/>
  <c r="AF119" i="1"/>
  <c r="AF120" i="1"/>
  <c r="R18" i="3" s="1"/>
  <c r="AF121" i="1"/>
  <c r="AF122" i="1"/>
  <c r="R58" i="3" s="1"/>
  <c r="AF123" i="1"/>
  <c r="AF124" i="1"/>
  <c r="AF125" i="1"/>
  <c r="AF126" i="1"/>
  <c r="AF127" i="1"/>
  <c r="AF128" i="1"/>
  <c r="AF129" i="1"/>
  <c r="AF130" i="1"/>
  <c r="R59" i="3" s="1"/>
  <c r="AF131" i="1"/>
  <c r="R30" i="3" s="1"/>
  <c r="AF132" i="1"/>
  <c r="AF133" i="1"/>
  <c r="R33" i="3" s="1"/>
  <c r="AF134" i="1"/>
  <c r="AF135" i="1"/>
  <c r="AF136" i="1"/>
  <c r="AF138" i="1"/>
  <c r="R19" i="3" s="1"/>
  <c r="AF160" i="1"/>
  <c r="R69" i="3" s="1"/>
  <c r="AF161" i="1"/>
  <c r="R64" i="3" s="1"/>
  <c r="AF162" i="1"/>
  <c r="AF163" i="1"/>
  <c r="AF164" i="1"/>
  <c r="AF165" i="1"/>
  <c r="AF166" i="1"/>
  <c r="AF167" i="1"/>
  <c r="AF168" i="1"/>
  <c r="AF169" i="1"/>
  <c r="AF170" i="1"/>
  <c r="R65" i="3" s="1"/>
  <c r="AF171" i="1"/>
  <c r="AF172" i="1"/>
  <c r="R38" i="3" s="1"/>
  <c r="AF173" i="1"/>
  <c r="AF174" i="1"/>
  <c r="AF175" i="1"/>
  <c r="R52" i="3" s="1"/>
  <c r="AF176" i="1"/>
  <c r="R68" i="3" s="1"/>
  <c r="AF177" i="1"/>
  <c r="Q64" i="3"/>
  <c r="Q27" i="3"/>
  <c r="Q53" i="3"/>
  <c r="Q13" i="3"/>
  <c r="Q51" i="3"/>
  <c r="Q65" i="3"/>
  <c r="Q34" i="3"/>
  <c r="Q16" i="3"/>
  <c r="Q24" i="3"/>
  <c r="Q40" i="3"/>
  <c r="Q21" i="3"/>
  <c r="Q14" i="3"/>
  <c r="P27" i="3"/>
  <c r="P53" i="3"/>
  <c r="P13" i="3"/>
  <c r="P51" i="3"/>
  <c r="P34" i="3"/>
  <c r="P16" i="3"/>
  <c r="P24" i="3"/>
  <c r="P40" i="3"/>
  <c r="P21" i="3"/>
  <c r="P14" i="3"/>
  <c r="P37" i="3"/>
  <c r="AE105" i="1"/>
  <c r="P45" i="3" s="1"/>
  <c r="AE106" i="1"/>
  <c r="AE107" i="1"/>
  <c r="P12" i="3" s="1"/>
  <c r="AE108" i="1"/>
  <c r="AE109" i="1"/>
  <c r="AE110" i="1"/>
  <c r="P25" i="3" s="1"/>
  <c r="AE111" i="1"/>
  <c r="AE112" i="1"/>
  <c r="AE113" i="1"/>
  <c r="P57" i="3" s="1"/>
  <c r="AE114" i="1"/>
  <c r="AE115" i="1"/>
  <c r="AE116" i="1"/>
  <c r="P47" i="3" s="1"/>
  <c r="AE117" i="1"/>
  <c r="AE118" i="1"/>
  <c r="AE119" i="1"/>
  <c r="AE120" i="1"/>
  <c r="P18" i="3" s="1"/>
  <c r="AE121" i="1"/>
  <c r="AE122" i="1"/>
  <c r="P58" i="3" s="1"/>
  <c r="AE123" i="1"/>
  <c r="AE124" i="1"/>
  <c r="AE125" i="1"/>
  <c r="AE126" i="1"/>
  <c r="AE127" i="1"/>
  <c r="AE128" i="1"/>
  <c r="AE129" i="1"/>
  <c r="AE130" i="1"/>
  <c r="AE131" i="1"/>
  <c r="AE132" i="1"/>
  <c r="AE133" i="1"/>
  <c r="P33" i="3" s="1"/>
  <c r="AE134" i="1"/>
  <c r="AE135" i="1"/>
  <c r="AE136" i="1"/>
  <c r="AE138" i="1"/>
  <c r="P19" i="3" s="1"/>
  <c r="AE160" i="1"/>
  <c r="P69" i="3" s="1"/>
  <c r="AE161" i="1"/>
  <c r="P64" i="3" s="1"/>
  <c r="AE162" i="1"/>
  <c r="AE163" i="1"/>
  <c r="AE164" i="1"/>
  <c r="AE165" i="1"/>
  <c r="AE166" i="1"/>
  <c r="AE167" i="1"/>
  <c r="AE168" i="1"/>
  <c r="AE169" i="1"/>
  <c r="AE170" i="1"/>
  <c r="P65" i="3" s="1"/>
  <c r="AE171" i="1"/>
  <c r="AE172" i="1"/>
  <c r="AE173" i="1"/>
  <c r="AE174" i="1"/>
  <c r="AE175" i="1"/>
  <c r="P52" i="3" s="1"/>
  <c r="AE176" i="1"/>
  <c r="P68" i="3" s="1"/>
  <c r="AE177" i="1"/>
  <c r="R46" i="3" l="1"/>
  <c r="P39" i="3"/>
  <c r="P59" i="3"/>
  <c r="P7" i="3"/>
  <c r="R32" i="3"/>
  <c r="P46" i="3"/>
  <c r="P32" i="3"/>
  <c r="R45" i="3"/>
  <c r="P70" i="3"/>
  <c r="R29" i="3"/>
  <c r="R26" i="3"/>
  <c r="P38" i="3"/>
  <c r="P15" i="3"/>
  <c r="P67" i="3"/>
  <c r="P26" i="3"/>
  <c r="R70" i="3"/>
  <c r="R39" i="3"/>
  <c r="P35" i="3"/>
  <c r="P30" i="3"/>
  <c r="P66" i="3"/>
  <c r="P23" i="3"/>
  <c r="R15" i="3"/>
  <c r="R67" i="3"/>
  <c r="P29" i="3"/>
  <c r="R35" i="3"/>
  <c r="R66" i="3"/>
  <c r="R23" i="3"/>
  <c r="M19" i="5"/>
  <c r="M18" i="5"/>
  <c r="T37" i="3"/>
  <c r="T23" i="3"/>
  <c r="T26" i="3"/>
  <c r="T12" i="3"/>
  <c r="T64" i="3"/>
  <c r="T66" i="3"/>
  <c r="T52" i="3"/>
  <c r="T27" i="3"/>
  <c r="T53" i="3"/>
  <c r="T13" i="3"/>
  <c r="T51" i="3"/>
  <c r="T65" i="3"/>
  <c r="T39" i="3"/>
  <c r="T29" i="3"/>
  <c r="T67" i="3"/>
  <c r="T70" i="3"/>
  <c r="T30" i="3"/>
  <c r="T34" i="3"/>
  <c r="T16" i="3"/>
  <c r="T24" i="3"/>
  <c r="T40" i="3"/>
  <c r="T15" i="3"/>
  <c r="T21" i="3"/>
  <c r="T35" i="3"/>
  <c r="T14" i="3"/>
  <c r="T38" i="3"/>
  <c r="Q52" i="3" l="1"/>
  <c r="S51" i="3"/>
  <c r="S39" i="3"/>
  <c r="S26" i="3"/>
  <c r="S67" i="3"/>
  <c r="Q38" i="3" l="1"/>
  <c r="Q35" i="3"/>
  <c r="Q15" i="3"/>
  <c r="Q12" i="3"/>
  <c r="S52" i="3" l="1"/>
  <c r="S65" i="3"/>
  <c r="S35" i="3"/>
  <c r="S15" i="3"/>
  <c r="S21" i="3"/>
  <c r="S27" i="3"/>
  <c r="S30" i="3"/>
  <c r="S16" i="3"/>
  <c r="S64" i="3"/>
  <c r="S53" i="3"/>
  <c r="S13" i="3"/>
  <c r="S70" i="3"/>
  <c r="Q66" i="3" l="1"/>
  <c r="Q70" i="3"/>
  <c r="Q30" i="3"/>
  <c r="Q67" i="3"/>
  <c r="Q39" i="3"/>
  <c r="S34" i="3"/>
  <c r="AD14" i="1" l="1"/>
  <c r="AD13" i="1"/>
  <c r="S24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38" i="3" l="1"/>
  <c r="S40" i="3"/>
  <c r="S66" i="3"/>
  <c r="S23" i="3"/>
  <c r="S14" i="3"/>
  <c r="S29" i="3"/>
  <c r="S37" i="3"/>
  <c r="S12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Q29" i="3" s="1"/>
  <c r="X14" i="1"/>
  <c r="Y14" i="1"/>
  <c r="Q37" i="3" l="1"/>
  <c r="Q23" i="3"/>
  <c r="U14" i="1"/>
  <c r="S14" i="1" s="1"/>
  <c r="AA14" i="1"/>
  <c r="W14" i="1" s="1"/>
  <c r="L13" i="1"/>
  <c r="M13" i="1"/>
  <c r="P13" i="1" s="1"/>
  <c r="L14" i="1"/>
  <c r="M14" i="1"/>
  <c r="P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Q26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<sst xmlns="http://schemas.openxmlformats.org/spreadsheetml/2006/main" count="2192" uniqueCount="654">
  <si>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</si>
  <si>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</si>
  <si>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</si>
  <si>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</si>
  <si>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</si>
  <si>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</si>
  <si>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</si>
  <si>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</si>
  <si>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</si>
  <si>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</si>
  <si>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</si>
  <si>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</si>
  <si>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</si>
  <si>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</si>
  <si>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</si>
  <si>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</si>
  <si>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</si>
  <si>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</si>
  <si>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</si>
  <si>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</si>
  <si>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</si>
  <si>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</si>
  <si>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</si>
  <si>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</si>
  <si>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</si>
  <si>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</si>
  <si>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</si>
  <si>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</si>
  <si>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</si>
  <si>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</si>
  <si>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</si>
  <si>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</si>
  <si>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</si>
  <si>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</si>
  <si>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</si>
  <si>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</si>
  <si>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</si>
  <si>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</si>
  <si>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</si>
  <si>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</si>
  <si>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</si>
  <si>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</si>
  <si>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</si>
  <si>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</si>
  <si>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</si>
  <si>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</si>
  <si>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</si>
  <si>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</si>
  <si>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</si>
  <si>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</si>
  <si>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</si>
  <si>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</si>
  <si>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</si>
  <si>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</si>
  <si>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</si>
  <si>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</si>
  <si>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</si>
  <si>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</si>
  <si>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</si>
  <si>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</si>
  <si>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</si>
  <si>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</si>
  <si>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</si>
  <si>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</si>
  <si>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</si>
  <si>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</si>
  <si>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</si>
  <si>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</si>
  <si>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</si>
  <si>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</si>
  <si>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</si>
  <si>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</si>
  <si>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</si>
  <si>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</si>
  <si>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</si>
  <si>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</si>
  <si>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</si>
  <si>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</si>
  <si>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</si>
  <si>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</si>
  <si>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</si>
  <si>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</si>
  <si>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</si>
  <si>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</si>
  <si>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</si>
  <si>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</si>
  <si>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</si>
  <si>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</si>
  <si>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</si>
  <si>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</si>
  <si>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</si>
  <si>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</si>
  <si>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</si>
  <si>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</si>
  <si>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</si>
  <si>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</si>
  <si>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</si>
  <si>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</si>
  <si>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</si>
  <si>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</si>
  <si>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</si>
  <si>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</si>
  <si>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</si>
  <si>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</si>
  <si>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</si>
  <si>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</si>
  <si>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</si>
  <si>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</si>
  <si>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</si>
  <si>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</si>
  <si>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</si>
  <si>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</si>
  <si>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</si>
  <si>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</si>
  <si>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</si>
  <si>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</si>
  <si>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</si>
  <si>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</si>
  <si>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</si>
  <si>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</si>
  <si>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</si>
  <si>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</si>
  <si>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</si>
  <si>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</si>
  <si>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</si>
  <si>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</si>
  <si>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</si>
  <si>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</si>
  <si>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</si>
  <si>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</si>
  <si>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</si>
  <si>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</si>
  <si>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</si>
  <si>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</si>
  <si>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</si>
  <si>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</si>
  <si>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</si>
  <si>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</si>
  <si>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</si>
  <si>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</si>
  <si>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</si>
  <si>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</si>
  <si>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300:58611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</si>
  <si>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</si>
  <si>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</si>
  <si>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</si>
  <si>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</si>
  <si>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</si>
  <si>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</si>
  <si>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</si>
  <si>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</si>
  <si>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</si>
  <si>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</si>
  <si>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204:233286</t>
  </si>
  <si>
    <t>204:141</t>
  </si>
  <si>
    <t>Trip Number Sortable</t>
  </si>
  <si>
    <t>204:233302</t>
  </si>
  <si>
    <t>204:449</t>
  </si>
  <si>
    <t>204:161</t>
  </si>
  <si>
    <t>204:435</t>
  </si>
  <si>
    <t>204:233300</t>
  </si>
  <si>
    <t>1826-03</t>
  </si>
  <si>
    <t>1830-03</t>
  </si>
  <si>
    <t>1832-03</t>
  </si>
  <si>
    <t>190-03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</si>
  <si>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</si>
  <si>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</si>
  <si>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</si>
  <si>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</si>
  <si>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</si>
  <si>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</si>
  <si>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</si>
  <si>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</si>
  <si>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</si>
  <si>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</si>
  <si>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</si>
  <si>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</si>
  <si>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</si>
  <si>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</si>
  <si>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</si>
  <si>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</si>
  <si>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</si>
  <si>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</si>
  <si>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</si>
  <si>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</si>
  <si>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</si>
  <si>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</si>
  <si>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</si>
  <si>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</si>
  <si>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</si>
  <si>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</si>
  <si>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</si>
  <si>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</si>
  <si>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300:58924</t>
  </si>
  <si>
    <t>STORY</t>
  </si>
  <si>
    <t>KILLION</t>
  </si>
  <si>
    <t>STAMBAUGH</t>
  </si>
  <si>
    <t>STARKS</t>
  </si>
  <si>
    <t>238-05</t>
  </si>
  <si>
    <t>244-05</t>
  </si>
  <si>
    <t>204:232988</t>
  </si>
  <si>
    <t>204:233315</t>
  </si>
  <si>
    <t>204:482</t>
  </si>
  <si>
    <t>204:438</t>
  </si>
  <si>
    <t>204:233305</t>
  </si>
  <si>
    <t>204:232971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</si>
  <si>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</si>
  <si>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</si>
  <si>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</si>
  <si>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</si>
  <si>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</si>
  <si>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</si>
  <si>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</si>
  <si>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</si>
  <si>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</si>
  <si>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</si>
  <si>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</si>
  <si>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</si>
  <si>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</si>
  <si>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</si>
  <si>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</si>
  <si>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</si>
  <si>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</si>
  <si>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</si>
  <si>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</si>
  <si>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</si>
  <si>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</si>
  <si>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</si>
  <si>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</si>
  <si>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</si>
  <si>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</si>
  <si>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</si>
  <si>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</si>
  <si>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</si>
  <si>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</si>
  <si>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</si>
  <si>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</si>
  <si>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</si>
  <si>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204:232981</t>
  </si>
  <si>
    <t>204:232979</t>
  </si>
  <si>
    <t>204:232960</t>
  </si>
  <si>
    <t>204:232996</t>
  </si>
  <si>
    <t>204:163</t>
  </si>
  <si>
    <t>204:467</t>
  </si>
  <si>
    <t>204:480</t>
  </si>
  <si>
    <t>204:134</t>
  </si>
  <si>
    <t>204:233298</t>
  </si>
  <si>
    <t>204:442</t>
  </si>
  <si>
    <t>204:160</t>
  </si>
  <si>
    <t>204:232961</t>
  </si>
  <si>
    <t>300:58929</t>
  </si>
  <si>
    <t>204:911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</si>
  <si>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</si>
  <si>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</si>
  <si>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</si>
  <si>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</si>
  <si>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</si>
  <si>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</si>
  <si>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</si>
  <si>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</si>
  <si>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</si>
  <si>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</si>
  <si>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</si>
  <si>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</si>
  <si>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</si>
  <si>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</si>
  <si>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</si>
  <si>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204:686</t>
  </si>
  <si>
    <t>204:233303</t>
  </si>
  <si>
    <t>204:233291</t>
  </si>
  <si>
    <t>204:167</t>
  </si>
  <si>
    <t>204:232966</t>
  </si>
  <si>
    <t>204:232957</t>
  </si>
  <si>
    <t>124-07</t>
  </si>
  <si>
    <t>129-07</t>
  </si>
  <si>
    <t>204:447</t>
  </si>
  <si>
    <t>140-07</t>
  </si>
  <si>
    <t>144-07</t>
  </si>
  <si>
    <t>145-07</t>
  </si>
  <si>
    <t>147-07</t>
  </si>
  <si>
    <t>151-07</t>
  </si>
  <si>
    <t>155-07</t>
  </si>
  <si>
    <t>204:477</t>
  </si>
  <si>
    <t>158-07</t>
  </si>
  <si>
    <t>160-07</t>
  </si>
  <si>
    <t>169-07</t>
  </si>
  <si>
    <t>170-07</t>
  </si>
  <si>
    <t>173-07</t>
  </si>
  <si>
    <t>174-07</t>
  </si>
  <si>
    <t>204:233321</t>
  </si>
  <si>
    <t>178-07</t>
  </si>
  <si>
    <t>181-07</t>
  </si>
  <si>
    <t>185-07</t>
  </si>
  <si>
    <t>204:488</t>
  </si>
  <si>
    <t>204:453</t>
  </si>
  <si>
    <t>188-07</t>
  </si>
  <si>
    <t>204:232985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</si>
  <si>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</si>
  <si>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</si>
  <si>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</si>
  <si>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</si>
  <si>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</si>
  <si>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</si>
  <si>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</si>
  <si>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</si>
  <si>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</si>
  <si>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</si>
  <si>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</si>
  <si>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</si>
  <si>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</si>
  <si>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242-07</t>
  </si>
  <si>
    <t>244-07</t>
  </si>
  <si>
    <t>300:58626</t>
  </si>
  <si>
    <t>300:58931</t>
  </si>
  <si>
    <t>807-07</t>
  </si>
  <si>
    <t>808-07</t>
  </si>
  <si>
    <t>300:58602</t>
  </si>
  <si>
    <t>810-07</t>
  </si>
  <si>
    <t>811-07</t>
  </si>
  <si>
    <t>204:906</t>
  </si>
  <si>
    <t>204:1203</t>
  </si>
  <si>
    <t>816-07</t>
  </si>
  <si>
    <t>818-07</t>
  </si>
  <si>
    <t>819-07</t>
  </si>
  <si>
    <t>823-07</t>
  </si>
  <si>
    <t>300:58918</t>
  </si>
  <si>
    <t>826-07</t>
  </si>
  <si>
    <t>827-07</t>
  </si>
  <si>
    <t>828-07</t>
  </si>
  <si>
    <t>300:58619</t>
  </si>
  <si>
    <t>908-07</t>
  </si>
  <si>
    <t>GRADE CROSSING</t>
  </si>
  <si>
    <t>Bulletin (2)</t>
  </si>
  <si>
    <t>904-07</t>
  </si>
  <si>
    <t>109-08</t>
  </si>
  <si>
    <t>802-08</t>
  </si>
  <si>
    <t>101-08</t>
  </si>
  <si>
    <t>112-08</t>
  </si>
  <si>
    <t>105-08</t>
  </si>
  <si>
    <t>901-08</t>
  </si>
  <si>
    <t>107-08</t>
  </si>
  <si>
    <t>800-08</t>
  </si>
  <si>
    <t>801-08</t>
  </si>
  <si>
    <t>125-08</t>
  </si>
  <si>
    <t>111-08</t>
  </si>
  <si>
    <t>104-08</t>
  </si>
  <si>
    <t>110-08</t>
  </si>
  <si>
    <t>117-08</t>
  </si>
  <si>
    <t>rtdc.l.rtdc.4015:itc</t>
  </si>
  <si>
    <t>116-08</t>
  </si>
  <si>
    <t>106-08</t>
  </si>
  <si>
    <t>103-08</t>
  </si>
  <si>
    <t>113-08</t>
  </si>
  <si>
    <t>803-08</t>
  </si>
  <si>
    <t>108-08</t>
  </si>
  <si>
    <t>102-08</t>
  </si>
  <si>
    <t>119-08</t>
  </si>
  <si>
    <t>804-08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</si>
  <si>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</si>
  <si>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</si>
  <si>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</si>
  <si>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</si>
  <si>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</si>
  <si>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</si>
  <si>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</si>
  <si>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</si>
  <si>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122-08</t>
  </si>
  <si>
    <t>809-08</t>
  </si>
  <si>
    <t>131-08</t>
  </si>
  <si>
    <t>810-08</t>
  </si>
  <si>
    <t>137-08</t>
  </si>
  <si>
    <t>130-08</t>
  </si>
  <si>
    <t>812-08</t>
  </si>
  <si>
    <t>149-08</t>
  </si>
  <si>
    <t>138-08</t>
  </si>
  <si>
    <t>140-08</t>
  </si>
  <si>
    <t>146-08</t>
  </si>
  <si>
    <t>151-08</t>
  </si>
  <si>
    <t>150-08</t>
  </si>
  <si>
    <t>152-08</t>
  </si>
  <si>
    <t>157-08</t>
  </si>
  <si>
    <t>159-08</t>
  </si>
  <si>
    <t>154-08</t>
  </si>
  <si>
    <t>EC or NWGL</t>
  </si>
  <si>
    <t>155-08</t>
  </si>
  <si>
    <t>816-08</t>
  </si>
  <si>
    <t>811-08</t>
  </si>
  <si>
    <t>158-08</t>
  </si>
  <si>
    <t>160-08</t>
  </si>
  <si>
    <t>124-08</t>
  </si>
  <si>
    <t>153-08</t>
  </si>
  <si>
    <t>YANAI</t>
  </si>
  <si>
    <t>165-08</t>
  </si>
  <si>
    <t>128-08</t>
  </si>
  <si>
    <t>806-08</t>
  </si>
  <si>
    <t>144-08</t>
  </si>
  <si>
    <t>142-08</t>
  </si>
  <si>
    <t>132-08</t>
  </si>
  <si>
    <t>813-08</t>
  </si>
  <si>
    <t>135-08</t>
  </si>
  <si>
    <t>161-08</t>
  </si>
  <si>
    <t>156-08</t>
  </si>
  <si>
    <t>815-08</t>
  </si>
  <si>
    <t>136-08</t>
  </si>
  <si>
    <t>903-08</t>
  </si>
  <si>
    <t>139-08</t>
  </si>
  <si>
    <t>147-08</t>
  </si>
  <si>
    <t>148-08</t>
  </si>
  <si>
    <t>143-08</t>
  </si>
  <si>
    <t>129-08</t>
  </si>
  <si>
    <t>133-08</t>
  </si>
  <si>
    <t>163-08</t>
  </si>
  <si>
    <t>134-08</t>
  </si>
  <si>
    <t>808-08</t>
  </si>
  <si>
    <t>807-08</t>
  </si>
  <si>
    <t>127-08</t>
  </si>
  <si>
    <t>126-08</t>
  </si>
  <si>
    <t>141-08</t>
  </si>
  <si>
    <t>145-08</t>
  </si>
  <si>
    <t>204:664</t>
  </si>
  <si>
    <t>204:131912</t>
  </si>
  <si>
    <t>204:232706</t>
  </si>
  <si>
    <t>204:64072</t>
  </si>
  <si>
    <t>204:803</t>
  </si>
  <si>
    <t>204:233268</t>
  </si>
  <si>
    <t>204:232623</t>
  </si>
  <si>
    <t>204:763</t>
  </si>
  <si>
    <t>204:232646</t>
  </si>
  <si>
    <t>204:233306</t>
  </si>
  <si>
    <t>204:232983</t>
  </si>
  <si>
    <t>204:226436</t>
  </si>
  <si>
    <t>204:232965</t>
  </si>
  <si>
    <t>204:233331</t>
  </si>
  <si>
    <t>204:233015</t>
  </si>
  <si>
    <t>204:165</t>
  </si>
  <si>
    <t>204:233284</t>
  </si>
  <si>
    <t>204:232959</t>
  </si>
  <si>
    <t>204:1154</t>
  </si>
  <si>
    <t>204:174</t>
  </si>
  <si>
    <t>204:232984</t>
  </si>
  <si>
    <t>204:772</t>
  </si>
  <si>
    <t>204:233299</t>
  </si>
  <si>
    <t>204:233327</t>
  </si>
  <si>
    <t>204:475</t>
  </si>
  <si>
    <t>204:232967</t>
  </si>
  <si>
    <t>204:233276</t>
  </si>
  <si>
    <t>204:233301</t>
  </si>
  <si>
    <t>204:116</t>
  </si>
  <si>
    <t>204:455</t>
  </si>
  <si>
    <t>204:233004</t>
  </si>
  <si>
    <t>204:427</t>
  </si>
  <si>
    <t>204:469</t>
  </si>
  <si>
    <t>204:153999</t>
  </si>
  <si>
    <t>204:42925</t>
  </si>
  <si>
    <t>204:225626</t>
  </si>
  <si>
    <t>204:36810</t>
  </si>
  <si>
    <t>204:233293</t>
  </si>
  <si>
    <t>204:232963</t>
  </si>
  <si>
    <t>204:231247</t>
  </si>
  <si>
    <t>204:233285</t>
  </si>
  <si>
    <t>300:58677</t>
  </si>
  <si>
    <t>204:720</t>
  </si>
  <si>
    <t>204:1021</t>
  </si>
  <si>
    <t>204:790</t>
  </si>
  <si>
    <t>204:716</t>
  </si>
  <si>
    <t>204:1086</t>
  </si>
  <si>
    <t>204:776</t>
  </si>
  <si>
    <t>204:1196</t>
  </si>
  <si>
    <t>300:58598</t>
  </si>
  <si>
    <t>204:883</t>
  </si>
  <si>
    <t>204:1074</t>
  </si>
  <si>
    <t>300:58944</t>
  </si>
  <si>
    <t>204:846</t>
  </si>
  <si>
    <t>204:1188</t>
  </si>
  <si>
    <t>300:58920</t>
  </si>
  <si>
    <t>204:1706</t>
  </si>
  <si>
    <t>204:1210</t>
  </si>
  <si>
    <t>300:58596</t>
  </si>
  <si>
    <t>300:26621</t>
  </si>
  <si>
    <t>300:32529</t>
  </si>
  <si>
    <t>300:41817</t>
  </si>
  <si>
    <t>204:1139</t>
  </si>
  <si>
    <t>300:24231</t>
  </si>
  <si>
    <t>EC/NWGL</t>
  </si>
  <si>
    <t>Comm failure induced by onboard comparator issue</t>
  </si>
  <si>
    <t>Pena 4S was not cleared, switch not aligned</t>
  </si>
  <si>
    <t>Inefficient dispatching @ Chambers 2N (signal went to CLEAR 2 min after enforcement)</t>
  </si>
  <si>
    <t>Wi-MAX outage, http://stevetu21.github.io/eaglep3/load_kml.html?kml=http://rtdc.gmaps-snips.s3.amazonaws.com/39b44aa3-d1a2-4110-b249-888e6a1e0fb5.kml</t>
  </si>
  <si>
    <t>169-08</t>
  </si>
  <si>
    <t>166-08</t>
  </si>
  <si>
    <t>173-08</t>
  </si>
  <si>
    <t>177-08</t>
  </si>
  <si>
    <t>172-08</t>
  </si>
  <si>
    <t>182-08</t>
  </si>
  <si>
    <t>185-08</t>
  </si>
  <si>
    <t>190-08</t>
  </si>
  <si>
    <t>188-08</t>
  </si>
  <si>
    <t>197-08</t>
  </si>
  <si>
    <t>194-08</t>
  </si>
  <si>
    <t>204-08</t>
  </si>
  <si>
    <t>189-08</t>
  </si>
  <si>
    <t>175-08</t>
  </si>
  <si>
    <t>180-08</t>
  </si>
  <si>
    <t>187-08</t>
  </si>
  <si>
    <t>193-08</t>
  </si>
  <si>
    <t>201-08</t>
  </si>
  <si>
    <t>184-08</t>
  </si>
  <si>
    <t>208-08</t>
  </si>
  <si>
    <t>200-08</t>
  </si>
  <si>
    <t>181-08</t>
  </si>
  <si>
    <t>205-08</t>
  </si>
  <si>
    <t>198-08</t>
  </si>
  <si>
    <t>191-08</t>
  </si>
  <si>
    <t>209-08</t>
  </si>
  <si>
    <t>178-08</t>
  </si>
  <si>
    <t>213-08</t>
  </si>
  <si>
    <t>LEVERE</t>
  </si>
  <si>
    <t>176-08</t>
  </si>
  <si>
    <t>174-08</t>
  </si>
  <si>
    <t>167-08</t>
  </si>
  <si>
    <t>183-08</t>
  </si>
  <si>
    <t>162-08</t>
  </si>
  <si>
    <t>199-08</t>
  </si>
  <si>
    <t>171-08</t>
  </si>
  <si>
    <t>168-08</t>
  </si>
  <si>
    <t>207-08</t>
  </si>
  <si>
    <t>211-08</t>
  </si>
  <si>
    <t>192-08</t>
  </si>
  <si>
    <t>186-08</t>
  </si>
  <si>
    <t>202-08</t>
  </si>
  <si>
    <t>195-08</t>
  </si>
  <si>
    <t>164-08</t>
  </si>
  <si>
    <t>179-08</t>
  </si>
  <si>
    <t>170-08</t>
  </si>
  <si>
    <t>203-08</t>
  </si>
  <si>
    <t>215-08</t>
  </si>
  <si>
    <t>196-08</t>
  </si>
  <si>
    <t>204:170</t>
  </si>
  <si>
    <t>204:233324</t>
  </si>
  <si>
    <t>204:232992</t>
  </si>
  <si>
    <t>204:233006</t>
  </si>
  <si>
    <t>204:154</t>
  </si>
  <si>
    <t>204:233334</t>
  </si>
  <si>
    <t>204:233038</t>
  </si>
  <si>
    <t>204:150</t>
  </si>
  <si>
    <t>204:464</t>
  </si>
  <si>
    <t>204:233317</t>
  </si>
  <si>
    <t>204:233261</t>
  </si>
  <si>
    <t>204:232987</t>
  </si>
  <si>
    <t>204:232978</t>
  </si>
  <si>
    <t>204:233310</t>
  </si>
  <si>
    <t>204:125</t>
  </si>
  <si>
    <t>204:431</t>
  </si>
  <si>
    <t>204:233295</t>
  </si>
  <si>
    <t>204:232969</t>
  </si>
  <si>
    <t>204:233342</t>
  </si>
  <si>
    <t>204:233034</t>
  </si>
  <si>
    <t>204:232973</t>
  </si>
  <si>
    <t>204:233297</t>
  </si>
  <si>
    <t>204:232976</t>
  </si>
  <si>
    <t>204:139</t>
  </si>
  <si>
    <t>204:233316</t>
  </si>
  <si>
    <t>204:153988</t>
  </si>
  <si>
    <t>204:169</t>
  </si>
  <si>
    <t>204:232986</t>
  </si>
  <si>
    <t>204:232760</t>
  </si>
  <si>
    <t>204:462</t>
  </si>
  <si>
    <t>204:233304</t>
  </si>
  <si>
    <t>204:232991</t>
  </si>
  <si>
    <t>204:233339</t>
  </si>
  <si>
    <t>204:233026</t>
  </si>
  <si>
    <t>204:233283</t>
  </si>
  <si>
    <t>204:233253</t>
  </si>
  <si>
    <t>204:232944</t>
  </si>
  <si>
    <t>204:232980</t>
  </si>
  <si>
    <t>204:498</t>
  </si>
  <si>
    <t>204:1488</t>
  </si>
  <si>
    <t>204:1182</t>
  </si>
  <si>
    <t>204:466</t>
  </si>
  <si>
    <t>204:231573</t>
  </si>
  <si>
    <t>204:750</t>
  </si>
  <si>
    <t>204:233340</t>
  </si>
  <si>
    <t>210-08</t>
  </si>
  <si>
    <t>204:233030</t>
  </si>
  <si>
    <t>212-08</t>
  </si>
  <si>
    <t>204:806</t>
  </si>
  <si>
    <t>214-08</t>
  </si>
  <si>
    <t>204:232964</t>
  </si>
  <si>
    <t>204:786</t>
  </si>
  <si>
    <t>204:233311</t>
  </si>
  <si>
    <t>216-08</t>
  </si>
  <si>
    <t>204:127</t>
  </si>
  <si>
    <t>217-08</t>
  </si>
  <si>
    <t>218-08</t>
  </si>
  <si>
    <t>204:1173</t>
  </si>
  <si>
    <t>219-08</t>
  </si>
  <si>
    <t>220-08</t>
  </si>
  <si>
    <t>221-08</t>
  </si>
  <si>
    <t>223-08</t>
  </si>
  <si>
    <t>204:233264</t>
  </si>
  <si>
    <t>233-08</t>
  </si>
  <si>
    <t>235-08</t>
  </si>
  <si>
    <t>237-08</t>
  </si>
  <si>
    <t>236-08</t>
  </si>
  <si>
    <t>242-08</t>
  </si>
  <si>
    <t>245-08</t>
  </si>
  <si>
    <t>224-08</t>
  </si>
  <si>
    <t>204:232936</t>
  </si>
  <si>
    <t>204:172</t>
  </si>
  <si>
    <t>225-08</t>
  </si>
  <si>
    <t>226-08</t>
  </si>
  <si>
    <t>204:232952</t>
  </si>
  <si>
    <t>204:147</t>
  </si>
  <si>
    <t>227-08</t>
  </si>
  <si>
    <t>204:233309</t>
  </si>
  <si>
    <t>228-08</t>
  </si>
  <si>
    <t>204:232998</t>
  </si>
  <si>
    <t>229-08</t>
  </si>
  <si>
    <t>230-08</t>
  </si>
  <si>
    <t>231-08</t>
  </si>
  <si>
    <t>204:491</t>
  </si>
  <si>
    <t>232-08</t>
  </si>
  <si>
    <t>204:232955</t>
  </si>
  <si>
    <t>204:233314</t>
  </si>
  <si>
    <t>234-08</t>
  </si>
  <si>
    <t>204:232982</t>
  </si>
  <si>
    <t>204:233272</t>
  </si>
  <si>
    <t>238-08</t>
  </si>
  <si>
    <t>204:232934</t>
  </si>
  <si>
    <t>239-08</t>
  </si>
  <si>
    <t>204:486</t>
  </si>
  <si>
    <t>240-08</t>
  </si>
  <si>
    <t>241-08</t>
  </si>
  <si>
    <t>204:233288</t>
  </si>
  <si>
    <t>243-08</t>
  </si>
  <si>
    <t>244-08</t>
  </si>
  <si>
    <t>103-09</t>
  </si>
  <si>
    <t>104-09</t>
  </si>
  <si>
    <t>109-09</t>
  </si>
  <si>
    <t>107-09</t>
  </si>
  <si>
    <t>SANTIZO</t>
  </si>
  <si>
    <t>101-09</t>
  </si>
  <si>
    <t>222-08</t>
  </si>
  <si>
    <t>246-08</t>
  </si>
  <si>
    <t>102-09</t>
  </si>
  <si>
    <t>105-09</t>
  </si>
  <si>
    <t>Train was going backward? No other issues found</t>
  </si>
  <si>
    <t>206-08</t>
  </si>
  <si>
    <t>Not offered</t>
  </si>
  <si>
    <t>40th 4S was not cleared, switch was not aligned</t>
  </si>
  <si>
    <t>Form C</t>
  </si>
  <si>
    <t>Early Arrival</t>
  </si>
  <si>
    <t>NWGL</t>
  </si>
  <si>
    <t>Omit due to TWC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</si>
</sst>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31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2" borderId="13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9" fontId="0" fillId="0" borderId="16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22" fontId="0" fillId="0" borderId="19" xfId="0" applyNumberFormat="1" applyBorder="1"/>
    <xf numFmtId="169" fontId="0" fillId="0" borderId="19" xfId="0" applyBorder="1"/>
    <xf numFmtId="1" fontId="0" fillId="0" borderId="19" xfId="0" applyNumberFormat="1" applyBorder="1"/>
    <xf numFmtId="169" fontId="0" fillId="0" borderId="19" xfId="0" applyFill="1" applyBorder="1" applyAlignment="1">
      <alignment vertical="center"/>
    </xf>
    <xf numFmtId="169" fontId="0" fillId="0" borderId="19" xfId="0" applyFill="1" applyBorder="1" applyAlignment="1"/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" fontId="0" fillId="2" borderId="14" xfId="0" applyNumberFormat="1" applyFill="1" applyBorder="1"/>
    <xf numFmtId="1" fontId="0" fillId="0" borderId="17" xfId="0" applyNumberFormat="1" applyBorder="1"/>
    <xf numFmtId="169" fontId="9" fillId="0" borderId="5" xfId="0" applyFont="1" applyFill="1" applyBorder="1"/>
    <xf numFmtId="169" fontId="1" fillId="0" borderId="5" xfId="0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7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10.5703125" style="58" customWidth="1"/>
    <col min="2" max="2" width="10.7109375" style="60" customWidth="1"/>
    <col min="3" max="3" width="13.5703125" style="39" hidden="1" customWidth="1"/>
    <col min="4" max="4" width="16.140625" style="39" hidden="1" customWidth="1"/>
    <col min="5" max="5" width="19.5703125" style="54" hidden="1" customWidth="1"/>
    <col min="6" max="6" width="20.140625" style="54" customWidth="1"/>
    <col min="7" max="7" width="4.85546875" style="60" hidden="1" customWidth="1"/>
    <col min="8" max="8" width="22.140625" style="54" hidden="1" customWidth="1"/>
    <col min="9" max="9" width="19.7109375" style="54" customWidth="1"/>
    <col min="10" max="10" width="9.42578125" style="60" customWidth="1"/>
    <col min="11" max="12" width="13.28515625" style="39" customWidth="1"/>
    <col min="13" max="13" width="9.5703125" style="59" customWidth="1"/>
    <col min="14" max="14" width="8.85546875" style="60" customWidth="1"/>
    <col min="15" max="15" width="9.140625" style="2"/>
    <col min="16" max="16" width="6" style="2" customWidth="1"/>
    <col min="17" max="17" width="5.85546875" hidden="1" customWidth="1"/>
    <col min="18" max="18" width="28.140625" customWidth="1"/>
    <col min="19" max="19" width="7.7109375" style="27" customWidth="1"/>
    <col min="20" max="20" width="12.42578125" hidden="1" customWidth="1"/>
    <col min="21" max="21" width="4.7109375" style="112" hidden="1" customWidth="1"/>
    <col min="22" max="22" width="5.7109375" style="26" customWidth="1"/>
    <col min="23" max="23" width="3.85546875" style="26" customWidth="1"/>
    <col min="24" max="24" width="4.140625" style="102" customWidth="1"/>
    <col min="25" max="27" width="9.140625" style="99"/>
    <col min="28" max="28" width="10.7109375" style="96" bestFit="1" customWidth="1"/>
    <col min="29" max="29" width="17.42578125" style="90" customWidth="1"/>
    <col min="30" max="30" width="9.140625" style="91"/>
  </cols>
  <sheetData>
    <row r="1" spans="1:91" s="27" customFormat="1" ht="15.75" thickBot="1" x14ac:dyDescent="0.3">
      <c r="A1" s="58"/>
      <c r="B1" s="60"/>
      <c r="C1" s="39"/>
      <c r="D1" s="39"/>
      <c r="E1" s="54"/>
      <c r="F1" s="54"/>
      <c r="G1" s="60"/>
      <c r="H1" s="54"/>
      <c r="I1" s="54"/>
      <c r="J1" s="60"/>
      <c r="K1" s="39"/>
      <c r="L1" s="39"/>
      <c r="M1" s="59"/>
      <c r="N1" s="60"/>
      <c r="O1" s="2"/>
      <c r="P1" s="2"/>
      <c r="U1" s="112"/>
      <c r="V1" s="26"/>
      <c r="W1" s="26"/>
      <c r="X1" s="102"/>
      <c r="Y1" s="99"/>
      <c r="Z1" s="99"/>
      <c r="AA1" s="99"/>
      <c r="AB1" s="96"/>
      <c r="AC1" s="90"/>
      <c r="AD1" s="91"/>
    </row>
    <row r="2" spans="1:91" s="27" customFormat="1" ht="15.75" thickBot="1" x14ac:dyDescent="0.3">
      <c r="A2" s="58"/>
      <c r="B2" s="60"/>
      <c r="C2" s="39"/>
      <c r="D2" s="39"/>
      <c r="E2" s="54"/>
      <c r="F2" s="54"/>
      <c r="G2" s="60"/>
      <c r="H2" s="54"/>
      <c r="I2" s="122">
        <f>Variables!A2</f>
        <v>42559</v>
      </c>
      <c r="J2" s="123"/>
      <c r="K2" s="61"/>
      <c r="L2" s="61"/>
      <c r="M2" s="124" t="s">
        <v>8</v>
      </c>
      <c r="N2" s="125"/>
      <c r="O2" s="126"/>
      <c r="P2" s="2"/>
      <c r="U2" s="112"/>
      <c r="V2" s="26"/>
      <c r="W2" s="26"/>
      <c r="X2" s="102"/>
      <c r="Y2" s="99"/>
      <c r="Z2" s="99"/>
      <c r="AA2" s="99"/>
      <c r="AB2" s="96"/>
      <c r="AC2" s="90"/>
      <c r="AD2" s="91"/>
    </row>
    <row r="3" spans="1:91" s="27" customFormat="1" ht="15.75" thickBot="1" x14ac:dyDescent="0.3">
      <c r="A3" s="58"/>
      <c r="B3" s="60"/>
      <c r="C3" s="39"/>
      <c r="D3" s="39"/>
      <c r="E3" s="54"/>
      <c r="F3" s="54"/>
      <c r="G3" s="60"/>
      <c r="H3" s="54"/>
      <c r="I3" s="127" t="s">
        <v>10</v>
      </c>
      <c r="J3" s="128"/>
      <c r="K3" s="62"/>
      <c r="L3" s="62"/>
      <c r="M3" s="63" t="s">
        <v>11</v>
      </c>
      <c r="N3" s="64" t="s">
        <v>12</v>
      </c>
      <c r="O3" s="3" t="s">
        <v>13</v>
      </c>
      <c r="P3" s="2"/>
      <c r="U3" s="112"/>
      <c r="V3" s="26"/>
      <c r="W3" s="26"/>
      <c r="X3" s="102"/>
      <c r="Y3" s="99"/>
      <c r="Z3" s="99"/>
      <c r="AA3" s="99"/>
      <c r="AB3" s="96"/>
      <c r="AC3" s="90"/>
      <c r="AD3" s="91"/>
    </row>
    <row r="4" spans="1:91" s="27" customFormat="1" ht="15.75" thickBot="1" x14ac:dyDescent="0.3">
      <c r="A4" s="58"/>
      <c r="B4" s="60"/>
      <c r="C4" s="39"/>
      <c r="D4" s="39"/>
      <c r="E4" s="54"/>
      <c r="F4" s="54"/>
      <c r="G4" s="60"/>
      <c r="H4" s="54"/>
      <c r="I4" s="55" t="s">
        <v>14</v>
      </c>
      <c r="J4" s="89">
        <f>COUNT($N$13:$P$1781)</f>
        <v>144</v>
      </c>
      <c r="K4" s="65"/>
      <c r="L4" s="65"/>
      <c r="M4" s="66" t="s">
        <v>15</v>
      </c>
      <c r="N4" s="64" t="s">
        <v>15</v>
      </c>
      <c r="O4" s="3" t="s">
        <v>15</v>
      </c>
      <c r="P4" s="2"/>
      <c r="U4" s="112"/>
      <c r="V4" s="26"/>
      <c r="W4" s="26"/>
      <c r="X4" s="102"/>
      <c r="Y4" s="99"/>
      <c r="Z4" s="99"/>
      <c r="AA4" s="99"/>
      <c r="AB4" s="96"/>
      <c r="AC4" s="90"/>
      <c r="AD4" s="91"/>
    </row>
    <row r="5" spans="1:91" s="27" customFormat="1" ht="15.75" thickBot="1" x14ac:dyDescent="0.3">
      <c r="A5" s="58"/>
      <c r="B5" s="60"/>
      <c r="C5" s="39"/>
      <c r="D5" s="39"/>
      <c r="E5" s="54"/>
      <c r="F5" s="54"/>
      <c r="G5" s="60"/>
      <c r="H5" s="54"/>
      <c r="I5" s="55" t="s">
        <v>17</v>
      </c>
      <c r="J5" s="89">
        <f>COUNT($N$13:$N$1781)</f>
        <v>138</v>
      </c>
      <c r="K5" s="65"/>
      <c r="L5" s="65"/>
      <c r="M5" s="66">
        <f>AVERAGE($N$13:$N$781)</f>
        <v>41.866425120236315</v>
      </c>
      <c r="N5" s="64">
        <f>MIN($N$13:$N$781)</f>
        <v>34.73333333269693</v>
      </c>
      <c r="O5" s="3">
        <f>MAX($N$13:$N$781)</f>
        <v>57.883333337958902</v>
      </c>
      <c r="P5" s="2"/>
      <c r="U5" s="112"/>
      <c r="V5" s="26"/>
      <c r="W5" s="26"/>
      <c r="X5" s="102"/>
      <c r="Y5" s="99"/>
      <c r="Z5" s="99"/>
      <c r="AA5" s="99"/>
      <c r="AB5" s="96"/>
      <c r="AC5" s="90"/>
      <c r="AD5" s="91"/>
    </row>
    <row r="6" spans="1:91" s="27" customFormat="1" ht="15.75" thickBot="1" x14ac:dyDescent="0.3">
      <c r="A6" s="58"/>
      <c r="B6" s="60"/>
      <c r="C6" s="39"/>
      <c r="D6" s="39"/>
      <c r="E6" s="54"/>
      <c r="F6" s="54"/>
      <c r="G6" s="60"/>
      <c r="H6" s="54"/>
      <c r="I6" s="56" t="s">
        <v>43</v>
      </c>
      <c r="J6" s="89">
        <f>COUNT($O$13:$O$781)</f>
        <v>0</v>
      </c>
      <c r="K6" s="65"/>
      <c r="L6" s="65"/>
      <c r="M6" s="66">
        <f>IFERROR(AVERAGE($O$13:$O$781),0)</f>
        <v>0</v>
      </c>
      <c r="N6" s="64">
        <f>MIN($O$13:$O$781)</f>
        <v>0</v>
      </c>
      <c r="O6" s="3">
        <f>MAX($O$13:$O$781)</f>
        <v>0</v>
      </c>
      <c r="P6" s="2"/>
      <c r="U6" s="112"/>
      <c r="V6" s="26"/>
      <c r="W6" s="26"/>
      <c r="X6" s="102"/>
      <c r="Y6" s="99"/>
      <c r="Z6" s="99"/>
      <c r="AA6" s="99"/>
      <c r="AB6" s="96"/>
      <c r="AC6" s="90"/>
      <c r="AD6" s="91"/>
    </row>
    <row r="7" spans="1:91" s="27" customFormat="1" ht="15.75" thickBot="1" x14ac:dyDescent="0.3">
      <c r="A7" s="58"/>
      <c r="B7" s="60"/>
      <c r="C7" s="39"/>
      <c r="D7" s="39"/>
      <c r="E7" s="54"/>
      <c r="F7" s="54"/>
      <c r="G7" s="60"/>
      <c r="H7" s="54"/>
      <c r="I7" s="57" t="s">
        <v>9</v>
      </c>
      <c r="J7" s="89">
        <f>COUNT($P$13:$P$781)</f>
        <v>6</v>
      </c>
      <c r="K7" s="65"/>
      <c r="L7" s="65"/>
      <c r="M7" s="66" t="s">
        <v>15</v>
      </c>
      <c r="N7" s="64" t="s">
        <v>15</v>
      </c>
      <c r="O7" s="3" t="s">
        <v>15</v>
      </c>
      <c r="P7" s="2"/>
      <c r="U7" s="112"/>
      <c r="V7" s="26"/>
      <c r="W7" s="26"/>
      <c r="X7" s="102"/>
      <c r="Y7" s="99"/>
      <c r="Z7" s="99"/>
      <c r="AA7" s="99"/>
      <c r="AB7" s="96"/>
      <c r="AC7" s="90"/>
      <c r="AD7" s="91"/>
    </row>
    <row r="8" spans="1:91" s="27" customFormat="1" ht="30.75" thickBot="1" x14ac:dyDescent="0.3">
      <c r="A8" s="58"/>
      <c r="B8" s="60"/>
      <c r="C8" s="39"/>
      <c r="D8" s="39"/>
      <c r="E8" s="54"/>
      <c r="F8" s="54"/>
      <c r="G8" s="60"/>
      <c r="H8" s="54"/>
      <c r="I8" s="55" t="s">
        <v>16</v>
      </c>
      <c r="J8" s="89">
        <f>COUNT($N$13:$O$781)</f>
        <v>138</v>
      </c>
      <c r="K8" s="65"/>
      <c r="L8" s="65"/>
      <c r="M8" s="66">
        <f>AVERAGE($N$13:$P$781)</f>
        <v>41.56851851803367</v>
      </c>
      <c r="N8" s="64">
        <f>MIN($N$13:$O$781)</f>
        <v>34.73333333269693</v>
      </c>
      <c r="O8" s="3">
        <f>MAX($N$13:$O$781)</f>
        <v>57.883333337958902</v>
      </c>
      <c r="P8" s="2"/>
      <c r="U8" s="112"/>
      <c r="V8" s="26"/>
      <c r="W8" s="26"/>
      <c r="X8" s="102"/>
      <c r="Y8" s="99"/>
      <c r="Z8" s="99"/>
      <c r="AA8" s="99"/>
      <c r="AB8" s="96"/>
      <c r="AC8" s="90"/>
      <c r="AD8" s="91"/>
    </row>
    <row r="9" spans="1:91" s="27" customFormat="1" ht="30.75" thickBot="1" x14ac:dyDescent="0.3">
      <c r="A9" s="58"/>
      <c r="B9" s="60"/>
      <c r="C9" s="39"/>
      <c r="D9" s="39"/>
      <c r="E9" s="54"/>
      <c r="F9" s="54"/>
      <c r="G9" s="60"/>
      <c r="H9" s="54"/>
      <c r="I9" s="55" t="s">
        <v>19</v>
      </c>
      <c r="J9" s="115">
        <f>J8/J4</f>
        <v>0.95833333333333337</v>
      </c>
      <c r="K9" s="67"/>
      <c r="L9" s="67"/>
      <c r="M9" s="59"/>
      <c r="N9" s="60"/>
      <c r="O9" s="2"/>
      <c r="P9" s="2"/>
      <c r="U9" s="112"/>
      <c r="V9" s="26"/>
      <c r="W9" s="26"/>
      <c r="X9" s="102"/>
      <c r="Y9" s="99"/>
      <c r="Z9" s="99"/>
      <c r="AA9" s="99"/>
      <c r="AB9" s="96"/>
      <c r="AC9" s="90"/>
      <c r="AD9" s="91"/>
    </row>
    <row r="10" spans="1:91" s="27" customFormat="1" x14ac:dyDescent="0.25">
      <c r="A10" s="58"/>
      <c r="B10" s="60"/>
      <c r="C10" s="39"/>
      <c r="D10" s="39"/>
      <c r="E10" s="54"/>
      <c r="F10" s="54"/>
      <c r="G10" s="60"/>
      <c r="H10" s="54"/>
      <c r="I10" s="54"/>
      <c r="J10" s="60"/>
      <c r="K10" s="39"/>
      <c r="L10" s="39"/>
      <c r="M10" s="59"/>
      <c r="N10" s="60"/>
      <c r="O10" s="2"/>
      <c r="P10" s="2"/>
      <c r="U10" s="112"/>
      <c r="V10" s="26"/>
      <c r="W10" s="26"/>
      <c r="X10" s="102"/>
      <c r="Y10" s="99"/>
      <c r="Z10" s="99"/>
      <c r="AA10" s="99"/>
      <c r="AB10" s="96"/>
      <c r="AC10" s="90"/>
      <c r="AD10" s="91"/>
    </row>
    <row r="11" spans="1:91" ht="57.75" customHeight="1" thickBot="1" x14ac:dyDescent="0.3">
      <c r="A11" s="121" t="str">
        <f>"Eagle P3 System Performance - "&amp;TEXT(Variables!A2,"yyyy-mm-dd")</f>
        <v>Eagle P3 System Performance - 2016-07-08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S11" s="27">
        <f>AVERAGE(S13:S999)</f>
        <v>0.98726851851851849</v>
      </c>
    </row>
    <row r="12" spans="1:91" s="5" customFormat="1" ht="69" customHeight="1" thickBot="1" x14ac:dyDescent="0.3">
      <c r="A12" s="20" t="s">
        <v>0</v>
      </c>
      <c r="B12" s="24" t="s">
        <v>44</v>
      </c>
      <c r="C12" s="21" t="s">
        <v>26</v>
      </c>
      <c r="D12" s="21" t="s">
        <v>1</v>
      </c>
      <c r="E12" s="22" t="s">
        <v>2</v>
      </c>
      <c r="F12" s="22" t="s">
        <v>3</v>
      </c>
      <c r="G12" s="24" t="s">
        <v>4</v>
      </c>
      <c r="H12" s="22" t="s">
        <v>5</v>
      </c>
      <c r="I12" s="22" t="s">
        <v>6</v>
      </c>
      <c r="J12" s="24" t="s">
        <v>7</v>
      </c>
      <c r="K12" s="21" t="s">
        <v>66</v>
      </c>
      <c r="L12" s="21" t="s">
        <v>48</v>
      </c>
      <c r="M12" s="23" t="s">
        <v>8</v>
      </c>
      <c r="N12" s="21" t="s">
        <v>41</v>
      </c>
      <c r="O12" s="24" t="s">
        <v>42</v>
      </c>
      <c r="P12" s="24" t="s">
        <v>18</v>
      </c>
      <c r="Q12" s="25" t="s">
        <v>47</v>
      </c>
      <c r="R12" s="25" t="s">
        <v>24</v>
      </c>
      <c r="S12" s="25" t="s">
        <v>87</v>
      </c>
      <c r="T12" s="82" t="s">
        <v>88</v>
      </c>
      <c r="U12" s="113" t="s">
        <v>89</v>
      </c>
      <c r="V12" s="79" t="s">
        <v>45</v>
      </c>
      <c r="W12" s="79" t="s">
        <v>23</v>
      </c>
      <c r="X12" s="103" t="s">
        <v>49</v>
      </c>
      <c r="Y12" s="100" t="s">
        <v>20</v>
      </c>
      <c r="Z12" s="100" t="s">
        <v>21</v>
      </c>
      <c r="AA12" s="100" t="s">
        <v>22</v>
      </c>
      <c r="AB12" s="97" t="s">
        <v>39</v>
      </c>
      <c r="AC12" s="93" t="s">
        <v>40</v>
      </c>
      <c r="AD12" s="92" t="s">
        <v>155</v>
      </c>
      <c r="AE12" s="79" t="s">
        <v>259</v>
      </c>
      <c r="AF12" s="79" t="s">
        <v>264</v>
      </c>
      <c r="AG12" s="4" t="s">
        <v>483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3" t="s">
        <v>336</v>
      </c>
      <c r="B13" s="7">
        <v>4011</v>
      </c>
      <c r="C13" s="28" t="s">
        <v>60</v>
      </c>
      <c r="D13" s="28" t="s">
        <v>419</v>
      </c>
      <c r="E13" s="17">
        <v>42559.126944444448</v>
      </c>
      <c r="F13" s="17">
        <v>42559.127754629626</v>
      </c>
      <c r="G13" s="7">
        <v>1</v>
      </c>
      <c r="H13" s="17" t="s">
        <v>420</v>
      </c>
      <c r="I13" s="17">
        <v>42559.152418981481</v>
      </c>
      <c r="J13" s="7">
        <v>1</v>
      </c>
      <c r="K13" s="28" t="str">
        <f t="shared" ref="K13:K44" si="0">IF(ISEVEN(B13),(B13-1)&amp;"/"&amp;B13,B13&amp;"/"&amp;(B13+1))</f>
        <v>4011/4012</v>
      </c>
      <c r="L13" s="28" t="str">
        <f>VLOOKUP(A13,'Trips&amp;Operators'!$C$1:$E$10000,3,FALSE)</f>
        <v>YORK</v>
      </c>
      <c r="M13" s="6">
        <f t="shared" ref="M13:M44" si="1">I13-F13</f>
        <v>2.4664351854880806E-2</v>
      </c>
      <c r="N13" s="7"/>
      <c r="O13" s="7"/>
      <c r="P13" s="7">
        <f>24*60*SUM($M13:$M13)</f>
        <v>35.516666671028361</v>
      </c>
      <c r="Q13" s="7"/>
      <c r="R13" s="7" t="s">
        <v>484</v>
      </c>
      <c r="S13" s="47">
        <f t="shared" ref="S13:S58" si="2">SUM(U13:U13)/12</f>
        <v>1</v>
      </c>
      <c r="T13" s="75" t="str">
        <f t="shared" ref="T13:T44" si="3">IF(ISEVEN(LEFT(A13,3)),"Southbound","NorthBound")</f>
        <v>NorthBound</v>
      </c>
      <c r="U13" s="114">
        <f>COUNTIFS(Variables!$M$2:$M$19,IF(T13="NorthBound","&gt;=","&lt;=")&amp;Y13,Variables!$M$2:$M$19,IF(T13="NorthBound","&lt;=","&gt;=")&amp;Z13)</f>
        <v>12</v>
      </c>
      <c r="V13" s="80" t="str">
        <f t="shared" ref="V13:V44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https://search-rtdc-monitor-bjffxe2xuh6vdkpspy63sjmuny.us-east-1.es.amazonaws.com/_plugin/kibana/#/discover/Steve-Slow-Train-Analysis-(2080s-and-2083s)?_g=(refreshInterval:(display:Off,section:0,value:0),time:(from:'2016-07-08 03:01:48-0600',mode:absolute,to:'2016-07-08 03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80" t="str">
        <f t="shared" ref="W13:W44" si="5">IF(AA13&lt;23,"Y","N")</f>
        <v>Y</v>
      </c>
      <c r="X13" s="104" t="e">
        <f>VALUE(LEFT(A13,3))-VALUE(LEFT(#REF!,3))</f>
        <v>#REF!</v>
      </c>
      <c r="Y13" s="101">
        <f t="shared" ref="Y13:Y44" si="6">RIGHT(D13,LEN(D13)-4)/10000</f>
        <v>6.6400000000000001E-2</v>
      </c>
      <c r="Z13" s="101">
        <f t="shared" ref="Z13:Z44" si="7">RIGHT(H13,LEN(H13)-4)/10000</f>
        <v>13.1912</v>
      </c>
      <c r="AA13" s="101">
        <f t="shared" ref="AA13:AA44" si="8">ABS(Z13-Y13)</f>
        <v>13.1248</v>
      </c>
      <c r="AB13" s="98">
        <f>VLOOKUP(A13,Enforcements!$C$7:$J$27,8,0)</f>
        <v>133155</v>
      </c>
      <c r="AC13" s="94" t="str">
        <f>VLOOKUP(A13,Enforcements!$C$7:$E$27,3,0)</f>
        <v>SIGNAL</v>
      </c>
      <c r="AD13" s="95" t="str">
        <f t="shared" ref="AD13:AD44" si="9">IF(LEN(A13)=6,"0"&amp;A13,A13)</f>
        <v>0101-08</v>
      </c>
      <c r="AE13" s="81" t="str">
        <f t="shared" ref="AE13:AE22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3" s="81" t="str">
        <f t="shared" ref="AF13:AF22" si="1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/stypes="*4011*20160708*" /stext=" 09:.+((prompt.+disp)|(slice.+state.+chan)|(ment ac)|(system.+state.+chan)|(\|lc)|(penalty)|(\[timeout))" /e /r /s</v>
      </c>
      <c r="AG13" s="1" t="str">
        <f t="shared" ref="AG13:AG21" si="12">IF(VALUE(LEFT(A13,3))&lt;300,"EC","NWGL")</f>
        <v>EC</v>
      </c>
    </row>
    <row r="14" spans="1:91" s="1" customFormat="1" x14ac:dyDescent="0.25">
      <c r="A14" s="53" t="s">
        <v>355</v>
      </c>
      <c r="B14" s="7">
        <v>4028</v>
      </c>
      <c r="C14" s="28" t="s">
        <v>60</v>
      </c>
      <c r="D14" s="28" t="s">
        <v>421</v>
      </c>
      <c r="E14" s="17">
        <v>42559.163217592592</v>
      </c>
      <c r="F14" s="17">
        <v>42559.164178240739</v>
      </c>
      <c r="G14" s="7">
        <v>1</v>
      </c>
      <c r="H14" s="17" t="s">
        <v>422</v>
      </c>
      <c r="I14" s="17">
        <v>42559.191296296296</v>
      </c>
      <c r="J14" s="7">
        <v>1</v>
      </c>
      <c r="K14" s="28" t="str">
        <f t="shared" si="0"/>
        <v>4027/4028</v>
      </c>
      <c r="L14" s="28" t="str">
        <f>VLOOKUP(A14,'Trips&amp;Operators'!$C$1:$E$10000,3,FALSE)</f>
        <v>YORK</v>
      </c>
      <c r="M14" s="6">
        <f t="shared" si="1"/>
        <v>2.7118055557366461E-2</v>
      </c>
      <c r="N14" s="7"/>
      <c r="O14" s="7"/>
      <c r="P14" s="7">
        <f>24*60*SUM($M14:$M14)</f>
        <v>39.050000002607703</v>
      </c>
      <c r="Q14" s="29"/>
      <c r="R14" s="29" t="s">
        <v>136</v>
      </c>
      <c r="S14" s="47">
        <f t="shared" si="2"/>
        <v>0.25</v>
      </c>
      <c r="T14" s="75" t="str">
        <f t="shared" si="3"/>
        <v>Southbound</v>
      </c>
      <c r="U14" s="114">
        <f>COUNTIFS(Variables!$M$2:$M$19,IF(T14="NorthBound","&gt;=","&lt;=")&amp;Y14,Variables!$M$2:$M$19,IF(T14="NorthBound","&lt;=","&gt;=")&amp;Z14)</f>
        <v>3</v>
      </c>
      <c r="V1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03:54:02-0600',mode:absolute,to:'2016-07-08 04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80" t="str">
        <f t="shared" si="5"/>
        <v>Y</v>
      </c>
      <c r="X14" s="104">
        <f t="shared" ref="X14:X45" si="13">VALUE(LEFT(A14,3))-VALUE(LEFT(A13,3))</f>
        <v>1</v>
      </c>
      <c r="Y14" s="101">
        <f t="shared" si="6"/>
        <v>23.270600000000002</v>
      </c>
      <c r="Z14" s="101">
        <f t="shared" si="7"/>
        <v>6.4071999999999996</v>
      </c>
      <c r="AA14" s="101">
        <f t="shared" si="8"/>
        <v>16.863400000000002</v>
      </c>
      <c r="AB14" s="98" t="e">
        <f>VLOOKUP(A14,Enforcements!$C$7:$J$27,8,0)</f>
        <v>#N/A</v>
      </c>
      <c r="AC14" s="94" t="e">
        <f>VLOOKUP(A14,Enforcements!$C$7:$E$27,3,0)</f>
        <v>#N/A</v>
      </c>
      <c r="AD14" s="95" t="str">
        <f t="shared" si="9"/>
        <v>0102-08</v>
      </c>
      <c r="AE14" s="81" t="str">
        <f t="shared" si="10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4" s="81" t="str">
        <f t="shared" si="11"/>
        <v>"C:\Program Files (x86)\AstroGrep\AstroGrep.exe" /spath="C:\Users\stu\Documents\Analysis\2016-02-23 RTDC Observations" /stypes="*4028*20160708*" /stext=" 09:.+((prompt.+disp)|(slice.+state.+chan)|(ment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3" t="s">
        <v>351</v>
      </c>
      <c r="B15" s="7">
        <v>4007</v>
      </c>
      <c r="C15" s="28" t="s">
        <v>60</v>
      </c>
      <c r="D15" s="28" t="s">
        <v>423</v>
      </c>
      <c r="E15" s="17">
        <v>42559.155671296299</v>
      </c>
      <c r="F15" s="17">
        <v>42559.157048611109</v>
      </c>
      <c r="G15" s="7">
        <v>1</v>
      </c>
      <c r="H15" s="17" t="s">
        <v>424</v>
      </c>
      <c r="I15" s="17">
        <v>42559.188692129632</v>
      </c>
      <c r="J15" s="7">
        <v>0</v>
      </c>
      <c r="K15" s="28" t="str">
        <f t="shared" si="0"/>
        <v>4007/4008</v>
      </c>
      <c r="L15" s="28" t="str">
        <f>VLOOKUP(A15,'Trips&amp;Operators'!$C$1:$E$10000,3,FALSE)</f>
        <v>STURGEON</v>
      </c>
      <c r="M15" s="6">
        <f t="shared" si="1"/>
        <v>3.164351852319669E-2</v>
      </c>
      <c r="N15" s="7">
        <f t="shared" ref="N15:N20" si="14">24*60*SUM($M15:$M15)</f>
        <v>45.566666673403233</v>
      </c>
      <c r="O15" s="7"/>
      <c r="P15" s="7"/>
      <c r="Q15" s="29"/>
      <c r="R15" s="29"/>
      <c r="S15" s="47">
        <f t="shared" si="2"/>
        <v>1</v>
      </c>
      <c r="T15" s="75" t="str">
        <f t="shared" si="3"/>
        <v>NorthBound</v>
      </c>
      <c r="U15" s="114">
        <f>COUNTIFS(Variables!$M$2:$M$19,IF(T15="NorthBound","&gt;=","&lt;=")&amp;Y15,Variables!$M$2:$M$19,IF(T15="NorthBound","&lt;=","&gt;=")&amp;Z15)</f>
        <v>12</v>
      </c>
      <c r="V15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03:43:10-0600',mode:absolute,to:'2016-07-08 04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" s="80" t="str">
        <f t="shared" si="5"/>
        <v>N</v>
      </c>
      <c r="X15" s="104">
        <f t="shared" si="13"/>
        <v>1</v>
      </c>
      <c r="Y15" s="101">
        <f t="shared" si="6"/>
        <v>8.0299999999999996E-2</v>
      </c>
      <c r="Z15" s="101">
        <f t="shared" si="7"/>
        <v>23.326799999999999</v>
      </c>
      <c r="AA15" s="101">
        <f t="shared" si="8"/>
        <v>23.246499999999997</v>
      </c>
      <c r="AB15" s="98" t="e">
        <f>VLOOKUP(A15,Enforcements!$C$7:$J$27,8,0)</f>
        <v>#N/A</v>
      </c>
      <c r="AC15" s="94" t="e">
        <f>VLOOKUP(A15,Enforcements!$C$7:$E$27,3,0)</f>
        <v>#N/A</v>
      </c>
      <c r="AD15" s="95" t="str">
        <f t="shared" si="9"/>
        <v>0103-08</v>
      </c>
      <c r="AE15" s="81" t="str">
        <f t="shared" si="10"/>
        <v>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 &amp; 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</v>
      </c>
      <c r="AF15" s="81" t="str">
        <f t="shared" si="11"/>
        <v>"C:\Program Files (x86)\AstroGrep\AstroGrep.exe" /spath="C:\Users\stu\Documents\Analysis\2016-02-23 RTDC Observations" /stypes="*4007*20160708*" /stext=" 09:.+((prompt.+disp)|(slice.+state.+chan)|(ment ac)|(system.+state.+chan)|(\|lc)|(penalty)|(\[timeout))" /e /r /s</v>
      </c>
      <c r="AG15" s="1" t="str">
        <f t="shared" si="12"/>
        <v>EC</v>
      </c>
    </row>
    <row r="16" spans="1:91" s="1" customFormat="1" x14ac:dyDescent="0.25">
      <c r="A16" s="53" t="s">
        <v>345</v>
      </c>
      <c r="B16" s="7">
        <v>4026</v>
      </c>
      <c r="C16" s="28" t="s">
        <v>60</v>
      </c>
      <c r="D16" s="28" t="s">
        <v>425</v>
      </c>
      <c r="E16" s="17">
        <v>42559.192627314813</v>
      </c>
      <c r="F16" s="17">
        <v>42559.194131944445</v>
      </c>
      <c r="G16" s="7">
        <v>2</v>
      </c>
      <c r="H16" s="17" t="s">
        <v>270</v>
      </c>
      <c r="I16" s="17">
        <v>42559.222638888888</v>
      </c>
      <c r="J16" s="7">
        <v>0</v>
      </c>
      <c r="K16" s="28" t="str">
        <f t="shared" si="0"/>
        <v>4025/4026</v>
      </c>
      <c r="L16" s="28" t="str">
        <f>VLOOKUP(A16,'Trips&amp;Operators'!$C$1:$E$10000,3,FALSE)</f>
        <v>STURGEON</v>
      </c>
      <c r="M16" s="6">
        <f t="shared" si="1"/>
        <v>2.8506944443506654E-2</v>
      </c>
      <c r="N16" s="7">
        <f t="shared" si="14"/>
        <v>41.049999998649582</v>
      </c>
      <c r="O16" s="7"/>
      <c r="P16" s="7"/>
      <c r="Q16" s="29"/>
      <c r="R16" s="29"/>
      <c r="S16" s="47">
        <f t="shared" si="2"/>
        <v>1</v>
      </c>
      <c r="T16" s="75" t="str">
        <f t="shared" si="3"/>
        <v>Southbound</v>
      </c>
      <c r="U16" s="114">
        <f>COUNTIFS(Variables!$M$2:$M$19,IF(T16="NorthBound","&gt;=","&lt;=")&amp;Y16,Variables!$M$2:$M$19,IF(T16="NorthBound","&lt;=","&gt;=")&amp;Z16)</f>
        <v>12</v>
      </c>
      <c r="V16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04:36:23-0600',mode:absolute,to:'2016-07-08 05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" s="80" t="str">
        <f t="shared" si="5"/>
        <v>N</v>
      </c>
      <c r="X16" s="104">
        <f t="shared" si="13"/>
        <v>1</v>
      </c>
      <c r="Y16" s="101">
        <f t="shared" si="6"/>
        <v>23.2623</v>
      </c>
      <c r="Z16" s="101">
        <f t="shared" si="7"/>
        <v>1.67E-2</v>
      </c>
      <c r="AA16" s="101">
        <f t="shared" si="8"/>
        <v>23.2456</v>
      </c>
      <c r="AB16" s="98" t="e">
        <f>VLOOKUP(A16,Enforcements!$C$7:$J$27,8,0)</f>
        <v>#N/A</v>
      </c>
      <c r="AC16" s="94" t="e">
        <f>VLOOKUP(A16,Enforcements!$C$7:$E$27,3,0)</f>
        <v>#N/A</v>
      </c>
      <c r="AD16" s="95" t="str">
        <f t="shared" si="9"/>
        <v>0104-08</v>
      </c>
      <c r="AE16" s="81" t="str">
        <f t="shared" si="10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6" s="81" t="str">
        <f t="shared" si="11"/>
        <v>"C:\Program Files (x86)\AstroGrep\AstroGrep.exe" /spath="C:\Users\stu\Documents\Analysis\2016-02-23 RTDC Observations" /stypes="*4026*20160708*" /stext=" 10:.+((prompt.+disp)|(slice.+state.+chan)|(ment ac)|(system.+state.+chan)|(\|lc)|(penalty)|(\[timeout))" /e /r /s</v>
      </c>
      <c r="AG16" s="1" t="str">
        <f t="shared" si="12"/>
        <v>EC</v>
      </c>
    </row>
    <row r="17" spans="1:33" s="1" customFormat="1" x14ac:dyDescent="0.25">
      <c r="A17" s="53" t="s">
        <v>338</v>
      </c>
      <c r="B17" s="7">
        <v>4044</v>
      </c>
      <c r="C17" s="28" t="s">
        <v>60</v>
      </c>
      <c r="D17" s="28" t="s">
        <v>426</v>
      </c>
      <c r="E17" s="17">
        <v>42559.175335648149</v>
      </c>
      <c r="F17" s="17">
        <v>42559.176388888889</v>
      </c>
      <c r="G17" s="7">
        <v>1</v>
      </c>
      <c r="H17" s="17" t="s">
        <v>175</v>
      </c>
      <c r="I17" s="17">
        <v>42559.202581018515</v>
      </c>
      <c r="J17" s="7">
        <v>0</v>
      </c>
      <c r="K17" s="28" t="str">
        <f t="shared" si="0"/>
        <v>4043/4044</v>
      </c>
      <c r="L17" s="28" t="str">
        <f>VLOOKUP(A17,'Trips&amp;Operators'!$C$1:$E$10000,3,FALSE)</f>
        <v>CANFIELD</v>
      </c>
      <c r="M17" s="6">
        <f t="shared" si="1"/>
        <v>2.619212962599704E-2</v>
      </c>
      <c r="N17" s="7">
        <f t="shared" si="14"/>
        <v>37.716666661435738</v>
      </c>
      <c r="O17" s="7"/>
      <c r="P17" s="7"/>
      <c r="Q17" s="29"/>
      <c r="R17" s="29"/>
      <c r="S17" s="47">
        <f t="shared" si="2"/>
        <v>1</v>
      </c>
      <c r="T17" s="75" t="str">
        <f t="shared" si="3"/>
        <v>NorthBound</v>
      </c>
      <c r="U17" s="114">
        <f>COUNTIFS(Variables!$M$2:$M$19,IF(T17="NorthBound","&gt;=","&lt;=")&amp;Y17,Variables!$M$2:$M$19,IF(T17="NorthBound","&lt;=","&gt;=")&amp;Z17)</f>
        <v>12</v>
      </c>
      <c r="V17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04:11:29-0600',mode:absolute,to:'2016-07-08 04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80" t="str">
        <f t="shared" si="5"/>
        <v>N</v>
      </c>
      <c r="X17" s="104">
        <f t="shared" si="13"/>
        <v>1</v>
      </c>
      <c r="Y17" s="101">
        <f t="shared" si="6"/>
        <v>7.6300000000000007E-2</v>
      </c>
      <c r="Z17" s="101">
        <f t="shared" si="7"/>
        <v>23.328900000000001</v>
      </c>
      <c r="AA17" s="101">
        <f t="shared" si="8"/>
        <v>23.252600000000001</v>
      </c>
      <c r="AB17" s="98" t="e">
        <f>VLOOKUP(A17,Enforcements!$C$7:$J$27,8,0)</f>
        <v>#N/A</v>
      </c>
      <c r="AC17" s="94" t="e">
        <f>VLOOKUP(A17,Enforcements!$C$7:$E$27,3,0)</f>
        <v>#N/A</v>
      </c>
      <c r="AD17" s="95" t="str">
        <f t="shared" si="9"/>
        <v>0105-08</v>
      </c>
      <c r="AE17" s="81" t="str">
        <f t="shared" si="10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7" s="81" t="str">
        <f t="shared" si="11"/>
        <v>"C:\Program Files (x86)\AstroGrep\AstroGrep.exe" /spath="C:\Users\stu\Documents\Analysis\2016-02-23 RTDC Observations" /stypes="*4044*20160708*" /stext=" 10:.+((prompt.+disp)|(slice.+state.+chan)|(ment ac)|(system.+state.+chan)|(\|lc)|(penalty)|(\[timeout))" /e /r /s</v>
      </c>
      <c r="AG17" s="1" t="str">
        <f t="shared" si="12"/>
        <v>EC</v>
      </c>
    </row>
    <row r="18" spans="1:33" s="1" customFormat="1" ht="16.5" customHeight="1" x14ac:dyDescent="0.25">
      <c r="A18" s="53" t="s">
        <v>350</v>
      </c>
      <c r="B18" s="7">
        <v>4019</v>
      </c>
      <c r="C18" s="28" t="s">
        <v>60</v>
      </c>
      <c r="D18" s="28" t="s">
        <v>427</v>
      </c>
      <c r="E18" s="17">
        <v>42559.21025462963</v>
      </c>
      <c r="F18" s="17">
        <v>42559.21130787037</v>
      </c>
      <c r="G18" s="7">
        <v>1</v>
      </c>
      <c r="H18" s="17" t="s">
        <v>72</v>
      </c>
      <c r="I18" s="17">
        <v>42559.242430555554</v>
      </c>
      <c r="J18" s="7">
        <v>0</v>
      </c>
      <c r="K18" s="28" t="str">
        <f t="shared" si="0"/>
        <v>4019/4020</v>
      </c>
      <c r="L18" s="28" t="str">
        <f>VLOOKUP(A18,'Trips&amp;Operators'!$C$1:$E$10000,3,FALSE)</f>
        <v>CANFIELD</v>
      </c>
      <c r="M18" s="6">
        <f t="shared" si="1"/>
        <v>3.1122685184527654E-2</v>
      </c>
      <c r="N18" s="7">
        <f t="shared" si="14"/>
        <v>44.816666665719822</v>
      </c>
      <c r="O18" s="7"/>
      <c r="P18" s="7"/>
      <c r="Q18" s="29"/>
      <c r="R18" s="29"/>
      <c r="S18" s="47">
        <f t="shared" si="2"/>
        <v>1</v>
      </c>
      <c r="T18" s="75" t="str">
        <f t="shared" si="3"/>
        <v>Southbound</v>
      </c>
      <c r="U18" s="114">
        <f>COUNTIFS(Variables!$M$2:$M$19,IF(T18="NorthBound","&gt;=","&lt;=")&amp;Y18,Variables!$M$2:$M$19,IF(T18="NorthBound","&lt;=","&gt;=")&amp;Z18)</f>
        <v>12</v>
      </c>
      <c r="V18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05:01:46-0600',mode:absolute,to:'2016-07-08 05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80" t="str">
        <f t="shared" si="5"/>
        <v>N</v>
      </c>
      <c r="X18" s="104">
        <f t="shared" si="13"/>
        <v>1</v>
      </c>
      <c r="Y18" s="101">
        <f t="shared" si="6"/>
        <v>23.264600000000002</v>
      </c>
      <c r="Z18" s="101">
        <f t="shared" si="7"/>
        <v>1.49E-2</v>
      </c>
      <c r="AA18" s="101">
        <f t="shared" si="8"/>
        <v>23.249700000000001</v>
      </c>
      <c r="AB18" s="98" t="e">
        <f>VLOOKUP(A18,Enforcements!$C$7:$J$27,8,0)</f>
        <v>#N/A</v>
      </c>
      <c r="AC18" s="94" t="e">
        <f>VLOOKUP(A18,Enforcements!$C$7:$E$27,3,0)</f>
        <v>#N/A</v>
      </c>
      <c r="AD18" s="95" t="str">
        <f t="shared" si="9"/>
        <v>0106-08</v>
      </c>
      <c r="AE18" s="81" t="str">
        <f t="shared" si="10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8" s="81" t="str">
        <f t="shared" si="11"/>
        <v>"C:\Program Files (x86)\AstroGrep\AstroGrep.exe" /spath="C:\Users\stu\Documents\Analysis\2016-02-23 RTDC Observations" /stypes="*4019*20160708*" /stext=" 11:.+((prompt.+disp)|(slice.+state.+chan)|(ment ac)|(system.+state.+chan)|(\|lc)|(penalty)|(\[timeout))" /e /r /s</v>
      </c>
      <c r="AG18" s="1" t="str">
        <f t="shared" si="12"/>
        <v>EC</v>
      </c>
    </row>
    <row r="19" spans="1:33" s="1" customFormat="1" x14ac:dyDescent="0.25">
      <c r="A19" s="53" t="s">
        <v>340</v>
      </c>
      <c r="B19" s="7">
        <v>4040</v>
      </c>
      <c r="C19" s="28" t="s">
        <v>60</v>
      </c>
      <c r="D19" s="28" t="s">
        <v>118</v>
      </c>
      <c r="E19" s="17">
        <v>42559.186898148146</v>
      </c>
      <c r="F19" s="17">
        <v>42559.187951388885</v>
      </c>
      <c r="G19" s="7">
        <v>1</v>
      </c>
      <c r="H19" s="17" t="s">
        <v>428</v>
      </c>
      <c r="I19" s="17">
        <v>42559.212685185186</v>
      </c>
      <c r="J19" s="7">
        <v>0</v>
      </c>
      <c r="K19" s="28" t="str">
        <f t="shared" si="0"/>
        <v>4039/4040</v>
      </c>
      <c r="L19" s="28" t="str">
        <f>VLOOKUP(A19,'Trips&amp;Operators'!$C$1:$E$10000,3,FALSE)</f>
        <v>STARKS</v>
      </c>
      <c r="M19" s="6">
        <f t="shared" si="1"/>
        <v>2.4733796301006805E-2</v>
      </c>
      <c r="N19" s="7">
        <f t="shared" si="14"/>
        <v>35.616666673449799</v>
      </c>
      <c r="O19" s="7"/>
      <c r="P19" s="7"/>
      <c r="Q19" s="29"/>
      <c r="R19" s="29"/>
      <c r="S19" s="47">
        <f t="shared" si="2"/>
        <v>1</v>
      </c>
      <c r="T19" s="75" t="str">
        <f t="shared" si="3"/>
        <v>NorthBound</v>
      </c>
      <c r="U19" s="114">
        <f>COUNTIFS(Variables!$M$2:$M$19,IF(T19="NorthBound","&gt;=","&lt;=")&amp;Y19,Variables!$M$2:$M$19,IF(T19="NorthBound","&lt;=","&gt;=")&amp;Z19)</f>
        <v>12</v>
      </c>
      <c r="V19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04:28:08-0600',mode:absolute,to:'2016-07-08 05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80" t="str">
        <f t="shared" si="5"/>
        <v>N</v>
      </c>
      <c r="X19" s="104">
        <f t="shared" si="13"/>
        <v>1</v>
      </c>
      <c r="Y19" s="101">
        <f t="shared" si="6"/>
        <v>4.4400000000000002E-2</v>
      </c>
      <c r="Z19" s="101">
        <f t="shared" si="7"/>
        <v>23.3306</v>
      </c>
      <c r="AA19" s="101">
        <f t="shared" si="8"/>
        <v>23.286200000000001</v>
      </c>
      <c r="AB19" s="98" t="e">
        <f>VLOOKUP(A19,Enforcements!$C$7:$J$27,8,0)</f>
        <v>#N/A</v>
      </c>
      <c r="AC19" s="94" t="e">
        <f>VLOOKUP(A19,Enforcements!$C$7:$E$27,3,0)</f>
        <v>#N/A</v>
      </c>
      <c r="AD19" s="95" t="str">
        <f t="shared" si="9"/>
        <v>0107-08</v>
      </c>
      <c r="AE19" s="81" t="str">
        <f t="shared" si="10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9" s="81" t="str">
        <f t="shared" si="11"/>
        <v>"C:\Program Files (x86)\AstroGrep\AstroGrep.exe" /spath="C:\Users\stu\Documents\Analysis\2016-02-23 RTDC Observations" /stypes="*4040*20160708*" /stext=" 10:.+((prompt.+disp)|(slice.+state.+chan)|(ment ac)|(system.+state.+chan)|(\|lc)|(penalty)|(\[timeout))" /e /r /s</v>
      </c>
      <c r="AG19" s="1" t="str">
        <f t="shared" si="12"/>
        <v>EC</v>
      </c>
    </row>
    <row r="20" spans="1:33" s="1" customFormat="1" x14ac:dyDescent="0.25">
      <c r="A20" s="53" t="s">
        <v>354</v>
      </c>
      <c r="B20" s="7">
        <v>4039</v>
      </c>
      <c r="C20" s="28" t="s">
        <v>60</v>
      </c>
      <c r="D20" s="28" t="s">
        <v>429</v>
      </c>
      <c r="E20" s="17">
        <v>42559.223043981481</v>
      </c>
      <c r="F20" s="17">
        <v>42559.224305555559</v>
      </c>
      <c r="G20" s="7">
        <v>1</v>
      </c>
      <c r="H20" s="17" t="s">
        <v>112</v>
      </c>
      <c r="I20" s="17">
        <v>42559.251736111109</v>
      </c>
      <c r="J20" s="7">
        <v>0</v>
      </c>
      <c r="K20" s="28" t="str">
        <f t="shared" si="0"/>
        <v>4039/4040</v>
      </c>
      <c r="L20" s="28" t="str">
        <f>VLOOKUP(A20,'Trips&amp;Operators'!$C$1:$E$10000,3,FALSE)</f>
        <v>STARKS</v>
      </c>
      <c r="M20" s="6">
        <f t="shared" si="1"/>
        <v>2.7430555550381541E-2</v>
      </c>
      <c r="N20" s="7">
        <f t="shared" si="14"/>
        <v>39.499999992549419</v>
      </c>
      <c r="O20" s="7"/>
      <c r="P20" s="7"/>
      <c r="Q20" s="29"/>
      <c r="R20" s="29"/>
      <c r="S20" s="47">
        <f t="shared" si="2"/>
        <v>1</v>
      </c>
      <c r="T20" s="75" t="str">
        <f t="shared" si="3"/>
        <v>Southbound</v>
      </c>
      <c r="U20" s="114">
        <f>COUNTIFS(Variables!$M$2:$M$19,IF(T20="NorthBound","&gt;=","&lt;=")&amp;Y20,Variables!$M$2:$M$19,IF(T20="NorthBound","&lt;=","&gt;=")&amp;Z20)</f>
        <v>12</v>
      </c>
      <c r="V20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05:20:11-0600',mode:absolute,to:'2016-07-08 06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80" t="str">
        <f t="shared" si="5"/>
        <v>N</v>
      </c>
      <c r="X20" s="104">
        <f t="shared" si="13"/>
        <v>1</v>
      </c>
      <c r="Y20" s="101">
        <f t="shared" si="6"/>
        <v>23.298300000000001</v>
      </c>
      <c r="Z20" s="101">
        <f t="shared" si="7"/>
        <v>1.43E-2</v>
      </c>
      <c r="AA20" s="101">
        <f t="shared" si="8"/>
        <v>23.284000000000002</v>
      </c>
      <c r="AB20" s="98" t="e">
        <f>VLOOKUP(A20,Enforcements!$C$7:$J$27,8,0)</f>
        <v>#N/A</v>
      </c>
      <c r="AC20" s="94" t="e">
        <f>VLOOKUP(A20,Enforcements!$C$7:$E$27,3,0)</f>
        <v>#N/A</v>
      </c>
      <c r="AD20" s="95" t="str">
        <f t="shared" si="9"/>
        <v>0108-08</v>
      </c>
      <c r="AE20" s="81" t="str">
        <f t="shared" si="10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20" s="81" t="str">
        <f t="shared" si="11"/>
        <v>"C:\Program Files (x86)\AstroGrep\AstroGrep.exe" /spath="C:\Users\stu\Documents\Analysis\2016-02-23 RTDC Observations" /stypes="*4039*20160708*" /stext=" 11:.+((prompt.+disp)|(slice.+state.+chan)|(ment ac)|(system.+state.+chan)|(\|lc)|(penalty)|(\[timeout))" /e /r /s</v>
      </c>
      <c r="AG20" s="1" t="str">
        <f t="shared" si="12"/>
        <v>EC</v>
      </c>
    </row>
    <row r="21" spans="1:33" s="1" customFormat="1" x14ac:dyDescent="0.25">
      <c r="A21" s="53" t="s">
        <v>334</v>
      </c>
      <c r="B21" s="7">
        <v>4014</v>
      </c>
      <c r="C21" s="28" t="s">
        <v>60</v>
      </c>
      <c r="D21" s="28" t="s">
        <v>192</v>
      </c>
      <c r="E21" s="17">
        <v>42559.197129629632</v>
      </c>
      <c r="F21" s="17">
        <v>42559.198182870372</v>
      </c>
      <c r="G21" s="7">
        <v>1</v>
      </c>
      <c r="H21" s="17" t="s">
        <v>430</v>
      </c>
      <c r="I21" s="17">
        <v>42559.223321759258</v>
      </c>
      <c r="J21" s="7">
        <v>0</v>
      </c>
      <c r="K21" s="28" t="str">
        <f t="shared" si="0"/>
        <v>4013/4014</v>
      </c>
      <c r="L21" s="28" t="str">
        <f>VLOOKUP(A21,'Trips&amp;Operators'!$C$1:$E$10000,3,FALSE)</f>
        <v>MALAVE</v>
      </c>
      <c r="M21" s="6">
        <f t="shared" si="1"/>
        <v>2.5138888886431232E-2</v>
      </c>
      <c r="N21" s="7"/>
      <c r="O21" s="7"/>
      <c r="P21" s="7">
        <f>24*60*SUM($M21:$M21)</f>
        <v>36.199999996460974</v>
      </c>
      <c r="Q21" s="29"/>
      <c r="R21" s="29" t="s">
        <v>136</v>
      </c>
      <c r="S21" s="47">
        <f t="shared" si="2"/>
        <v>1</v>
      </c>
      <c r="T21" s="75" t="str">
        <f t="shared" si="3"/>
        <v>NorthBound</v>
      </c>
      <c r="U21" s="114">
        <f>COUNTIFS(Variables!$M$2:$M$19,IF(T21="NorthBound","&gt;=","&lt;=")&amp;Y21,Variables!$M$2:$M$19,IF(T21="NorthBound","&lt;=","&gt;=")&amp;Z21)</f>
        <v>12</v>
      </c>
      <c r="V21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04:42:52-0600',mode:absolute,to:'2016-07-08 05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1" s="80" t="str">
        <f t="shared" si="5"/>
        <v>Y</v>
      </c>
      <c r="X21" s="104">
        <f t="shared" si="13"/>
        <v>1</v>
      </c>
      <c r="Y21" s="101">
        <f t="shared" si="6"/>
        <v>4.58E-2</v>
      </c>
      <c r="Z21" s="101">
        <f t="shared" si="7"/>
        <v>22.643599999999999</v>
      </c>
      <c r="AA21" s="101">
        <f t="shared" si="8"/>
        <v>22.597799999999999</v>
      </c>
      <c r="AB21" s="98" t="e">
        <f>VLOOKUP(A21,Enforcements!$C$7:$J$27,8,0)</f>
        <v>#N/A</v>
      </c>
      <c r="AC21" s="94" t="e">
        <f>VLOOKUP(A21,Enforcements!$C$7:$E$27,3,0)</f>
        <v>#N/A</v>
      </c>
      <c r="AD21" s="95" t="str">
        <f t="shared" si="9"/>
        <v>0109-08</v>
      </c>
      <c r="AE21" s="81" t="str">
        <f t="shared" si="10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21" s="81" t="str">
        <f t="shared" si="11"/>
        <v>"C:\Program Files (x86)\AstroGrep\AstroGrep.exe" /spath="C:\Users\stu\Documents\Analysis\2016-02-23 RTDC Observations" /stypes="*4014*20160708*" /stext=" 10:.+((prompt.+disp)|(slice.+state.+chan)|(ment ac)|(system.+state.+chan)|(\|lc)|(penalty)|(\[timeout))" /e /r /s</v>
      </c>
      <c r="AG21" s="1" t="str">
        <f t="shared" si="12"/>
        <v>EC</v>
      </c>
    </row>
    <row r="22" spans="1:33" s="41" customFormat="1" x14ac:dyDescent="0.25">
      <c r="A22" s="53" t="s">
        <v>346</v>
      </c>
      <c r="B22" s="7">
        <v>4013</v>
      </c>
      <c r="C22" s="28" t="s">
        <v>60</v>
      </c>
      <c r="D22" s="28" t="s">
        <v>431</v>
      </c>
      <c r="E22" s="17">
        <v>42559.234282407408</v>
      </c>
      <c r="F22" s="17">
        <v>42559.235173611109</v>
      </c>
      <c r="G22" s="7">
        <v>1</v>
      </c>
      <c r="H22" s="17" t="s">
        <v>61</v>
      </c>
      <c r="I22" s="17">
        <v>42559.263043981482</v>
      </c>
      <c r="J22" s="7">
        <v>1</v>
      </c>
      <c r="K22" s="28" t="str">
        <f t="shared" si="0"/>
        <v>4013/4014</v>
      </c>
      <c r="L22" s="28" t="str">
        <f>VLOOKUP(A22,'Trips&amp;Operators'!$C$1:$E$10000,3,FALSE)</f>
        <v>MALAVE</v>
      </c>
      <c r="M22" s="6">
        <f t="shared" si="1"/>
        <v>2.7870370373420883E-2</v>
      </c>
      <c r="N22" s="7">
        <f t="shared" ref="N22:N58" si="15">24*60*SUM($M22:$M22)</f>
        <v>40.133333337726071</v>
      </c>
      <c r="O22" s="7"/>
      <c r="P22" s="7"/>
      <c r="Q22" s="29"/>
      <c r="R22" s="29"/>
      <c r="S22" s="47">
        <f t="shared" si="2"/>
        <v>1</v>
      </c>
      <c r="T22" s="75" t="str">
        <f t="shared" si="3"/>
        <v>Southbound</v>
      </c>
      <c r="U22" s="114">
        <f>COUNTIFS(Variables!$M$2:$M$19,IF(T22="NorthBound","&gt;=","&lt;=")&amp;Y22,Variables!$M$2:$M$19,IF(T22="NorthBound","&lt;=","&gt;=")&amp;Z22)</f>
        <v>12</v>
      </c>
      <c r="V22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05:36:22-0600',mode:absolute,to:'2016-07-08 06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2" s="80" t="str">
        <f t="shared" si="5"/>
        <v>N</v>
      </c>
      <c r="X22" s="104">
        <f t="shared" si="13"/>
        <v>1</v>
      </c>
      <c r="Y22" s="101">
        <f t="shared" si="6"/>
        <v>23.296500000000002</v>
      </c>
      <c r="Z22" s="101">
        <f t="shared" si="7"/>
        <v>1.4500000000000001E-2</v>
      </c>
      <c r="AA22" s="101">
        <f t="shared" si="8"/>
        <v>23.282</v>
      </c>
      <c r="AB22" s="98">
        <f>VLOOKUP(A22,Enforcements!$C$7:$J$27,8,0)</f>
        <v>21848</v>
      </c>
      <c r="AC22" s="94" t="str">
        <f>VLOOKUP(A22,Enforcements!$C$7:$E$27,3,0)</f>
        <v>PERMANENT SPEED RESTRICTION</v>
      </c>
      <c r="AD22" s="95" t="str">
        <f t="shared" si="9"/>
        <v>0110-08</v>
      </c>
      <c r="AE22" s="81" t="str">
        <f t="shared" si="10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22" s="81" t="str">
        <f t="shared" si="11"/>
        <v>"C:\Program Files (x86)\AstroGrep\AstroGrep.exe" /spath="C:\Users\stu\Documents\Analysis\2016-02-23 RTDC Observations" /stypes="*4013*20160708*" /stext=" 11:.+((prompt.+disp)|(slice.+state.+chan)|(ment ac)|(system.+state.+chan)|(\|lc)|(penalty)|(\[timeout))" /e /r /s</v>
      </c>
      <c r="AG22" s="1" t="str">
        <f t="shared" ref="AG22:AG88" si="16">IF(VALUE(LEFT(A22,3))&lt;300,"EC","NWGL")</f>
        <v>EC</v>
      </c>
    </row>
    <row r="23" spans="1:33" s="1" customFormat="1" x14ac:dyDescent="0.25">
      <c r="A23" s="53" t="s">
        <v>344</v>
      </c>
      <c r="B23" s="7">
        <v>4011</v>
      </c>
      <c r="C23" s="28" t="s">
        <v>60</v>
      </c>
      <c r="D23" s="28" t="s">
        <v>267</v>
      </c>
      <c r="E23" s="17">
        <v>42559.205300925925</v>
      </c>
      <c r="F23" s="17">
        <v>42559.206863425927</v>
      </c>
      <c r="G23" s="7">
        <v>2</v>
      </c>
      <c r="H23" s="17" t="s">
        <v>432</v>
      </c>
      <c r="I23" s="17">
        <v>42559.233136574076</v>
      </c>
      <c r="J23" s="7">
        <v>0</v>
      </c>
      <c r="K23" s="28" t="str">
        <f t="shared" si="0"/>
        <v>4011/4012</v>
      </c>
      <c r="L23" s="28" t="str">
        <f>VLOOKUP(A23,'Trips&amp;Operators'!$C$1:$E$10000,3,FALSE)</f>
        <v>MOSES</v>
      </c>
      <c r="M23" s="6">
        <f t="shared" si="1"/>
        <v>2.6273148148902692E-2</v>
      </c>
      <c r="N23" s="7">
        <f t="shared" si="15"/>
        <v>37.833333334419876</v>
      </c>
      <c r="O23" s="7"/>
      <c r="P23" s="7"/>
      <c r="Q23" s="29"/>
      <c r="R23" s="29"/>
      <c r="S23" s="47">
        <f t="shared" si="2"/>
        <v>1</v>
      </c>
      <c r="T23" s="75" t="str">
        <f t="shared" si="3"/>
        <v>NorthBound</v>
      </c>
      <c r="U23" s="114">
        <f>COUNTIFS(Variables!$M$2:$M$19,IF(T23="NorthBound","&gt;=","&lt;=")&amp;Y23,Variables!$M$2:$M$19,IF(T23="NorthBound","&lt;=","&gt;=")&amp;Z23)</f>
        <v>12</v>
      </c>
      <c r="V23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04:54:38-0600',mode:absolute,to:'2016-07-08 05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80" t="str">
        <f t="shared" si="5"/>
        <v>N</v>
      </c>
      <c r="X23" s="104">
        <f t="shared" si="13"/>
        <v>1</v>
      </c>
      <c r="Y23" s="101">
        <f t="shared" si="6"/>
        <v>6.8599999999999994E-2</v>
      </c>
      <c r="Z23" s="101">
        <f t="shared" si="7"/>
        <v>23.333100000000002</v>
      </c>
      <c r="AA23" s="101">
        <f t="shared" si="8"/>
        <v>23.264500000000002</v>
      </c>
      <c r="AB23" s="98" t="e">
        <f>VLOOKUP(A23,Enforcements!$C$7:$J$27,8,0)</f>
        <v>#N/A</v>
      </c>
      <c r="AC23" s="94" t="e">
        <f>VLOOKUP(A23,Enforcements!$C$7:$E$27,3,0)</f>
        <v>#N/A</v>
      </c>
      <c r="AD23" s="95" t="str">
        <f t="shared" si="9"/>
        <v>0111-08</v>
      </c>
      <c r="AE23" s="81" t="str">
        <f t="shared" ref="AE23:AE37" si="17">"aws s3 cp "&amp;s3_bucket&amp;"/RTDC"&amp;B23&amp;"/"&amp;TEXT(F23,"YYYY-MM-DD")&amp;"/ "&amp;search_path&amp;"\RTDC"&amp;B23&amp;"\"&amp;TEXT(F23,"YYYY-MM-DD")&amp;" --recursive &amp; """&amp;walkandungz&amp;""" "&amp;search_path&amp;"\RTDC"&amp;B23&amp;"\"&amp;TEXT(F23,"YYYY-MM-DD")
&amp;" &amp; "&amp;"aws s3 cp "&amp;s3_bucket&amp;"/RTDC"&amp;B23&amp;"/"&amp;TEXT(F23+1,"YYYY-MM-DD")&amp;"/ "&amp;search_path&amp;"\RTDC"&amp;B23&amp;"\"&amp;TEXT(F23+1,"YYYY-MM-DD")&amp;" --recursive &amp; """&amp;walkandungz&amp;""" "&amp;search_path&amp;"\RTDC"&amp;B23&amp;"\"&amp;TEXT(F23+1,"YYYY-MM-DD")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23" s="81" t="str">
        <f t="shared" ref="AF23:AF37" si="18">astrogrep_path&amp;" /spath="&amp;search_path&amp;" /stypes=""*"&amp;B23&amp;"*"&amp;TEXT(F23-utc_offset/24,"YYYYMMDD")&amp;"*"" /stext="" "&amp;TEXT(F23-utc_offset/24,"HH")&amp;search_regexp&amp;""" /e /r /s"</f>
        <v>"C:\Program Files (x86)\AstroGrep\AstroGrep.exe" /spath="C:\Users\stu\Documents\Analysis\2016-02-23 RTDC Observations" /stypes="*4011*20160708*" /stext=" 10:.+((prompt.+disp)|(slice.+state.+chan)|(ment ac)|(system.+state.+chan)|(\|lc)|(penalty)|(\[timeout))" /e /r /s</v>
      </c>
      <c r="AG23" s="1" t="str">
        <f t="shared" si="16"/>
        <v>EC</v>
      </c>
    </row>
    <row r="24" spans="1:33" s="1" customFormat="1" ht="14.25" customHeight="1" x14ac:dyDescent="0.25">
      <c r="A24" s="53" t="s">
        <v>337</v>
      </c>
      <c r="B24" s="7">
        <v>4012</v>
      </c>
      <c r="C24" s="28" t="s">
        <v>60</v>
      </c>
      <c r="D24" s="28" t="s">
        <v>433</v>
      </c>
      <c r="E24" s="17">
        <v>42559.243437500001</v>
      </c>
      <c r="F24" s="17">
        <v>42559.244942129626</v>
      </c>
      <c r="G24" s="7">
        <v>2</v>
      </c>
      <c r="H24" s="17" t="s">
        <v>434</v>
      </c>
      <c r="I24" s="17">
        <v>42559.274363425924</v>
      </c>
      <c r="J24" s="7">
        <v>1</v>
      </c>
      <c r="K24" s="28" t="str">
        <f t="shared" si="0"/>
        <v>4011/4012</v>
      </c>
      <c r="L24" s="28" t="str">
        <f>VLOOKUP(A24,'Trips&amp;Operators'!$C$1:$E$10000,3,FALSE)</f>
        <v>MOSES</v>
      </c>
      <c r="M24" s="6">
        <f t="shared" si="1"/>
        <v>2.9421296298096422E-2</v>
      </c>
      <c r="N24" s="7">
        <f t="shared" si="15"/>
        <v>42.366666669258848</v>
      </c>
      <c r="O24" s="7"/>
      <c r="P24" s="7"/>
      <c r="Q24" s="29"/>
      <c r="R24" s="29"/>
      <c r="S24" s="47">
        <f t="shared" si="2"/>
        <v>1</v>
      </c>
      <c r="T24" s="75" t="str">
        <f t="shared" si="3"/>
        <v>Southbound</v>
      </c>
      <c r="U24" s="114">
        <f>COUNTIFS(Variables!$M$2:$M$19,IF(T24="NorthBound","&gt;=","&lt;=")&amp;Y24,Variables!$M$2:$M$19,IF(T24="NorthBound","&lt;=","&gt;=")&amp;Z24)</f>
        <v>12</v>
      </c>
      <c r="V2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05:49:33-0600',mode:absolute,to:'2016-07-08 06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80" t="str">
        <f t="shared" si="5"/>
        <v>N</v>
      </c>
      <c r="X24" s="104">
        <f t="shared" si="13"/>
        <v>1</v>
      </c>
      <c r="Y24" s="101">
        <f t="shared" si="6"/>
        <v>23.301500000000001</v>
      </c>
      <c r="Z24" s="101">
        <f t="shared" si="7"/>
        <v>1.6500000000000001E-2</v>
      </c>
      <c r="AA24" s="101">
        <f t="shared" si="8"/>
        <v>23.285</v>
      </c>
      <c r="AB24" s="98" t="e">
        <f>VLOOKUP(A24,Enforcements!$C$7:$J$27,8,0)</f>
        <v>#N/A</v>
      </c>
      <c r="AC24" s="94" t="e">
        <f>VLOOKUP(A24,Enforcements!$C$7:$E$27,3,0)</f>
        <v>#N/A</v>
      </c>
      <c r="AD24" s="95" t="str">
        <f t="shared" si="9"/>
        <v>0112-08</v>
      </c>
      <c r="AE24" s="81" t="str">
        <f t="shared" si="17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24" s="81" t="str">
        <f t="shared" si="18"/>
        <v>"C:\Program Files (x86)\AstroGrep\AstroGrep.exe" /spath="C:\Users\stu\Documents\Analysis\2016-02-23 RTDC Observations" /stypes="*4012*20160708*" /stext=" 11:.+((prompt.+disp)|(slice.+state.+chan)|(ment ac)|(system.+state.+chan)|(\|lc)|(penalty)|(\[timeout))" /e /r /s</v>
      </c>
      <c r="AG24" s="1" t="str">
        <f t="shared" si="16"/>
        <v>EC</v>
      </c>
    </row>
    <row r="25" spans="1:33" s="1" customFormat="1" x14ac:dyDescent="0.25">
      <c r="A25" s="53" t="s">
        <v>352</v>
      </c>
      <c r="B25" s="7">
        <v>4027</v>
      </c>
      <c r="C25" s="28" t="s">
        <v>60</v>
      </c>
      <c r="D25" s="28" t="s">
        <v>117</v>
      </c>
      <c r="E25" s="17">
        <v>42559.205694444441</v>
      </c>
      <c r="F25" s="17">
        <v>42559.206770833334</v>
      </c>
      <c r="G25" s="7">
        <v>1</v>
      </c>
      <c r="H25" s="17" t="s">
        <v>435</v>
      </c>
      <c r="I25" s="17">
        <v>42559.243252314816</v>
      </c>
      <c r="J25" s="7">
        <v>0</v>
      </c>
      <c r="K25" s="28" t="str">
        <f t="shared" si="0"/>
        <v>4027/4028</v>
      </c>
      <c r="L25" s="28" t="str">
        <f>VLOOKUP(A25,'Trips&amp;Operators'!$C$1:$E$10000,3,FALSE)</f>
        <v>YORK</v>
      </c>
      <c r="M25" s="6">
        <f t="shared" si="1"/>
        <v>3.6481481482042E-2</v>
      </c>
      <c r="N25" s="7">
        <f t="shared" si="15"/>
        <v>52.53333333414048</v>
      </c>
      <c r="O25" s="7"/>
      <c r="P25" s="7"/>
      <c r="Q25" s="29"/>
      <c r="R25" s="29"/>
      <c r="S25" s="47">
        <f t="shared" si="2"/>
        <v>1</v>
      </c>
      <c r="T25" s="75" t="str">
        <f t="shared" si="3"/>
        <v>NorthBound</v>
      </c>
      <c r="U25" s="114">
        <f>COUNTIFS(Variables!$M$2:$M$19,IF(T25="NorthBound","&gt;=","&lt;=")&amp;Y25,Variables!$M$2:$M$19,IF(T25="NorthBound","&lt;=","&gt;=")&amp;Z25)</f>
        <v>12</v>
      </c>
      <c r="V25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04:55:12-0600',mode:absolute,to:'2016-07-08 05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80" t="str">
        <f t="shared" si="5"/>
        <v>N</v>
      </c>
      <c r="X25" s="104">
        <f t="shared" si="13"/>
        <v>1</v>
      </c>
      <c r="Y25" s="101">
        <f t="shared" si="6"/>
        <v>4.5100000000000001E-2</v>
      </c>
      <c r="Z25" s="101">
        <f t="shared" si="7"/>
        <v>23.328399999999998</v>
      </c>
      <c r="AA25" s="101">
        <f t="shared" si="8"/>
        <v>23.283299999999997</v>
      </c>
      <c r="AB25" s="98" t="e">
        <f>VLOOKUP(A25,Enforcements!$C$7:$J$27,8,0)</f>
        <v>#N/A</v>
      </c>
      <c r="AC25" s="94" t="e">
        <f>VLOOKUP(A25,Enforcements!$C$7:$E$27,3,0)</f>
        <v>#N/A</v>
      </c>
      <c r="AD25" s="95" t="str">
        <f t="shared" si="9"/>
        <v>0113-08</v>
      </c>
      <c r="AE25" s="81" t="str">
        <f t="shared" si="17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25" s="81" t="str">
        <f t="shared" si="18"/>
        <v>"C:\Program Files (x86)\AstroGrep\AstroGrep.exe" /spath="C:\Users\stu\Documents\Analysis\2016-02-23 RTDC Observations" /stypes="*4027*20160708*" /stext=" 10:.+((prompt.+disp)|(slice.+state.+chan)|(ment ac)|(system.+state.+chan)|(\|lc)|(penalty)|(\[timeout))" /e /r /s</v>
      </c>
      <c r="AG25" s="1" t="str">
        <f t="shared" si="16"/>
        <v>EC</v>
      </c>
    </row>
    <row r="26" spans="1:33" s="1" customFormat="1" x14ac:dyDescent="0.25">
      <c r="A26" s="53" t="s">
        <v>361</v>
      </c>
      <c r="B26" s="7">
        <v>4028</v>
      </c>
      <c r="C26" s="28" t="s">
        <v>60</v>
      </c>
      <c r="D26" s="28" t="s">
        <v>436</v>
      </c>
      <c r="E26" s="17">
        <v>42559.244155092594</v>
      </c>
      <c r="F26" s="17">
        <v>42559.244884259257</v>
      </c>
      <c r="G26" s="7">
        <v>1</v>
      </c>
      <c r="H26" s="17" t="s">
        <v>132</v>
      </c>
      <c r="I26" s="17">
        <v>42559.282824074071</v>
      </c>
      <c r="J26" s="7">
        <v>0</v>
      </c>
      <c r="K26" s="28" t="str">
        <f t="shared" si="0"/>
        <v>4027/4028</v>
      </c>
      <c r="L26" s="28" t="str">
        <f>VLOOKUP(A26,'Trips&amp;Operators'!$C$1:$E$10000,3,FALSE)</f>
        <v>YORK</v>
      </c>
      <c r="M26" s="6">
        <f t="shared" si="1"/>
        <v>3.7939814814308193E-2</v>
      </c>
      <c r="N26" s="7">
        <f t="shared" si="15"/>
        <v>54.633333332603797</v>
      </c>
      <c r="O26" s="7"/>
      <c r="P26" s="7"/>
      <c r="Q26" s="29"/>
      <c r="R26" s="29"/>
      <c r="S26" s="47">
        <f t="shared" si="2"/>
        <v>1</v>
      </c>
      <c r="T26" s="75" t="str">
        <f t="shared" si="3"/>
        <v>Southbound</v>
      </c>
      <c r="U26" s="114">
        <f>COUNTIFS(Variables!$M$2:$M$19,IF(T26="NorthBound","&gt;=","&lt;=")&amp;Y26,Variables!$M$2:$M$19,IF(T26="NorthBound","&lt;=","&gt;=")&amp;Z26)</f>
        <v>12</v>
      </c>
      <c r="V26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05:50:35-0600',mode:absolute,to:'2016-07-08 06:48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80" t="str">
        <f t="shared" si="5"/>
        <v>N</v>
      </c>
      <c r="X26" s="104">
        <f t="shared" si="13"/>
        <v>1</v>
      </c>
      <c r="Y26" s="101">
        <f t="shared" si="6"/>
        <v>23.2959</v>
      </c>
      <c r="Z26" s="101">
        <f t="shared" si="7"/>
        <v>1.5599999999999999E-2</v>
      </c>
      <c r="AA26" s="101">
        <f t="shared" si="8"/>
        <v>23.2803</v>
      </c>
      <c r="AB26" s="98" t="e">
        <f>VLOOKUP(A26,Enforcements!$C$7:$J$27,8,0)</f>
        <v>#N/A</v>
      </c>
      <c r="AC26" s="94" t="e">
        <f>VLOOKUP(A26,Enforcements!$C$7:$E$27,3,0)</f>
        <v>#N/A</v>
      </c>
      <c r="AD26" s="95" t="str">
        <f t="shared" si="9"/>
        <v>0114-08</v>
      </c>
      <c r="AE26" s="81" t="str">
        <f t="shared" si="17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26" s="81" t="str">
        <f t="shared" si="18"/>
        <v>"C:\Program Files (x86)\AstroGrep\AstroGrep.exe" /spath="C:\Users\stu\Documents\Analysis\2016-02-23 RTDC Observations" /stypes="*4028*20160708*" /stext=" 11:.+((prompt.+disp)|(slice.+state.+chan)|(ment ac)|(system.+state.+chan)|(\|lc)|(penalty)|(\[timeout))" /e /r /s</v>
      </c>
      <c r="AG26" s="1" t="str">
        <f t="shared" si="16"/>
        <v>EC</v>
      </c>
    </row>
    <row r="27" spans="1:33" s="1" customFormat="1" x14ac:dyDescent="0.25">
      <c r="A27" s="53" t="s">
        <v>360</v>
      </c>
      <c r="B27" s="7">
        <v>4016</v>
      </c>
      <c r="C27" s="28" t="s">
        <v>60</v>
      </c>
      <c r="D27" s="28" t="s">
        <v>437</v>
      </c>
      <c r="E27" s="17">
        <v>42559.230497685188</v>
      </c>
      <c r="F27" s="17">
        <v>42559.23164351852</v>
      </c>
      <c r="G27" s="7">
        <v>1</v>
      </c>
      <c r="H27" s="17" t="s">
        <v>201</v>
      </c>
      <c r="I27" s="17">
        <v>42559.25576388889</v>
      </c>
      <c r="J27" s="7">
        <v>0</v>
      </c>
      <c r="K27" s="28" t="str">
        <f t="shared" si="0"/>
        <v>4015/4016</v>
      </c>
      <c r="L27" s="28" t="str">
        <f>VLOOKUP(A27,'Trips&amp;Operators'!$C$1:$E$10000,3,FALSE)</f>
        <v>KILLION</v>
      </c>
      <c r="M27" s="6">
        <f t="shared" si="1"/>
        <v>2.4120370369928423E-2</v>
      </c>
      <c r="N27" s="7">
        <f t="shared" si="15"/>
        <v>34.73333333269693</v>
      </c>
      <c r="O27" s="7"/>
      <c r="P27" s="7"/>
      <c r="Q27" s="29"/>
      <c r="R27" s="29"/>
      <c r="S27" s="47">
        <f t="shared" si="2"/>
        <v>1</v>
      </c>
      <c r="T27" s="75" t="str">
        <f t="shared" si="3"/>
        <v>NorthBound</v>
      </c>
      <c r="U27" s="114">
        <f>COUNTIFS(Variables!$M$2:$M$19,IF(T27="NorthBound","&gt;=","&lt;=")&amp;Y27,Variables!$M$2:$M$19,IF(T27="NorthBound","&lt;=","&gt;=")&amp;Z27)</f>
        <v>12</v>
      </c>
      <c r="V27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05:30:55-0600',mode:absolute,to:'2016-07-08 06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7" s="80" t="str">
        <f t="shared" si="5"/>
        <v>N</v>
      </c>
      <c r="X27" s="104">
        <f t="shared" si="13"/>
        <v>1</v>
      </c>
      <c r="Y27" s="101">
        <f t="shared" si="6"/>
        <v>0.1154</v>
      </c>
      <c r="Z27" s="101">
        <f t="shared" si="7"/>
        <v>23.331499999999998</v>
      </c>
      <c r="AA27" s="101">
        <f t="shared" si="8"/>
        <v>23.216099999999997</v>
      </c>
      <c r="AB27" s="98" t="e">
        <f>VLOOKUP(A27,Enforcements!$C$7:$J$27,8,0)</f>
        <v>#N/A</v>
      </c>
      <c r="AC27" s="94" t="e">
        <f>VLOOKUP(A27,Enforcements!$C$7:$E$27,3,0)</f>
        <v>#N/A</v>
      </c>
      <c r="AD27" s="95" t="str">
        <f t="shared" si="9"/>
        <v>0115-08</v>
      </c>
      <c r="AE27" s="81" t="str">
        <f t="shared" si="17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27" s="81" t="str">
        <f t="shared" si="18"/>
        <v>"C:\Program Files (x86)\AstroGrep\AstroGrep.exe" /spath="C:\Users\stu\Documents\Analysis\2016-02-23 RTDC Observations" /stypes="*4016*20160708*" /stext=" 11:.+((prompt.+disp)|(slice.+state.+chan)|(ment ac)|(system.+state.+chan)|(\|lc)|(penalty)|(\[timeout))" /e /r /s</v>
      </c>
      <c r="AG27" s="1" t="str">
        <f t="shared" si="16"/>
        <v>EC</v>
      </c>
    </row>
    <row r="28" spans="1:33" s="1" customFormat="1" x14ac:dyDescent="0.25">
      <c r="A28" s="53" t="s">
        <v>349</v>
      </c>
      <c r="B28" s="7">
        <v>4015</v>
      </c>
      <c r="C28" s="28" t="s">
        <v>60</v>
      </c>
      <c r="D28" s="28" t="s">
        <v>166</v>
      </c>
      <c r="E28" s="17">
        <v>42559.257164351853</v>
      </c>
      <c r="F28" s="17">
        <v>42559.258009259262</v>
      </c>
      <c r="G28" s="7">
        <v>1</v>
      </c>
      <c r="H28" s="17" t="s">
        <v>438</v>
      </c>
      <c r="I28" s="17">
        <v>42559.293900462966</v>
      </c>
      <c r="J28" s="7">
        <v>2</v>
      </c>
      <c r="K28" s="28" t="str">
        <f t="shared" si="0"/>
        <v>4015/4016</v>
      </c>
      <c r="L28" s="28" t="str">
        <f>VLOOKUP(A28,'Trips&amp;Operators'!$C$1:$E$10000,3,FALSE)</f>
        <v>KILLION</v>
      </c>
      <c r="M28" s="6">
        <f t="shared" si="1"/>
        <v>3.5891203704522923E-2</v>
      </c>
      <c r="N28" s="7">
        <f t="shared" si="15"/>
        <v>51.683333334513009</v>
      </c>
      <c r="O28" s="7"/>
      <c r="P28" s="7"/>
      <c r="Q28" s="29"/>
      <c r="R28" s="29"/>
      <c r="S28" s="47">
        <f t="shared" si="2"/>
        <v>1</v>
      </c>
      <c r="T28" s="75" t="str">
        <f t="shared" si="3"/>
        <v>Southbound</v>
      </c>
      <c r="U28" s="114">
        <f>COUNTIFS(Variables!$M$2:$M$19,IF(T28="NorthBound","&gt;=","&lt;=")&amp;Y28,Variables!$M$2:$M$19,IF(T28="NorthBound","&lt;=","&gt;=")&amp;Z28)</f>
        <v>12</v>
      </c>
      <c r="V28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8" s="80" t="str">
        <f t="shared" si="5"/>
        <v>N</v>
      </c>
      <c r="X28" s="104">
        <f t="shared" si="13"/>
        <v>1</v>
      </c>
      <c r="Y28" s="101">
        <f t="shared" si="6"/>
        <v>23.299399999999999</v>
      </c>
      <c r="Z28" s="101">
        <f t="shared" si="7"/>
        <v>1.7399999999999999E-2</v>
      </c>
      <c r="AA28" s="101">
        <f t="shared" si="8"/>
        <v>23.282</v>
      </c>
      <c r="AB28" s="98" t="e">
        <f>VLOOKUP(A28,Enforcements!$C$7:$J$27,8,0)</f>
        <v>#N/A</v>
      </c>
      <c r="AC28" s="94" t="e">
        <f>VLOOKUP(A28,Enforcements!$C$7:$E$27,3,0)</f>
        <v>#N/A</v>
      </c>
      <c r="AD28" s="95" t="str">
        <f t="shared" si="9"/>
        <v>0116-08</v>
      </c>
      <c r="AE28" s="81" t="str">
        <f t="shared" si="17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28" s="81" t="str">
        <f t="shared" si="18"/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AG28" s="1" t="str">
        <f t="shared" si="16"/>
        <v>EC</v>
      </c>
    </row>
    <row r="29" spans="1:33" s="1" customFormat="1" x14ac:dyDescent="0.25">
      <c r="A29" s="53" t="s">
        <v>347</v>
      </c>
      <c r="B29" s="7">
        <v>4025</v>
      </c>
      <c r="C29" s="28" t="s">
        <v>60</v>
      </c>
      <c r="D29" s="28" t="s">
        <v>203</v>
      </c>
      <c r="E29" s="17">
        <v>42559.233275462961</v>
      </c>
      <c r="F29" s="17">
        <v>42559.234872685185</v>
      </c>
      <c r="G29" s="7">
        <v>2</v>
      </c>
      <c r="H29" s="17" t="s">
        <v>204</v>
      </c>
      <c r="I29" s="17">
        <v>42559.264733796299</v>
      </c>
      <c r="J29" s="7">
        <v>0</v>
      </c>
      <c r="K29" s="28" t="str">
        <f t="shared" si="0"/>
        <v>4025/4026</v>
      </c>
      <c r="L29" s="28" t="str">
        <f>VLOOKUP(A29,'Trips&amp;Operators'!$C$1:$E$10000,3,FALSE)</f>
        <v>STURGEON</v>
      </c>
      <c r="M29" s="6">
        <f t="shared" si="1"/>
        <v>2.9861111113859806E-2</v>
      </c>
      <c r="N29" s="7">
        <f t="shared" si="15"/>
        <v>43.000000003958121</v>
      </c>
      <c r="O29" s="7"/>
      <c r="P29" s="7"/>
      <c r="Q29" s="29"/>
      <c r="R29" s="29"/>
      <c r="S29" s="47">
        <f t="shared" si="2"/>
        <v>1</v>
      </c>
      <c r="T29" s="75" t="str">
        <f t="shared" si="3"/>
        <v>NorthBound</v>
      </c>
      <c r="U29" s="114">
        <f>COUNTIFS(Variables!$M$2:$M$19,IF(T29="NorthBound","&gt;=","&lt;=")&amp;Y29,Variables!$M$2:$M$19,IF(T29="NorthBound","&lt;=","&gt;=")&amp;Z29)</f>
        <v>12</v>
      </c>
      <c r="V29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05:34:55-0600',mode:absolute,to:'2016-07-08 06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9" s="80" t="str">
        <f t="shared" si="5"/>
        <v>N</v>
      </c>
      <c r="X29" s="104">
        <f t="shared" si="13"/>
        <v>1</v>
      </c>
      <c r="Y29" s="101">
        <f t="shared" si="6"/>
        <v>4.3799999999999999E-2</v>
      </c>
      <c r="Z29" s="101">
        <f t="shared" si="7"/>
        <v>23.330500000000001</v>
      </c>
      <c r="AA29" s="101">
        <f t="shared" si="8"/>
        <v>23.2867</v>
      </c>
      <c r="AB29" s="98" t="e">
        <f>VLOOKUP(A29,Enforcements!$C$7:$J$27,8,0)</f>
        <v>#N/A</v>
      </c>
      <c r="AC29" s="94" t="e">
        <f>VLOOKUP(A29,Enforcements!$C$7:$E$27,3,0)</f>
        <v>#N/A</v>
      </c>
      <c r="AD29" s="95" t="str">
        <f t="shared" si="9"/>
        <v>0117-08</v>
      </c>
      <c r="AE29" s="81" t="str">
        <f t="shared" si="17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29" s="81" t="str">
        <f t="shared" si="18"/>
        <v>"C:\Program Files (x86)\AstroGrep\AstroGrep.exe" /spath="C:\Users\stu\Documents\Analysis\2016-02-23 RTDC Observations" /stypes="*4025*20160708*" /stext=" 11:.+((prompt.+disp)|(slice.+state.+chan)|(ment ac)|(system.+state.+chan)|(\|lc)|(penalty)|(\[timeout))" /e /r /s</v>
      </c>
      <c r="AG29" s="1" t="str">
        <f t="shared" si="16"/>
        <v>EC</v>
      </c>
    </row>
    <row r="30" spans="1:33" s="1" customFormat="1" x14ac:dyDescent="0.25">
      <c r="A30" s="53" t="s">
        <v>358</v>
      </c>
      <c r="B30" s="7">
        <v>4026</v>
      </c>
      <c r="C30" s="28" t="s">
        <v>60</v>
      </c>
      <c r="D30" s="28" t="s">
        <v>439</v>
      </c>
      <c r="E30" s="17">
        <v>42559.268391203703</v>
      </c>
      <c r="F30" s="17">
        <v>42559.26972222222</v>
      </c>
      <c r="G30" s="7">
        <v>1</v>
      </c>
      <c r="H30" s="17" t="s">
        <v>248</v>
      </c>
      <c r="I30" s="17">
        <v>42559.30976851852</v>
      </c>
      <c r="J30" s="7">
        <v>0</v>
      </c>
      <c r="K30" s="28" t="str">
        <f t="shared" si="0"/>
        <v>4025/4026</v>
      </c>
      <c r="L30" s="28" t="str">
        <f>VLOOKUP(A30,'Trips&amp;Operators'!$C$1:$E$10000,3,FALSE)</f>
        <v>STURGEON</v>
      </c>
      <c r="M30" s="6">
        <f t="shared" si="1"/>
        <v>4.0046296300715767E-2</v>
      </c>
      <c r="N30" s="7">
        <f t="shared" si="15"/>
        <v>57.666666673030704</v>
      </c>
      <c r="O30" s="7"/>
      <c r="P30" s="7"/>
      <c r="Q30" s="29"/>
      <c r="R30" s="29"/>
      <c r="S30" s="47">
        <f t="shared" si="2"/>
        <v>1</v>
      </c>
      <c r="T30" s="75" t="str">
        <f t="shared" si="3"/>
        <v>Southbound</v>
      </c>
      <c r="U30" s="114">
        <f>COUNTIFS(Variables!$M$2:$M$19,IF(T30="NorthBound","&gt;=","&lt;=")&amp;Y30,Variables!$M$2:$M$19,IF(T30="NorthBound","&lt;=","&gt;=")&amp;Z30)</f>
        <v>12</v>
      </c>
      <c r="V30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06:25:29-0600',mode:absolute,to:'2016-07-08 07:27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0" s="80" t="str">
        <f t="shared" si="5"/>
        <v>N</v>
      </c>
      <c r="X30" s="104">
        <f t="shared" si="13"/>
        <v>1</v>
      </c>
      <c r="Y30" s="101">
        <f t="shared" si="6"/>
        <v>23.298400000000001</v>
      </c>
      <c r="Z30" s="101">
        <f t="shared" si="7"/>
        <v>1.6E-2</v>
      </c>
      <c r="AA30" s="101">
        <f t="shared" si="8"/>
        <v>23.282400000000003</v>
      </c>
      <c r="AB30" s="98" t="e">
        <f>VLOOKUP(A30,Enforcements!$C$7:$J$27,8,0)</f>
        <v>#N/A</v>
      </c>
      <c r="AC30" s="94" t="e">
        <f>VLOOKUP(A30,Enforcements!$C$7:$E$27,3,0)</f>
        <v>#N/A</v>
      </c>
      <c r="AD30" s="95" t="str">
        <f t="shared" si="9"/>
        <v>0118-08</v>
      </c>
      <c r="AE30" s="81" t="str">
        <f t="shared" si="17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30" s="81" t="str">
        <f t="shared" si="18"/>
        <v>"C:\Program Files (x86)\AstroGrep\AstroGrep.exe" /spath="C:\Users\stu\Documents\Analysis\2016-02-23 RTDC Observations" /stypes="*4026*20160708*" /stext=" 12:.+((prompt.+disp)|(slice.+state.+chan)|(ment ac)|(system.+state.+chan)|(\|lc)|(penalty)|(\[timeout))" /e /r /s</v>
      </c>
      <c r="AG30" s="1" t="str">
        <f t="shared" si="16"/>
        <v>EC</v>
      </c>
    </row>
    <row r="31" spans="1:33" s="1" customFormat="1" x14ac:dyDescent="0.25">
      <c r="A31" s="53" t="s">
        <v>356</v>
      </c>
      <c r="B31" s="7">
        <v>4044</v>
      </c>
      <c r="C31" s="28" t="s">
        <v>60</v>
      </c>
      <c r="D31" s="28" t="s">
        <v>440</v>
      </c>
      <c r="E31" s="17">
        <v>42559.248356481483</v>
      </c>
      <c r="F31" s="17">
        <v>42559.249363425923</v>
      </c>
      <c r="G31" s="7">
        <v>1</v>
      </c>
      <c r="H31" s="17" t="s">
        <v>289</v>
      </c>
      <c r="I31" s="17">
        <v>42559.275277777779</v>
      </c>
      <c r="J31" s="7">
        <v>0</v>
      </c>
      <c r="K31" s="28" t="str">
        <f t="shared" si="0"/>
        <v>4043/4044</v>
      </c>
      <c r="L31" s="28" t="str">
        <f>VLOOKUP(A31,'Trips&amp;Operators'!$C$1:$E$10000,3,FALSE)</f>
        <v>CANFIELD</v>
      </c>
      <c r="M31" s="6">
        <f t="shared" si="1"/>
        <v>2.5914351856044959E-2</v>
      </c>
      <c r="N31" s="7">
        <f t="shared" si="15"/>
        <v>37.316666672704741</v>
      </c>
      <c r="O31" s="7"/>
      <c r="P31" s="7"/>
      <c r="Q31" s="29"/>
      <c r="R31" s="29"/>
      <c r="S31" s="47">
        <f t="shared" si="2"/>
        <v>1</v>
      </c>
      <c r="T31" s="75" t="str">
        <f t="shared" si="3"/>
        <v>NorthBound</v>
      </c>
      <c r="U31" s="114">
        <f>COUNTIFS(Variables!$M$2:$M$19,IF(T31="NorthBound","&gt;=","&lt;=")&amp;Y31,Variables!$M$2:$M$19,IF(T31="NorthBound","&lt;=","&gt;=")&amp;Z31)</f>
        <v>12</v>
      </c>
      <c r="V31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05:56:38-0600',mode:absolute,to:'2016-07-08 06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1" s="80" t="str">
        <f t="shared" si="5"/>
        <v>N</v>
      </c>
      <c r="X31" s="104">
        <f t="shared" si="13"/>
        <v>1</v>
      </c>
      <c r="Y31" s="101">
        <f t="shared" si="6"/>
        <v>7.7200000000000005E-2</v>
      </c>
      <c r="Z31" s="101">
        <f t="shared" si="7"/>
        <v>23.332100000000001</v>
      </c>
      <c r="AA31" s="101">
        <f t="shared" si="8"/>
        <v>23.254899999999999</v>
      </c>
      <c r="AB31" s="98" t="e">
        <f>VLOOKUP(A31,Enforcements!$C$7:$J$27,8,0)</f>
        <v>#N/A</v>
      </c>
      <c r="AC31" s="94" t="e">
        <f>VLOOKUP(A31,Enforcements!$C$7:$E$27,3,0)</f>
        <v>#N/A</v>
      </c>
      <c r="AD31" s="95" t="str">
        <f t="shared" si="9"/>
        <v>0119-08</v>
      </c>
      <c r="AE31" s="81" t="str">
        <f t="shared" si="17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31" s="81" t="str">
        <f t="shared" si="18"/>
        <v>"C:\Program Files (x86)\AstroGrep\AstroGrep.exe" /spath="C:\Users\stu\Documents\Analysis\2016-02-23 RTDC Observations" /stypes="*4044*20160708*" /stext=" 11:.+((prompt.+disp)|(slice.+state.+chan)|(ment ac)|(system.+state.+chan)|(\|lc)|(penalty)|(\[timeout))" /e /r /s</v>
      </c>
      <c r="AG31" s="1" t="str">
        <f t="shared" si="16"/>
        <v>EC</v>
      </c>
    </row>
    <row r="32" spans="1:33" s="1" customFormat="1" x14ac:dyDescent="0.25">
      <c r="A32" s="53" t="s">
        <v>365</v>
      </c>
      <c r="B32" s="7">
        <v>4043</v>
      </c>
      <c r="C32" s="28" t="s">
        <v>60</v>
      </c>
      <c r="D32" s="28" t="s">
        <v>433</v>
      </c>
      <c r="E32" s="17">
        <v>42559.284594907411</v>
      </c>
      <c r="F32" s="17">
        <v>42559.285787037035</v>
      </c>
      <c r="G32" s="7">
        <v>1</v>
      </c>
      <c r="H32" s="17" t="s">
        <v>132</v>
      </c>
      <c r="I32" s="17">
        <v>42559.317569444444</v>
      </c>
      <c r="J32" s="7">
        <v>0</v>
      </c>
      <c r="K32" s="28" t="str">
        <f t="shared" si="0"/>
        <v>4043/4044</v>
      </c>
      <c r="L32" s="28" t="str">
        <f>VLOOKUP(A32,'Trips&amp;Operators'!$C$1:$E$10000,3,FALSE)</f>
        <v>CANFIELD</v>
      </c>
      <c r="M32" s="6">
        <f t="shared" si="1"/>
        <v>3.178240740817273E-2</v>
      </c>
      <c r="N32" s="7">
        <f t="shared" si="15"/>
        <v>45.766666667768732</v>
      </c>
      <c r="O32" s="7"/>
      <c r="P32" s="7"/>
      <c r="Q32" s="29"/>
      <c r="R32" s="29"/>
      <c r="S32" s="47">
        <f t="shared" si="2"/>
        <v>1</v>
      </c>
      <c r="T32" s="75" t="str">
        <f t="shared" si="3"/>
        <v>Southbound</v>
      </c>
      <c r="U32" s="114">
        <f>COUNTIFS(Variables!$M$2:$M$19,IF(T32="NorthBound","&gt;=","&lt;=")&amp;Y32,Variables!$M$2:$M$19,IF(T32="NorthBound","&lt;=","&gt;=")&amp;Z32)</f>
        <v>12</v>
      </c>
      <c r="V32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06:48:49-0600',mode:absolute,to:'2016-07-08 07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2" s="80" t="str">
        <f t="shared" si="5"/>
        <v>N</v>
      </c>
      <c r="X32" s="104">
        <f t="shared" si="13"/>
        <v>1</v>
      </c>
      <c r="Y32" s="101">
        <f t="shared" si="6"/>
        <v>23.301500000000001</v>
      </c>
      <c r="Z32" s="101">
        <f t="shared" si="7"/>
        <v>1.5599999999999999E-2</v>
      </c>
      <c r="AA32" s="101">
        <f t="shared" si="8"/>
        <v>23.285900000000002</v>
      </c>
      <c r="AB32" s="98" t="e">
        <f>VLOOKUP(A32,Enforcements!$C$7:$J$27,8,0)</f>
        <v>#N/A</v>
      </c>
      <c r="AC32" s="94" t="e">
        <f>VLOOKUP(A32,Enforcements!$C$7:$E$27,3,0)</f>
        <v>#N/A</v>
      </c>
      <c r="AD32" s="95" t="str">
        <f t="shared" si="9"/>
        <v>0120-08</v>
      </c>
      <c r="AE32" s="81" t="str">
        <f t="shared" si="17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32" s="81" t="str">
        <f t="shared" si="18"/>
        <v>"C:\Program Files (x86)\AstroGrep\AstroGrep.exe" /spath="C:\Users\stu\Documents\Analysis\2016-02-23 RTDC Observations" /stypes="*4043*20160708*" /stext=" 12:.+((prompt.+disp)|(slice.+state.+chan)|(ment ac)|(system.+state.+chan)|(\|lc)|(penalty)|(\[timeout))" /e /r /s</v>
      </c>
      <c r="AG32" s="1" t="str">
        <f t="shared" si="16"/>
        <v>EC</v>
      </c>
    </row>
    <row r="33" spans="1:33" s="1" customFormat="1" x14ac:dyDescent="0.25">
      <c r="A33" s="53" t="s">
        <v>364</v>
      </c>
      <c r="B33" s="7">
        <v>4040</v>
      </c>
      <c r="C33" s="28" t="s">
        <v>60</v>
      </c>
      <c r="D33" s="28" t="s">
        <v>159</v>
      </c>
      <c r="E33" s="17">
        <v>42559.257361111115</v>
      </c>
      <c r="F33" s="17">
        <v>42559.25818287037</v>
      </c>
      <c r="G33" s="7">
        <v>1</v>
      </c>
      <c r="H33" s="17" t="s">
        <v>441</v>
      </c>
      <c r="I33" s="17">
        <v>42559.285046296296</v>
      </c>
      <c r="J33" s="7">
        <v>1</v>
      </c>
      <c r="K33" s="28" t="str">
        <f t="shared" si="0"/>
        <v>4039/4040</v>
      </c>
      <c r="L33" s="28" t="str">
        <f>VLOOKUP(A33,'Trips&amp;Operators'!$C$1:$E$10000,3,FALSE)</f>
        <v>STARKS</v>
      </c>
      <c r="M33" s="6">
        <f t="shared" si="1"/>
        <v>2.6863425926421769E-2</v>
      </c>
      <c r="N33" s="7">
        <f t="shared" si="15"/>
        <v>38.683333334047347</v>
      </c>
      <c r="O33" s="7"/>
      <c r="P33" s="7"/>
      <c r="Q33" s="29"/>
      <c r="R33" s="29"/>
      <c r="S33" s="47">
        <f t="shared" si="2"/>
        <v>1</v>
      </c>
      <c r="T33" s="75" t="str">
        <f t="shared" si="3"/>
        <v>NorthBound</v>
      </c>
      <c r="U33" s="114">
        <f>COUNTIFS(Variables!$M$2:$M$19,IF(T33="NorthBound","&gt;=","&lt;=")&amp;Y33,Variables!$M$2:$M$19,IF(T33="NorthBound","&lt;=","&gt;=")&amp;Z33)</f>
        <v>12</v>
      </c>
      <c r="V33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06:09:36-0600',mode:absolute,to:'2016-07-08 06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80" t="str">
        <f t="shared" si="5"/>
        <v>N</v>
      </c>
      <c r="X33" s="104">
        <f t="shared" si="13"/>
        <v>1</v>
      </c>
      <c r="Y33" s="101">
        <f t="shared" si="6"/>
        <v>4.3499999999999997E-2</v>
      </c>
      <c r="Z33" s="101">
        <f t="shared" si="7"/>
        <v>23.329899999999999</v>
      </c>
      <c r="AA33" s="101">
        <f t="shared" si="8"/>
        <v>23.286399999999997</v>
      </c>
      <c r="AB33" s="98">
        <f>VLOOKUP(A33,Enforcements!$C$7:$J$27,8,0)</f>
        <v>224578</v>
      </c>
      <c r="AC33" s="94" t="str">
        <f>VLOOKUP(A33,Enforcements!$C$7:$E$27,3,0)</f>
        <v>PERMANENT SPEED RESTRICTION</v>
      </c>
      <c r="AD33" s="95" t="str">
        <f t="shared" si="9"/>
        <v>0121-08</v>
      </c>
      <c r="AE33" s="81" t="str">
        <f t="shared" si="17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33" s="81" t="str">
        <f t="shared" si="18"/>
        <v>"C:\Program Files (x86)\AstroGrep\AstroGrep.exe" /spath="C:\Users\stu\Documents\Analysis\2016-02-23 RTDC Observations" /stypes="*4040*20160708*" /stext=" 12:.+((prompt.+disp)|(slice.+state.+chan)|(ment ac)|(system.+state.+chan)|(\|lc)|(penalty)|(\[timeout))" /e /r /s</v>
      </c>
      <c r="AG33" s="1" t="str">
        <f t="shared" si="16"/>
        <v>EC</v>
      </c>
    </row>
    <row r="34" spans="1:33" s="1" customFormat="1" x14ac:dyDescent="0.25">
      <c r="A34" s="53" t="s">
        <v>366</v>
      </c>
      <c r="B34" s="7">
        <v>4039</v>
      </c>
      <c r="C34" s="28" t="s">
        <v>60</v>
      </c>
      <c r="D34" s="28" t="s">
        <v>205</v>
      </c>
      <c r="E34" s="17">
        <v>42559.297673611109</v>
      </c>
      <c r="F34" s="17">
        <v>42559.298726851855</v>
      </c>
      <c r="G34" s="7">
        <v>1</v>
      </c>
      <c r="H34" s="17" t="s">
        <v>154</v>
      </c>
      <c r="I34" s="17">
        <v>42559.325428240743</v>
      </c>
      <c r="J34" s="7">
        <v>1</v>
      </c>
      <c r="K34" s="28" t="str">
        <f t="shared" si="0"/>
        <v>4039/4040</v>
      </c>
      <c r="L34" s="28" t="str">
        <f>VLOOKUP(A34,'Trips&amp;Operators'!$C$1:$E$10000,3,FALSE)</f>
        <v>STARKS</v>
      </c>
      <c r="M34" s="6">
        <f t="shared" si="1"/>
        <v>2.6701388887886424E-2</v>
      </c>
      <c r="N34" s="7">
        <f t="shared" si="15"/>
        <v>38.44999999855645</v>
      </c>
      <c r="O34" s="7"/>
      <c r="P34" s="7"/>
      <c r="Q34" s="29"/>
      <c r="R34" s="29"/>
      <c r="S34" s="47">
        <f t="shared" si="2"/>
        <v>1</v>
      </c>
      <c r="T34" s="75" t="str">
        <f t="shared" si="3"/>
        <v>Southbound</v>
      </c>
      <c r="U34" s="114">
        <f>COUNTIFS(Variables!$M$2:$M$19,IF(T34="NorthBound","&gt;=","&lt;=")&amp;Y34,Variables!$M$2:$M$19,IF(T34="NorthBound","&lt;=","&gt;=")&amp;Z34)</f>
        <v>12</v>
      </c>
      <c r="V3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07:07:39-0600',mode:absolute,to:'2016-07-08 07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80" t="str">
        <f t="shared" si="5"/>
        <v>N</v>
      </c>
      <c r="X34" s="104">
        <f t="shared" si="13"/>
        <v>1</v>
      </c>
      <c r="Y34" s="101">
        <f t="shared" si="6"/>
        <v>23.2971</v>
      </c>
      <c r="Z34" s="101">
        <f t="shared" si="7"/>
        <v>1.41E-2</v>
      </c>
      <c r="AA34" s="101">
        <f t="shared" si="8"/>
        <v>23.283000000000001</v>
      </c>
      <c r="AB34" s="98">
        <f>VLOOKUP(A34,Enforcements!$C$7:$J$27,8,0)</f>
        <v>229055</v>
      </c>
      <c r="AC34" s="94" t="str">
        <f>VLOOKUP(A34,Enforcements!$C$7:$E$27,3,0)</f>
        <v>PERMANENT SPEED RESTRICTION</v>
      </c>
      <c r="AD34" s="95" t="str">
        <f t="shared" si="9"/>
        <v>0122-08</v>
      </c>
      <c r="AE34" s="81" t="str">
        <f t="shared" si="17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34" s="81" t="str">
        <f t="shared" si="18"/>
        <v>"C:\Program Files (x86)\AstroGrep\AstroGrep.exe" /spath="C:\Users\stu\Documents\Analysis\2016-02-23 RTDC Observations" /stypes="*4039*20160708*" /stext=" 13:.+((prompt.+disp)|(slice.+state.+chan)|(ment ac)|(system.+state.+chan)|(\|lc)|(penalty)|(\[timeout))" /e /r /s</v>
      </c>
      <c r="AG34" s="1" t="str">
        <f t="shared" si="16"/>
        <v>EC</v>
      </c>
    </row>
    <row r="35" spans="1:33" s="1" customFormat="1" x14ac:dyDescent="0.25">
      <c r="A35" s="53" t="s">
        <v>362</v>
      </c>
      <c r="B35" s="7">
        <v>4014</v>
      </c>
      <c r="C35" s="28" t="s">
        <v>60</v>
      </c>
      <c r="D35" s="28" t="s">
        <v>247</v>
      </c>
      <c r="E35" s="17">
        <v>42559.273020833331</v>
      </c>
      <c r="F35" s="17">
        <v>42559.273842592593</v>
      </c>
      <c r="G35" s="7">
        <v>1</v>
      </c>
      <c r="H35" s="17" t="s">
        <v>442</v>
      </c>
      <c r="I35" s="17">
        <v>42559.298854166664</v>
      </c>
      <c r="J35" s="7">
        <v>1</v>
      </c>
      <c r="K35" s="28" t="str">
        <f t="shared" si="0"/>
        <v>4013/4014</v>
      </c>
      <c r="L35" s="28" t="str">
        <f>VLOOKUP(A35,'Trips&amp;Operators'!$C$1:$E$10000,3,FALSE)</f>
        <v>MALAVE</v>
      </c>
      <c r="M35" s="6">
        <f t="shared" si="1"/>
        <v>2.5011574070958886E-2</v>
      </c>
      <c r="N35" s="7">
        <f t="shared" si="15"/>
        <v>36.016666662180796</v>
      </c>
      <c r="O35" s="7"/>
      <c r="P35" s="7"/>
      <c r="Q35" s="29"/>
      <c r="R35" s="29"/>
      <c r="S35" s="47">
        <f t="shared" si="2"/>
        <v>1</v>
      </c>
      <c r="T35" s="75" t="str">
        <f t="shared" si="3"/>
        <v>NorthBound</v>
      </c>
      <c r="U35" s="114">
        <f>COUNTIFS(Variables!$M$2:$M$19,IF(T35="NorthBound","&gt;=","&lt;=")&amp;Y35,Variables!$M$2:$M$19,IF(T35="NorthBound","&lt;=","&gt;=")&amp;Z35)</f>
        <v>12</v>
      </c>
      <c r="V35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06:32:09-0600',mode:absolute,to:'2016-07-08 07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5" s="80" t="str">
        <f t="shared" si="5"/>
        <v>N</v>
      </c>
      <c r="X35" s="104">
        <f t="shared" si="13"/>
        <v>1</v>
      </c>
      <c r="Y35" s="101">
        <f t="shared" si="6"/>
        <v>4.4200000000000003E-2</v>
      </c>
      <c r="Z35" s="101">
        <f t="shared" si="7"/>
        <v>23.332699999999999</v>
      </c>
      <c r="AA35" s="101">
        <f t="shared" si="8"/>
        <v>23.288499999999999</v>
      </c>
      <c r="AB35" s="98">
        <f>VLOOKUP(A35,Enforcements!$C$7:$J$27,8,0)</f>
        <v>127562</v>
      </c>
      <c r="AC35" s="94" t="str">
        <f>VLOOKUP(A35,Enforcements!$C$7:$E$27,3,0)</f>
        <v>GRADE CROSSING</v>
      </c>
      <c r="AD35" s="95" t="str">
        <f t="shared" si="9"/>
        <v>0123-08</v>
      </c>
      <c r="AE35" s="81" t="str">
        <f t="shared" si="17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35" s="81" t="str">
        <f t="shared" si="18"/>
        <v>"C:\Program Files (x86)\AstroGrep\AstroGrep.exe" /spath="C:\Users\stu\Documents\Analysis\2016-02-23 RTDC Observations" /stypes="*4014*20160708*" /stext=" 12:.+((prompt.+disp)|(slice.+state.+chan)|(ment ac)|(system.+state.+chan)|(\|lc)|(penalty)|(\[timeout))" /e /r /s</v>
      </c>
      <c r="AG35" s="1" t="str">
        <f t="shared" si="16"/>
        <v>EC</v>
      </c>
    </row>
    <row r="36" spans="1:33" s="1" customFormat="1" x14ac:dyDescent="0.25">
      <c r="A36" s="53" t="s">
        <v>389</v>
      </c>
      <c r="B36" s="7">
        <v>4013</v>
      </c>
      <c r="C36" s="28" t="s">
        <v>60</v>
      </c>
      <c r="D36" s="28" t="s">
        <v>241</v>
      </c>
      <c r="E36" s="17">
        <v>42559.308599537035</v>
      </c>
      <c r="F36" s="17">
        <v>42559.309641203705</v>
      </c>
      <c r="G36" s="7">
        <v>1</v>
      </c>
      <c r="H36" s="17" t="s">
        <v>245</v>
      </c>
      <c r="I36" s="17">
        <v>42559.335196759261</v>
      </c>
      <c r="J36" s="7">
        <v>0</v>
      </c>
      <c r="K36" s="28" t="str">
        <f t="shared" si="0"/>
        <v>4013/4014</v>
      </c>
      <c r="L36" s="28" t="str">
        <f>VLOOKUP(A36,'Trips&amp;Operators'!$C$1:$E$10000,3,FALSE)</f>
        <v>MALAVE</v>
      </c>
      <c r="M36" s="6">
        <f t="shared" si="1"/>
        <v>2.5555555555911269E-2</v>
      </c>
      <c r="N36" s="7">
        <f t="shared" si="15"/>
        <v>36.800000000512227</v>
      </c>
      <c r="O36" s="7"/>
      <c r="P36" s="7"/>
      <c r="Q36" s="29"/>
      <c r="R36" s="29"/>
      <c r="S36" s="47">
        <f t="shared" si="2"/>
        <v>1</v>
      </c>
      <c r="T36" s="75" t="str">
        <f t="shared" si="3"/>
        <v>Southbound</v>
      </c>
      <c r="U36" s="114">
        <f>COUNTIFS(Variables!$M$2:$M$19,IF(T36="NorthBound","&gt;=","&lt;=")&amp;Y36,Variables!$M$2:$M$19,IF(T36="NorthBound","&lt;=","&gt;=")&amp;Z36)</f>
        <v>12</v>
      </c>
      <c r="V36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07:23:23-0600',mode:absolute,to:'2016-07-08 08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6" s="80" t="str">
        <f t="shared" si="5"/>
        <v>N</v>
      </c>
      <c r="X36" s="104">
        <f t="shared" si="13"/>
        <v>1</v>
      </c>
      <c r="Y36" s="101">
        <f t="shared" si="6"/>
        <v>23.299600000000002</v>
      </c>
      <c r="Z36" s="101">
        <f t="shared" si="7"/>
        <v>1.34E-2</v>
      </c>
      <c r="AA36" s="101">
        <f t="shared" si="8"/>
        <v>23.286200000000001</v>
      </c>
      <c r="AB36" s="98" t="e">
        <f>VLOOKUP(A36,Enforcements!$C$7:$J$27,8,0)</f>
        <v>#N/A</v>
      </c>
      <c r="AC36" s="94" t="e">
        <f>VLOOKUP(A36,Enforcements!$C$7:$E$27,3,0)</f>
        <v>#N/A</v>
      </c>
      <c r="AD36" s="95" t="str">
        <f t="shared" si="9"/>
        <v>0124-08</v>
      </c>
      <c r="AE36" s="81" t="str">
        <f t="shared" si="17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36" s="81" t="str">
        <f t="shared" si="18"/>
        <v>"C:\Program Files (x86)\AstroGrep\AstroGrep.exe" /spath="C:\Users\stu\Documents\Analysis\2016-02-23 RTDC Observations" /stypes="*4013*20160708*" /stext=" 13:.+((prompt.+disp)|(slice.+state.+chan)|(ment ac)|(system.+state.+chan)|(\|lc)|(penalty)|(\[timeout))" /e /r /s</v>
      </c>
      <c r="AG36" s="1" t="str">
        <f t="shared" si="16"/>
        <v>EC</v>
      </c>
    </row>
    <row r="37" spans="1:33" s="1" customFormat="1" x14ac:dyDescent="0.25">
      <c r="A37" s="53" t="s">
        <v>343</v>
      </c>
      <c r="B37" s="7">
        <v>4011</v>
      </c>
      <c r="C37" s="28" t="s">
        <v>60</v>
      </c>
      <c r="D37" s="28" t="s">
        <v>443</v>
      </c>
      <c r="E37" s="17">
        <v>42559.275821759256</v>
      </c>
      <c r="F37" s="17">
        <v>42559.277118055557</v>
      </c>
      <c r="G37" s="7">
        <v>1</v>
      </c>
      <c r="H37" s="17" t="s">
        <v>175</v>
      </c>
      <c r="I37" s="17">
        <v>42559.30574074074</v>
      </c>
      <c r="J37" s="7">
        <v>0</v>
      </c>
      <c r="K37" s="28" t="str">
        <f t="shared" si="0"/>
        <v>4011/4012</v>
      </c>
      <c r="L37" s="28" t="str">
        <f>VLOOKUP(A37,'Trips&amp;Operators'!$C$1:$E$10000,3,FALSE)</f>
        <v>MOSES</v>
      </c>
      <c r="M37" s="6">
        <f t="shared" si="1"/>
        <v>2.8622685182199348E-2</v>
      </c>
      <c r="N37" s="7">
        <f t="shared" si="15"/>
        <v>41.216666662367061</v>
      </c>
      <c r="O37" s="7"/>
      <c r="P37" s="7"/>
      <c r="Q37" s="29"/>
      <c r="R37" s="29"/>
      <c r="S37" s="47">
        <f t="shared" si="2"/>
        <v>1</v>
      </c>
      <c r="T37" s="75" t="str">
        <f t="shared" si="3"/>
        <v>NorthBound</v>
      </c>
      <c r="U37" s="114">
        <f>COUNTIFS(Variables!$M$2:$M$19,IF(T37="NorthBound","&gt;=","&lt;=")&amp;Y37,Variables!$M$2:$M$19,IF(T37="NorthBound","&lt;=","&gt;=")&amp;Z37)</f>
        <v>12</v>
      </c>
      <c r="V37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06:36:11-0600',mode:absolute,to:'2016-07-08 07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80" t="str">
        <f t="shared" si="5"/>
        <v>N</v>
      </c>
      <c r="X37" s="104">
        <f t="shared" si="13"/>
        <v>1</v>
      </c>
      <c r="Y37" s="101">
        <f t="shared" si="6"/>
        <v>4.7500000000000001E-2</v>
      </c>
      <c r="Z37" s="101">
        <f t="shared" si="7"/>
        <v>23.328900000000001</v>
      </c>
      <c r="AA37" s="101">
        <f t="shared" si="8"/>
        <v>23.281400000000001</v>
      </c>
      <c r="AB37" s="98" t="e">
        <f>VLOOKUP(A37,Enforcements!$C$7:$J$27,8,0)</f>
        <v>#N/A</v>
      </c>
      <c r="AC37" s="94" t="e">
        <f>VLOOKUP(A37,Enforcements!$C$7:$E$27,3,0)</f>
        <v>#N/A</v>
      </c>
      <c r="AD37" s="95" t="str">
        <f t="shared" si="9"/>
        <v>0125-08</v>
      </c>
      <c r="AE37" s="81" t="str">
        <f t="shared" si="17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37" s="81" t="str">
        <f t="shared" si="18"/>
        <v>"C:\Program Files (x86)\AstroGrep\AstroGrep.exe" /spath="C:\Users\stu\Documents\Analysis\2016-02-23 RTDC Observations" /stypes="*4011*20160708*" /stext=" 12:.+((prompt.+disp)|(slice.+state.+chan)|(ment ac)|(system.+state.+chan)|(\|lc)|(penalty)|(\[timeout))" /e /r /s</v>
      </c>
      <c r="AG37" s="1" t="str">
        <f t="shared" si="16"/>
        <v>EC</v>
      </c>
    </row>
    <row r="38" spans="1:33" s="1" customFormat="1" x14ac:dyDescent="0.25">
      <c r="A38" s="68" t="s">
        <v>416</v>
      </c>
      <c r="B38" s="7">
        <v>4012</v>
      </c>
      <c r="C38" s="28" t="s">
        <v>60</v>
      </c>
      <c r="D38" s="28" t="s">
        <v>444</v>
      </c>
      <c r="E38" s="17">
        <v>42559.314236111109</v>
      </c>
      <c r="F38" s="17">
        <v>42559.315671296295</v>
      </c>
      <c r="G38" s="7">
        <v>2</v>
      </c>
      <c r="H38" s="17" t="s">
        <v>72</v>
      </c>
      <c r="I38" s="17">
        <v>42559.346724537034</v>
      </c>
      <c r="J38" s="7">
        <v>0</v>
      </c>
      <c r="K38" s="28" t="str">
        <f t="shared" si="0"/>
        <v>4011/4012</v>
      </c>
      <c r="L38" s="28" t="str">
        <f>VLOOKUP(A38,'Trips&amp;Operators'!$C$1:$E$10000,3,FALSE)</f>
        <v>MOSES</v>
      </c>
      <c r="M38" s="6">
        <f t="shared" si="1"/>
        <v>3.1053240738401655E-2</v>
      </c>
      <c r="N38" s="7">
        <f t="shared" si="15"/>
        <v>44.716666663298383</v>
      </c>
      <c r="O38" s="7"/>
      <c r="P38" s="7"/>
      <c r="Q38" s="29"/>
      <c r="R38" s="29"/>
      <c r="S38" s="47">
        <f t="shared" si="2"/>
        <v>1</v>
      </c>
      <c r="T38" s="75" t="str">
        <f t="shared" si="3"/>
        <v>Southbound</v>
      </c>
      <c r="U38" s="114">
        <f>COUNTIFS(Variables!$M$2:$M$19,IF(T38="NorthBound","&gt;=","&lt;=")&amp;Y38,Variables!$M$2:$M$19,IF(T38="NorthBound","&lt;=","&gt;=")&amp;Z38)</f>
        <v>12</v>
      </c>
      <c r="V38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07:31:30-0600',mode:absolute,to:'2016-07-08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80" t="str">
        <f t="shared" si="5"/>
        <v>N</v>
      </c>
      <c r="X38" s="104">
        <f t="shared" si="13"/>
        <v>1</v>
      </c>
      <c r="Y38" s="101">
        <f t="shared" si="6"/>
        <v>23.296700000000001</v>
      </c>
      <c r="Z38" s="101">
        <f t="shared" si="7"/>
        <v>1.49E-2</v>
      </c>
      <c r="AA38" s="101">
        <f t="shared" si="8"/>
        <v>23.2818</v>
      </c>
      <c r="AB38" s="98" t="e">
        <f>VLOOKUP(A38,Enforcements!$C$7:$J$27,8,0)</f>
        <v>#N/A</v>
      </c>
      <c r="AC38" s="94" t="e">
        <f>VLOOKUP(A38,Enforcements!$C$7:$E$27,3,0)</f>
        <v>#N/A</v>
      </c>
      <c r="AD38" s="95" t="str">
        <f t="shared" si="9"/>
        <v>0126-08</v>
      </c>
      <c r="AE38" s="81" t="str">
        <f t="shared" ref="AE38:AE89" si="19">"aws s3 cp "&amp;s3_bucket&amp;"/RTDC"&amp;B38&amp;"/"&amp;TEXT(F38,"YYYY-MM-DD")&amp;"/ "&amp;search_path&amp;"\RTDC"&amp;B38&amp;"\"&amp;TEXT(F38,"YYYY-MM-DD")&amp;" --recursive &amp; """&amp;walkandungz&amp;""" "&amp;search_path&amp;"\RTDC"&amp;B38&amp;"\"&amp;TEXT(F38,"YYYY-MM-DD")
&amp;" &amp; "&amp;"aws s3 cp "&amp;s3_bucket&amp;"/RTDC"&amp;B38&amp;"/"&amp;TEXT(F38+1,"YYYY-MM-DD")&amp;"/ "&amp;search_path&amp;"\RTDC"&amp;B38&amp;"\"&amp;TEXT(F38+1,"YYYY-MM-DD")&amp;" --recursive &amp; """&amp;walkandungz&amp;""" "&amp;search_path&amp;"\RTDC"&amp;B38&amp;"\"&amp;TEXT(F38+1,"YYYY-MM-DD")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38" s="81" t="str">
        <f t="shared" ref="AF38:AF89" si="20">astrogrep_path&amp;" /spath="&amp;search_path&amp;" /stypes=""*"&amp;B38&amp;"*"&amp;TEXT(F38-utc_offset/24,"YYYYMMDD")&amp;"*"" /stext="" "&amp;TEXT(F38-utc_offset/24,"HH")&amp;search_regexp&amp;""" /e /r /s"</f>
        <v>"C:\Program Files (x86)\AstroGrep\AstroGrep.exe" /spath="C:\Users\stu\Documents\Analysis\2016-02-23 RTDC Observations" /stypes="*4012*20160708*" /stext=" 13:.+((prompt.+disp)|(slice.+state.+chan)|(ment ac)|(system.+state.+chan)|(\|lc)|(penalty)|(\[timeout))" /e /r /s</v>
      </c>
      <c r="AG38" s="1" t="str">
        <f t="shared" si="16"/>
        <v>EC</v>
      </c>
    </row>
    <row r="39" spans="1:33" s="1" customFormat="1" x14ac:dyDescent="0.25">
      <c r="A39" s="53" t="s">
        <v>415</v>
      </c>
      <c r="B39" s="7">
        <v>4027</v>
      </c>
      <c r="C39" s="28" t="s">
        <v>60</v>
      </c>
      <c r="D39" s="28" t="s">
        <v>244</v>
      </c>
      <c r="E39" s="17">
        <v>42559.285381944443</v>
      </c>
      <c r="F39" s="17">
        <v>42559.286481481482</v>
      </c>
      <c r="G39" s="7">
        <v>1</v>
      </c>
      <c r="H39" s="17" t="s">
        <v>445</v>
      </c>
      <c r="I39" s="17">
        <v>42559.31622685185</v>
      </c>
      <c r="J39" s="7">
        <v>0</v>
      </c>
      <c r="K39" s="28" t="str">
        <f t="shared" si="0"/>
        <v>4027/4028</v>
      </c>
      <c r="L39" s="28" t="str">
        <f>VLOOKUP(A39,'Trips&amp;Operators'!$C$1:$E$10000,3,FALSE)</f>
        <v>YORK</v>
      </c>
      <c r="M39" s="6">
        <f t="shared" si="1"/>
        <v>2.9745370367891155E-2</v>
      </c>
      <c r="N39" s="7">
        <f t="shared" si="15"/>
        <v>42.833333329763263</v>
      </c>
      <c r="O39" s="7"/>
      <c r="P39" s="7"/>
      <c r="Q39" s="29"/>
      <c r="R39" s="29"/>
      <c r="S39" s="47">
        <f t="shared" si="2"/>
        <v>1</v>
      </c>
      <c r="T39" s="75" t="str">
        <f t="shared" si="3"/>
        <v>NorthBound</v>
      </c>
      <c r="U39" s="114">
        <f>COUNTIFS(Variables!$M$2:$M$19,IF(T39="NorthBound","&gt;=","&lt;=")&amp;Y39,Variables!$M$2:$M$19,IF(T39="NorthBound","&lt;=","&gt;=")&amp;Z39)</f>
        <v>12</v>
      </c>
      <c r="V39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06:49:57-0600',mode:absolute,to:'2016-07-08 07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9" s="80" t="str">
        <f t="shared" si="5"/>
        <v>N</v>
      </c>
      <c r="X39" s="104">
        <f t="shared" si="13"/>
        <v>1</v>
      </c>
      <c r="Y39" s="101">
        <f t="shared" si="6"/>
        <v>4.8000000000000001E-2</v>
      </c>
      <c r="Z39" s="101">
        <f t="shared" si="7"/>
        <v>23.3276</v>
      </c>
      <c r="AA39" s="101">
        <f t="shared" si="8"/>
        <v>23.279600000000002</v>
      </c>
      <c r="AB39" s="98" t="e">
        <f>VLOOKUP(A39,Enforcements!$C$7:$J$27,8,0)</f>
        <v>#N/A</v>
      </c>
      <c r="AC39" s="94" t="e">
        <f>VLOOKUP(A39,Enforcements!$C$7:$E$27,3,0)</f>
        <v>#N/A</v>
      </c>
      <c r="AD39" s="95" t="str">
        <f t="shared" si="9"/>
        <v>0127-08</v>
      </c>
      <c r="AE39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39" s="81" t="str">
        <f t="shared" si="20"/>
        <v>"C:\Program Files (x86)\AstroGrep\AstroGrep.exe" /spath="C:\Users\stu\Documents\Analysis\2016-02-23 RTDC Observations" /stypes="*4027*20160708*" /stext=" 12:.+((prompt.+disp)|(slice.+state.+chan)|(ment ac)|(system.+state.+chan)|(\|lc)|(penalty)|(\[timeout))" /e /r /s</v>
      </c>
      <c r="AG39" s="1" t="str">
        <f t="shared" si="16"/>
        <v>EC</v>
      </c>
    </row>
    <row r="40" spans="1:33" s="1" customFormat="1" x14ac:dyDescent="0.25">
      <c r="A40" s="53" t="s">
        <v>393</v>
      </c>
      <c r="B40" s="7">
        <v>4028</v>
      </c>
      <c r="C40" s="28" t="s">
        <v>60</v>
      </c>
      <c r="D40" s="28" t="s">
        <v>240</v>
      </c>
      <c r="E40" s="17">
        <v>42559.320740740739</v>
      </c>
      <c r="F40" s="17">
        <v>42559.321469907409</v>
      </c>
      <c r="G40" s="7">
        <v>1</v>
      </c>
      <c r="H40" s="17" t="s">
        <v>132</v>
      </c>
      <c r="I40" s="17">
        <v>42559.355925925927</v>
      </c>
      <c r="J40" s="7">
        <v>0</v>
      </c>
      <c r="K40" s="28" t="str">
        <f t="shared" si="0"/>
        <v>4027/4028</v>
      </c>
      <c r="L40" s="28" t="str">
        <f>VLOOKUP(A40,'Trips&amp;Operators'!$C$1:$E$10000,3,FALSE)</f>
        <v>YORK</v>
      </c>
      <c r="M40" s="6">
        <f t="shared" si="1"/>
        <v>3.4456018518540077E-2</v>
      </c>
      <c r="N40" s="7">
        <f t="shared" si="15"/>
        <v>49.616666666697711</v>
      </c>
      <c r="O40" s="7"/>
      <c r="P40" s="7"/>
      <c r="Q40" s="29"/>
      <c r="R40" s="29"/>
      <c r="S40" s="47">
        <f t="shared" si="2"/>
        <v>1</v>
      </c>
      <c r="T40" s="75" t="str">
        <f t="shared" si="3"/>
        <v>Southbound</v>
      </c>
      <c r="U40" s="114">
        <f>COUNTIFS(Variables!$M$2:$M$19,IF(T40="NorthBound","&gt;=","&lt;=")&amp;Y40,Variables!$M$2:$M$19,IF(T40="NorthBound","&lt;=","&gt;=")&amp;Z40)</f>
        <v>12</v>
      </c>
      <c r="V40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07:40:52-0600',mode:absolute,to:'2016-07-08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0" s="80" t="str">
        <f t="shared" si="5"/>
        <v>N</v>
      </c>
      <c r="X40" s="104">
        <f t="shared" si="13"/>
        <v>1</v>
      </c>
      <c r="Y40" s="101">
        <f t="shared" si="6"/>
        <v>23.295999999999999</v>
      </c>
      <c r="Z40" s="101">
        <f t="shared" si="7"/>
        <v>1.5599999999999999E-2</v>
      </c>
      <c r="AA40" s="101">
        <f t="shared" si="8"/>
        <v>23.2804</v>
      </c>
      <c r="AB40" s="98" t="e">
        <f>VLOOKUP(A40,Enforcements!$C$7:$J$27,8,0)</f>
        <v>#N/A</v>
      </c>
      <c r="AC40" s="94" t="e">
        <f>VLOOKUP(A40,Enforcements!$C$7:$E$27,3,0)</f>
        <v>#N/A</v>
      </c>
      <c r="AD40" s="95" t="str">
        <f t="shared" si="9"/>
        <v>0128-08</v>
      </c>
      <c r="AE40" s="81" t="str">
        <f t="shared" si="1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40" s="81" t="str">
        <f t="shared" si="20"/>
        <v>"C:\Program Files (x86)\AstroGrep\AstroGrep.exe" /spath="C:\Users\stu\Documents\Analysis\2016-02-23 RTDC Observations" /stypes="*4028*20160708*" /stext=" 13:.+((prompt.+disp)|(slice.+state.+chan)|(ment ac)|(system.+state.+chan)|(\|lc)|(penalty)|(\[timeout))" /e /r /s</v>
      </c>
      <c r="AG40" s="1" t="str">
        <f t="shared" si="16"/>
        <v>EC</v>
      </c>
    </row>
    <row r="41" spans="1:33" s="1" customFormat="1" x14ac:dyDescent="0.25">
      <c r="A41" s="53" t="s">
        <v>409</v>
      </c>
      <c r="B41" s="7">
        <v>4016</v>
      </c>
      <c r="C41" s="28" t="s">
        <v>60</v>
      </c>
      <c r="D41" s="28" t="s">
        <v>293</v>
      </c>
      <c r="E41" s="17">
        <v>42559.298634259256</v>
      </c>
      <c r="F41" s="17">
        <v>42559.299525462964</v>
      </c>
      <c r="G41" s="7">
        <v>1</v>
      </c>
      <c r="H41" s="17" t="s">
        <v>445</v>
      </c>
      <c r="I41" s="17">
        <v>42559.326724537037</v>
      </c>
      <c r="J41" s="7">
        <v>0</v>
      </c>
      <c r="K41" s="28" t="str">
        <f t="shared" si="0"/>
        <v>4015/4016</v>
      </c>
      <c r="L41" s="28" t="str">
        <f>VLOOKUP(A41,'Trips&amp;Operators'!$C$1:$E$10000,3,FALSE)</f>
        <v>KILLION</v>
      </c>
      <c r="M41" s="6">
        <f t="shared" si="1"/>
        <v>2.7199074072996154E-2</v>
      </c>
      <c r="N41" s="7">
        <f t="shared" si="15"/>
        <v>39.166666665114462</v>
      </c>
      <c r="O41" s="7"/>
      <c r="P41" s="7"/>
      <c r="Q41" s="29"/>
      <c r="R41" s="29"/>
      <c r="S41" s="47">
        <f t="shared" si="2"/>
        <v>1</v>
      </c>
      <c r="T41" s="75" t="str">
        <f t="shared" si="3"/>
        <v>NorthBound</v>
      </c>
      <c r="U41" s="114">
        <f>COUNTIFS(Variables!$M$2:$M$19,IF(T41="NorthBound","&gt;=","&lt;=")&amp;Y41,Variables!$M$2:$M$19,IF(T41="NorthBound","&lt;=","&gt;=")&amp;Z41)</f>
        <v>12</v>
      </c>
      <c r="V41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07:09:02-0600',mode:absolute,to:'2016-07-08 07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1" s="80" t="str">
        <f t="shared" si="5"/>
        <v>N</v>
      </c>
      <c r="X41" s="104">
        <f t="shared" si="13"/>
        <v>1</v>
      </c>
      <c r="Y41" s="101">
        <f t="shared" si="6"/>
        <v>4.8800000000000003E-2</v>
      </c>
      <c r="Z41" s="101">
        <f t="shared" si="7"/>
        <v>23.3276</v>
      </c>
      <c r="AA41" s="101">
        <f t="shared" si="8"/>
        <v>23.2788</v>
      </c>
      <c r="AB41" s="98" t="e">
        <f>VLOOKUP(A41,Enforcements!$C$7:$J$27,8,0)</f>
        <v>#N/A</v>
      </c>
      <c r="AC41" s="94" t="e">
        <f>VLOOKUP(A41,Enforcements!$C$7:$E$27,3,0)</f>
        <v>#N/A</v>
      </c>
      <c r="AD41" s="95" t="str">
        <f t="shared" si="9"/>
        <v>0129-08</v>
      </c>
      <c r="AE41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41" s="81" t="str">
        <f t="shared" si="20"/>
        <v>"C:\Program Files (x86)\AstroGrep\AstroGrep.exe" /spath="C:\Users\stu\Documents\Analysis\2016-02-23 RTDC Observations" /stypes="*4016*20160708*" /stext=" 13:.+((prompt.+disp)|(slice.+state.+chan)|(ment ac)|(system.+state.+chan)|(\|lc)|(penalty)|(\[timeout))" /e /r /s</v>
      </c>
      <c r="AG41" s="1" t="str">
        <f t="shared" si="16"/>
        <v>EC</v>
      </c>
    </row>
    <row r="42" spans="1:33" s="1" customFormat="1" x14ac:dyDescent="0.25">
      <c r="A42" s="53" t="s">
        <v>371</v>
      </c>
      <c r="B42" s="7">
        <v>4015</v>
      </c>
      <c r="C42" s="28" t="s">
        <v>60</v>
      </c>
      <c r="D42" s="28" t="s">
        <v>272</v>
      </c>
      <c r="E42" s="17">
        <v>42559.340671296297</v>
      </c>
      <c r="F42" s="17">
        <v>42559.341620370367</v>
      </c>
      <c r="G42" s="7">
        <v>1</v>
      </c>
      <c r="H42" s="17" t="s">
        <v>270</v>
      </c>
      <c r="I42" s="17">
        <v>42559.366956018515</v>
      </c>
      <c r="J42" s="7">
        <v>1</v>
      </c>
      <c r="K42" s="28" t="str">
        <f t="shared" si="0"/>
        <v>4015/4016</v>
      </c>
      <c r="L42" s="28" t="str">
        <f>VLOOKUP(A42,'Trips&amp;Operators'!$C$1:$E$10000,3,FALSE)</f>
        <v>KILLION</v>
      </c>
      <c r="M42" s="6">
        <f t="shared" si="1"/>
        <v>2.5335648148029577E-2</v>
      </c>
      <c r="N42" s="7">
        <f t="shared" si="15"/>
        <v>36.483333333162591</v>
      </c>
      <c r="O42" s="7"/>
      <c r="P42" s="7"/>
      <c r="Q42" s="29"/>
      <c r="R42" s="29"/>
      <c r="S42" s="47">
        <f t="shared" si="2"/>
        <v>1</v>
      </c>
      <c r="T42" s="75" t="str">
        <f t="shared" si="3"/>
        <v>Southbound</v>
      </c>
      <c r="U42" s="114">
        <f>COUNTIFS(Variables!$M$2:$M$19,IF(T42="NorthBound","&gt;=","&lt;=")&amp;Y42,Variables!$M$2:$M$19,IF(T42="NorthBound","&lt;=","&gt;=")&amp;Z42)</f>
        <v>12</v>
      </c>
      <c r="V42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08:09:34-0600',mode:absolute,to:'2016-07-08 08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2" s="80" t="str">
        <f t="shared" si="5"/>
        <v>N</v>
      </c>
      <c r="X42" s="104">
        <f t="shared" si="13"/>
        <v>1</v>
      </c>
      <c r="Y42" s="101">
        <f t="shared" si="6"/>
        <v>23.2957</v>
      </c>
      <c r="Z42" s="101">
        <f t="shared" si="7"/>
        <v>1.67E-2</v>
      </c>
      <c r="AA42" s="101">
        <f t="shared" si="8"/>
        <v>23.279</v>
      </c>
      <c r="AB42" s="98" t="e">
        <f>VLOOKUP(A42,Enforcements!$C$7:$J$27,8,0)</f>
        <v>#N/A</v>
      </c>
      <c r="AC42" s="94" t="e">
        <f>VLOOKUP(A42,Enforcements!$C$7:$E$27,3,0)</f>
        <v>#N/A</v>
      </c>
      <c r="AD42" s="95" t="str">
        <f t="shared" si="9"/>
        <v>0130-08</v>
      </c>
      <c r="AE42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42" s="81" t="str">
        <f t="shared" si="20"/>
        <v>"C:\Program Files (x86)\AstroGrep\AstroGrep.exe" /spath="C:\Users\stu\Documents\Analysis\2016-02-23 RTDC Observations" /stypes="*4015*20160708*" /stext=" 14:.+((prompt.+disp)|(slice.+state.+chan)|(ment ac)|(system.+state.+chan)|(\|lc)|(penalty)|(\[timeout))" /e /r /s</v>
      </c>
      <c r="AG42" s="1" t="str">
        <f t="shared" si="16"/>
        <v>EC</v>
      </c>
    </row>
    <row r="43" spans="1:33" s="1" customFormat="1" x14ac:dyDescent="0.25">
      <c r="A43" s="53" t="s">
        <v>368</v>
      </c>
      <c r="B43" s="7">
        <v>4025</v>
      </c>
      <c r="C43" s="28" t="s">
        <v>60</v>
      </c>
      <c r="D43" s="28" t="s">
        <v>307</v>
      </c>
      <c r="E43" s="17">
        <v>42559.313043981485</v>
      </c>
      <c r="F43" s="17">
        <v>42559.314745370371</v>
      </c>
      <c r="G43" s="7">
        <v>2</v>
      </c>
      <c r="H43" s="17" t="s">
        <v>266</v>
      </c>
      <c r="I43" s="17">
        <v>42559.339062500003</v>
      </c>
      <c r="J43" s="7">
        <v>1</v>
      </c>
      <c r="K43" s="28" t="str">
        <f t="shared" si="0"/>
        <v>4025/4026</v>
      </c>
      <c r="L43" s="28" t="str">
        <f>VLOOKUP(A43,'Trips&amp;Operators'!$C$1:$E$10000,3,FALSE)</f>
        <v>STURGEON</v>
      </c>
      <c r="M43" s="6">
        <f t="shared" si="1"/>
        <v>2.4317129631526768E-2</v>
      </c>
      <c r="N43" s="7">
        <f t="shared" si="15"/>
        <v>35.016666669398546</v>
      </c>
      <c r="O43" s="7"/>
      <c r="P43" s="7"/>
      <c r="Q43" s="29"/>
      <c r="R43" s="29"/>
      <c r="S43" s="47">
        <f t="shared" si="2"/>
        <v>1</v>
      </c>
      <c r="T43" s="75" t="str">
        <f t="shared" si="3"/>
        <v>NorthBound</v>
      </c>
      <c r="U43" s="114">
        <f>COUNTIFS(Variables!$M$2:$M$19,IF(T43="NorthBound","&gt;=","&lt;=")&amp;Y43,Variables!$M$2:$M$19,IF(T43="NorthBound","&lt;=","&gt;=")&amp;Z43)</f>
        <v>12</v>
      </c>
      <c r="V43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07:29:47-0600',mode:absolute,to:'2016-07-08 08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3" s="80" t="str">
        <f t="shared" si="5"/>
        <v>N</v>
      </c>
      <c r="X43" s="104">
        <f t="shared" si="13"/>
        <v>1</v>
      </c>
      <c r="Y43" s="101">
        <f t="shared" si="6"/>
        <v>4.7300000000000002E-2</v>
      </c>
      <c r="Z43" s="101">
        <f t="shared" si="7"/>
        <v>23.3278</v>
      </c>
      <c r="AA43" s="101">
        <f t="shared" si="8"/>
        <v>23.2805</v>
      </c>
      <c r="AB43" s="98" t="e">
        <f>VLOOKUP(A43,Enforcements!$C$7:$J$27,8,0)</f>
        <v>#N/A</v>
      </c>
      <c r="AC43" s="94" t="e">
        <f>VLOOKUP(A43,Enforcements!$C$7:$E$27,3,0)</f>
        <v>#N/A</v>
      </c>
      <c r="AD43" s="95" t="str">
        <f t="shared" si="9"/>
        <v>0131-08</v>
      </c>
      <c r="AE43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43" s="81" t="str">
        <f t="shared" si="20"/>
        <v>"C:\Program Files (x86)\AstroGrep\AstroGrep.exe" /spath="C:\Users\stu\Documents\Analysis\2016-02-23 RTDC Observations" /stypes="*4025*20160708*" /stext=" 13:.+((prompt.+disp)|(slice.+state.+chan)|(ment ac)|(system.+state.+chan)|(\|lc)|(penalty)|(\[timeout))" /e /r /s</v>
      </c>
      <c r="AG43" s="1" t="str">
        <f t="shared" si="16"/>
        <v>EC</v>
      </c>
    </row>
    <row r="44" spans="1:33" s="1" customFormat="1" x14ac:dyDescent="0.25">
      <c r="A44" s="53" t="s">
        <v>397</v>
      </c>
      <c r="B44" s="7">
        <v>4026</v>
      </c>
      <c r="C44" s="28" t="s">
        <v>60</v>
      </c>
      <c r="D44" s="28" t="s">
        <v>271</v>
      </c>
      <c r="E44" s="17">
        <v>42559.350925925923</v>
      </c>
      <c r="F44" s="17">
        <v>42559.351886574077</v>
      </c>
      <c r="G44" s="7">
        <v>1</v>
      </c>
      <c r="H44" s="17" t="s">
        <v>242</v>
      </c>
      <c r="I44" s="17">
        <v>42559.37699074074</v>
      </c>
      <c r="J44" s="7">
        <v>0</v>
      </c>
      <c r="K44" s="28" t="str">
        <f t="shared" si="0"/>
        <v>4025/4026</v>
      </c>
      <c r="L44" s="28" t="str">
        <f>VLOOKUP(A44,'Trips&amp;Operators'!$C$1:$E$10000,3,FALSE)</f>
        <v>STURGEON</v>
      </c>
      <c r="M44" s="6">
        <f t="shared" si="1"/>
        <v>2.5104166663368233E-2</v>
      </c>
      <c r="N44" s="7">
        <f t="shared" si="15"/>
        <v>36.149999995250255</v>
      </c>
      <c r="O44" s="7"/>
      <c r="P44" s="7"/>
      <c r="Q44" s="29"/>
      <c r="R44" s="29"/>
      <c r="S44" s="47">
        <f t="shared" si="2"/>
        <v>1</v>
      </c>
      <c r="T44" s="75" t="str">
        <f t="shared" si="3"/>
        <v>Southbound</v>
      </c>
      <c r="U44" s="114">
        <f>COUNTIFS(Variables!$M$2:$M$19,IF(T44="NorthBound","&gt;=","&lt;=")&amp;Y44,Variables!$M$2:$M$19,IF(T44="NorthBound","&lt;=","&gt;=")&amp;Z44)</f>
        <v>12</v>
      </c>
      <c r="V4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08:24:20-0600',mode:absolute,to:'2016-07-08 09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4" s="80" t="str">
        <f t="shared" si="5"/>
        <v>N</v>
      </c>
      <c r="X44" s="104">
        <f t="shared" si="13"/>
        <v>1</v>
      </c>
      <c r="Y44" s="101">
        <f t="shared" si="6"/>
        <v>23.296600000000002</v>
      </c>
      <c r="Z44" s="101">
        <f t="shared" si="7"/>
        <v>1.6299999999999999E-2</v>
      </c>
      <c r="AA44" s="101">
        <f t="shared" si="8"/>
        <v>23.2803</v>
      </c>
      <c r="AB44" s="98" t="e">
        <f>VLOOKUP(A44,Enforcements!$C$7:$J$27,8,0)</f>
        <v>#N/A</v>
      </c>
      <c r="AC44" s="94" t="e">
        <f>VLOOKUP(A44,Enforcements!$C$7:$E$27,3,0)</f>
        <v>#N/A</v>
      </c>
      <c r="AD44" s="95" t="str">
        <f t="shared" si="9"/>
        <v>0132-08</v>
      </c>
      <c r="AE44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44" s="81" t="str">
        <f t="shared" si="20"/>
        <v>"C:\Program Files (x86)\AstroGrep\AstroGrep.exe" /spath="C:\Users\stu\Documents\Analysis\2016-02-23 RTDC Observations" /stypes="*4026*20160708*" /stext=" 14:.+((prompt.+disp)|(slice.+state.+chan)|(ment ac)|(system.+state.+chan)|(\|lc)|(penalty)|(\[timeout))" /e /r /s</v>
      </c>
      <c r="AG44" s="1" t="str">
        <f t="shared" si="16"/>
        <v>EC</v>
      </c>
    </row>
    <row r="45" spans="1:33" s="1" customFormat="1" x14ac:dyDescent="0.25">
      <c r="A45" s="53" t="s">
        <v>410</v>
      </c>
      <c r="B45" s="7">
        <v>4044</v>
      </c>
      <c r="C45" s="28" t="s">
        <v>60</v>
      </c>
      <c r="D45" s="28" t="s">
        <v>71</v>
      </c>
      <c r="E45" s="17">
        <v>42559.318622685183</v>
      </c>
      <c r="F45" s="17">
        <v>42559.319606481484</v>
      </c>
      <c r="G45" s="7">
        <v>1</v>
      </c>
      <c r="H45" s="17" t="s">
        <v>446</v>
      </c>
      <c r="I45" s="17">
        <v>42559.347766203704</v>
      </c>
      <c r="J45" s="7">
        <v>0</v>
      </c>
      <c r="K45" s="28" t="str">
        <f t="shared" ref="K45:K76" si="21">IF(ISEVEN(B45),(B45-1)&amp;"/"&amp;B45,B45&amp;"/"&amp;(B45+1))</f>
        <v>4043/4044</v>
      </c>
      <c r="L45" s="28" t="str">
        <f>VLOOKUP(A45,'Trips&amp;Operators'!$C$1:$E$10000,3,FALSE)</f>
        <v>CANFIELD</v>
      </c>
      <c r="M45" s="6">
        <f t="shared" ref="M45:M76" si="22">I45-F45</f>
        <v>2.8159722220152617E-2</v>
      </c>
      <c r="N45" s="7">
        <f t="shared" si="15"/>
        <v>40.549999997019768</v>
      </c>
      <c r="O45" s="7"/>
      <c r="P45" s="7"/>
      <c r="Q45" s="29"/>
      <c r="R45" s="29"/>
      <c r="S45" s="47">
        <f t="shared" si="2"/>
        <v>1</v>
      </c>
      <c r="T45" s="75" t="str">
        <f t="shared" ref="T45:T76" si="23">IF(ISEVEN(LEFT(A45,3)),"Southbound","NorthBound")</f>
        <v>NorthBound</v>
      </c>
      <c r="U45" s="114">
        <f>COUNTIFS(Variables!$M$2:$M$19,IF(T45="NorthBound","&gt;=","&lt;=")&amp;Y45,Variables!$M$2:$M$19,IF(T45="NorthBound","&lt;=","&gt;=")&amp;Z45)</f>
        <v>12</v>
      </c>
      <c r="V45" s="80" t="str">
        <f t="shared" ref="V45:V76" si="24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https://search-rtdc-monitor-bjffxe2xuh6vdkpspy63sjmuny.us-east-1.es.amazonaws.com/_plugin/kibana/#/discover/Steve-Slow-Train-Analysis-(2080s-and-2083s)?_g=(refreshInterval:(display:Off,section:0,value:0),time:(from:'2016-07-08 07:37:49-0600',mode:absolute,to:'2016-07-08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5" s="80" t="str">
        <f t="shared" ref="W45:W76" si="25">IF(AA45&lt;23,"Y","N")</f>
        <v>N</v>
      </c>
      <c r="X45" s="104">
        <f t="shared" si="13"/>
        <v>1</v>
      </c>
      <c r="Y45" s="101">
        <f t="shared" ref="Y45:Y72" si="26">RIGHT(D45,LEN(D45)-4)/10000</f>
        <v>4.5699999999999998E-2</v>
      </c>
      <c r="Z45" s="101">
        <f t="shared" ref="Z45:Z76" si="27">RIGHT(H45,LEN(H45)-4)/10000</f>
        <v>23.330100000000002</v>
      </c>
      <c r="AA45" s="101">
        <f t="shared" ref="AA45:AA76" si="28">ABS(Z45-Y45)</f>
        <v>23.284400000000002</v>
      </c>
      <c r="AB45" s="98" t="e">
        <f>VLOOKUP(A45,Enforcements!$C$7:$J$27,8,0)</f>
        <v>#N/A</v>
      </c>
      <c r="AC45" s="94" t="e">
        <f>VLOOKUP(A45,Enforcements!$C$7:$E$27,3,0)</f>
        <v>#N/A</v>
      </c>
      <c r="AD45" s="95" t="str">
        <f t="shared" ref="AD45:AD76" si="29">IF(LEN(A45)=6,"0"&amp;A45,A45)</f>
        <v>0133-08</v>
      </c>
      <c r="AE45" s="81" t="str">
        <f t="shared" si="1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45" s="81" t="str">
        <f t="shared" si="20"/>
        <v>"C:\Program Files (x86)\AstroGrep\AstroGrep.exe" /spath="C:\Users\stu\Documents\Analysis\2016-02-23 RTDC Observations" /stypes="*4044*20160708*" /stext=" 13:.+((prompt.+disp)|(slice.+state.+chan)|(ment ac)|(system.+state.+chan)|(\|lc)|(penalty)|(\[timeout))" /e /r /s</v>
      </c>
      <c r="AG45" s="1" t="str">
        <f t="shared" si="16"/>
        <v>EC</v>
      </c>
    </row>
    <row r="46" spans="1:33" s="1" customFormat="1" x14ac:dyDescent="0.25">
      <c r="A46" s="53" t="s">
        <v>412</v>
      </c>
      <c r="B46" s="7">
        <v>4043</v>
      </c>
      <c r="C46" s="28" t="s">
        <v>60</v>
      </c>
      <c r="D46" s="28" t="s">
        <v>200</v>
      </c>
      <c r="E46" s="17">
        <v>42559.358310185184</v>
      </c>
      <c r="F46" s="17">
        <v>42559.359120370369</v>
      </c>
      <c r="G46" s="7">
        <v>1</v>
      </c>
      <c r="H46" s="17" t="s">
        <v>62</v>
      </c>
      <c r="I46" s="17">
        <v>42559.388009259259</v>
      </c>
      <c r="J46" s="7">
        <v>0</v>
      </c>
      <c r="K46" s="28" t="str">
        <f t="shared" si="21"/>
        <v>4043/4044</v>
      </c>
      <c r="L46" s="28" t="str">
        <f>VLOOKUP(A46,'Trips&amp;Operators'!$C$1:$E$10000,3,FALSE)</f>
        <v>CANFIELD</v>
      </c>
      <c r="M46" s="6">
        <f t="shared" si="22"/>
        <v>2.8888888889923692E-2</v>
      </c>
      <c r="N46" s="7">
        <f t="shared" si="15"/>
        <v>41.600000001490116</v>
      </c>
      <c r="O46" s="7"/>
      <c r="P46" s="7"/>
      <c r="Q46" s="29"/>
      <c r="R46" s="29"/>
      <c r="S46" s="47">
        <f t="shared" si="2"/>
        <v>1</v>
      </c>
      <c r="T46" s="75" t="str">
        <f t="shared" si="23"/>
        <v>Southbound</v>
      </c>
      <c r="U46" s="114">
        <f>COUNTIFS(Variables!$M$2:$M$19,IF(T46="NorthBound","&gt;=","&lt;=")&amp;Y46,Variables!$M$2:$M$19,IF(T46="NorthBound","&lt;=","&gt;=")&amp;Z46)</f>
        <v>12</v>
      </c>
      <c r="V4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08:34:58-0600',mode:absolute,to:'2016-07-08 09:19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6" s="80" t="str">
        <f t="shared" si="25"/>
        <v>N</v>
      </c>
      <c r="X46" s="104">
        <f t="shared" ref="X46:X69" si="30">VALUE(LEFT(A46,3))-VALUE(LEFT(A45,3))</f>
        <v>1</v>
      </c>
      <c r="Y46" s="101">
        <f t="shared" si="26"/>
        <v>23.2988</v>
      </c>
      <c r="Z46" s="101">
        <f t="shared" si="27"/>
        <v>1.52E-2</v>
      </c>
      <c r="AA46" s="101">
        <f t="shared" si="28"/>
        <v>23.2836</v>
      </c>
      <c r="AB46" s="98" t="e">
        <f>VLOOKUP(A46,Enforcements!$C$7:$J$27,8,0)</f>
        <v>#N/A</v>
      </c>
      <c r="AC46" s="94" t="e">
        <f>VLOOKUP(A46,Enforcements!$C$7:$E$27,3,0)</f>
        <v>#N/A</v>
      </c>
      <c r="AD46" s="95" t="str">
        <f t="shared" si="29"/>
        <v>0134-08</v>
      </c>
      <c r="AE46" s="81" t="str">
        <f t="shared" si="1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46" s="81" t="str">
        <f t="shared" si="20"/>
        <v>"C:\Program Files (x86)\AstroGrep\AstroGrep.exe" /spath="C:\Users\stu\Documents\Analysis\2016-02-23 RTDC Observations" /stypes="*4043*20160708*" /stext=" 14:.+((prompt.+disp)|(slice.+state.+chan)|(ment ac)|(system.+state.+chan)|(\|lc)|(penalty)|(\[timeout))" /e /r /s</v>
      </c>
      <c r="AG46" s="1" t="str">
        <f t="shared" si="16"/>
        <v>EC</v>
      </c>
    </row>
    <row r="47" spans="1:33" s="1" customFormat="1" x14ac:dyDescent="0.25">
      <c r="A47" s="53" t="s">
        <v>399</v>
      </c>
      <c r="B47" s="7">
        <v>4040</v>
      </c>
      <c r="C47" s="28" t="s">
        <v>60</v>
      </c>
      <c r="D47" s="28" t="s">
        <v>275</v>
      </c>
      <c r="E47" s="17">
        <v>42559.331099537034</v>
      </c>
      <c r="F47" s="17">
        <v>42559.33184027778</v>
      </c>
      <c r="G47" s="7">
        <v>1</v>
      </c>
      <c r="H47" s="17" t="s">
        <v>160</v>
      </c>
      <c r="I47" s="17">
        <v>42559.358402777776</v>
      </c>
      <c r="J47" s="7">
        <v>0</v>
      </c>
      <c r="K47" s="28" t="str">
        <f t="shared" si="21"/>
        <v>4039/4040</v>
      </c>
      <c r="L47" s="28" t="str">
        <f>VLOOKUP(A47,'Trips&amp;Operators'!$C$1:$E$10000,3,FALSE)</f>
        <v>STARKS</v>
      </c>
      <c r="M47" s="6">
        <f t="shared" si="22"/>
        <v>2.6562499995634425E-2</v>
      </c>
      <c r="N47" s="7">
        <f t="shared" si="15"/>
        <v>38.249999993713573</v>
      </c>
      <c r="O47" s="7"/>
      <c r="P47" s="7"/>
      <c r="Q47" s="29"/>
      <c r="R47" s="29"/>
      <c r="S47" s="47">
        <f t="shared" si="2"/>
        <v>1</v>
      </c>
      <c r="T47" s="75" t="str">
        <f t="shared" si="23"/>
        <v>NorthBound</v>
      </c>
      <c r="U47" s="114">
        <f>COUNTIFS(Variables!$M$2:$M$19,IF(T47="NorthBound","&gt;=","&lt;=")&amp;Y47,Variables!$M$2:$M$19,IF(T47="NorthBound","&lt;=","&gt;=")&amp;Z47)</f>
        <v>12</v>
      </c>
      <c r="V47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07:55:47-0600',mode:absolute,to:'2016-07-08 08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80" t="str">
        <f t="shared" si="25"/>
        <v>N</v>
      </c>
      <c r="X47" s="104">
        <f t="shared" si="30"/>
        <v>1</v>
      </c>
      <c r="Y47" s="101">
        <f t="shared" si="26"/>
        <v>4.4699999999999997E-2</v>
      </c>
      <c r="Z47" s="101">
        <f t="shared" si="27"/>
        <v>23.33</v>
      </c>
      <c r="AA47" s="101">
        <f t="shared" si="28"/>
        <v>23.285299999999999</v>
      </c>
      <c r="AB47" s="98" t="e">
        <f>VLOOKUP(A47,Enforcements!$C$7:$J$27,8,0)</f>
        <v>#N/A</v>
      </c>
      <c r="AC47" s="94" t="e">
        <f>VLOOKUP(A47,Enforcements!$C$7:$E$27,3,0)</f>
        <v>#N/A</v>
      </c>
      <c r="AD47" s="95" t="str">
        <f t="shared" si="29"/>
        <v>0135-08</v>
      </c>
      <c r="AE47" s="81" t="str">
        <f t="shared" si="1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47" s="81" t="str">
        <f t="shared" si="20"/>
        <v>"C:\Program Files (x86)\AstroGrep\AstroGrep.exe" /spath="C:\Users\stu\Documents\Analysis\2016-02-23 RTDC Observations" /stypes="*4040*20160708*" /stext=" 13:.+((prompt.+disp)|(slice.+state.+chan)|(ment ac)|(system.+state.+chan)|(\|lc)|(penalty)|(\[timeout))" /e /r /s</v>
      </c>
      <c r="AG47" s="1" t="str">
        <f t="shared" si="16"/>
        <v>EC</v>
      </c>
    </row>
    <row r="48" spans="1:33" s="1" customFormat="1" x14ac:dyDescent="0.25">
      <c r="A48" s="53" t="s">
        <v>403</v>
      </c>
      <c r="B48" s="7">
        <v>4039</v>
      </c>
      <c r="C48" s="28" t="s">
        <v>60</v>
      </c>
      <c r="D48" s="28" t="s">
        <v>429</v>
      </c>
      <c r="E48" s="17">
        <v>42559.370300925926</v>
      </c>
      <c r="F48" s="17">
        <v>42559.37127314815</v>
      </c>
      <c r="G48" s="7">
        <v>1</v>
      </c>
      <c r="H48" s="17" t="s">
        <v>447</v>
      </c>
      <c r="I48" s="17">
        <v>42559.398240740738</v>
      </c>
      <c r="J48" s="7">
        <v>0</v>
      </c>
      <c r="K48" s="28" t="str">
        <f t="shared" si="21"/>
        <v>4039/4040</v>
      </c>
      <c r="L48" s="28" t="str">
        <f>VLOOKUP(A48,'Trips&amp;Operators'!$C$1:$E$10000,3,FALSE)</f>
        <v>STARKS</v>
      </c>
      <c r="M48" s="6">
        <f t="shared" si="22"/>
        <v>2.696759258833481E-2</v>
      </c>
      <c r="N48" s="7">
        <f t="shared" si="15"/>
        <v>38.833333327202126</v>
      </c>
      <c r="O48" s="7"/>
      <c r="P48" s="7"/>
      <c r="Q48" s="29"/>
      <c r="R48" s="29"/>
      <c r="S48" s="47">
        <f t="shared" si="2"/>
        <v>1</v>
      </c>
      <c r="T48" s="75" t="str">
        <f t="shared" si="23"/>
        <v>Southbound</v>
      </c>
      <c r="U48" s="114">
        <f>COUNTIFS(Variables!$M$2:$M$19,IF(T48="NorthBound","&gt;=","&lt;=")&amp;Y48,Variables!$M$2:$M$19,IF(T48="NorthBound","&lt;=","&gt;=")&amp;Z48)</f>
        <v>12</v>
      </c>
      <c r="V48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08:52:14-0600',mode:absolute,to:'2016-07-08 09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80" t="str">
        <f t="shared" si="25"/>
        <v>N</v>
      </c>
      <c r="X48" s="104">
        <f t="shared" si="30"/>
        <v>1</v>
      </c>
      <c r="Y48" s="101">
        <f t="shared" si="26"/>
        <v>23.298300000000001</v>
      </c>
      <c r="Z48" s="101">
        <f t="shared" si="27"/>
        <v>1.1599999999999999E-2</v>
      </c>
      <c r="AA48" s="101">
        <f t="shared" si="28"/>
        <v>23.2867</v>
      </c>
      <c r="AB48" s="98" t="e">
        <f>VLOOKUP(A48,Enforcements!$C$7:$J$27,8,0)</f>
        <v>#N/A</v>
      </c>
      <c r="AC48" s="94" t="e">
        <f>VLOOKUP(A48,Enforcements!$C$7:$E$27,3,0)</f>
        <v>#N/A</v>
      </c>
      <c r="AD48" s="95" t="str">
        <f t="shared" si="29"/>
        <v>0136-08</v>
      </c>
      <c r="AE48" s="81" t="str">
        <f t="shared" si="1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48" s="81" t="str">
        <f t="shared" si="20"/>
        <v>"C:\Program Files (x86)\AstroGrep\AstroGrep.exe" /spath="C:\Users\stu\Documents\Analysis\2016-02-23 RTDC Observations" /stypes="*4039*20160708*" /stext=" 14:.+((prompt.+disp)|(slice.+state.+chan)|(ment ac)|(system.+state.+chan)|(\|lc)|(penalty)|(\[timeout))" /e /r /s</v>
      </c>
      <c r="AG48" s="1" t="str">
        <f t="shared" si="16"/>
        <v>EC</v>
      </c>
    </row>
    <row r="49" spans="1:33" s="1" customFormat="1" x14ac:dyDescent="0.25">
      <c r="A49" s="53" t="s">
        <v>370</v>
      </c>
      <c r="B49" s="7">
        <v>4014</v>
      </c>
      <c r="C49" s="28" t="s">
        <v>60</v>
      </c>
      <c r="D49" s="28" t="s">
        <v>243</v>
      </c>
      <c r="E49" s="17">
        <v>42559.341493055559</v>
      </c>
      <c r="F49" s="17">
        <v>42559.342430555553</v>
      </c>
      <c r="G49" s="7">
        <v>1</v>
      </c>
      <c r="H49" s="17" t="s">
        <v>445</v>
      </c>
      <c r="I49" s="17">
        <v>42559.369039351855</v>
      </c>
      <c r="J49" s="7">
        <v>1</v>
      </c>
      <c r="K49" s="28" t="str">
        <f t="shared" si="21"/>
        <v>4013/4014</v>
      </c>
      <c r="L49" s="28" t="str">
        <f>VLOOKUP(A49,'Trips&amp;Operators'!$C$1:$E$10000,3,FALSE)</f>
        <v>MALAVE</v>
      </c>
      <c r="M49" s="6">
        <f t="shared" si="22"/>
        <v>2.6608796302753035E-2</v>
      </c>
      <c r="N49" s="7">
        <f t="shared" si="15"/>
        <v>38.31666667596437</v>
      </c>
      <c r="O49" s="7"/>
      <c r="P49" s="7"/>
      <c r="Q49" s="29"/>
      <c r="R49" s="29"/>
      <c r="S49" s="47">
        <f t="shared" si="2"/>
        <v>1</v>
      </c>
      <c r="T49" s="75" t="str">
        <f t="shared" si="23"/>
        <v>NorthBound</v>
      </c>
      <c r="U49" s="114">
        <f>COUNTIFS(Variables!$M$2:$M$19,IF(T49="NorthBound","&gt;=","&lt;=")&amp;Y49,Variables!$M$2:$M$19,IF(T49="NorthBound","&lt;=","&gt;=")&amp;Z49)</f>
        <v>12</v>
      </c>
      <c r="V49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08:10:45-0600',mode:absolute,to:'2016-07-08 08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9" s="80" t="str">
        <f t="shared" si="25"/>
        <v>N</v>
      </c>
      <c r="X49" s="104">
        <f t="shared" si="30"/>
        <v>1</v>
      </c>
      <c r="Y49" s="101">
        <f t="shared" si="26"/>
        <v>4.6699999999999998E-2</v>
      </c>
      <c r="Z49" s="101">
        <f t="shared" si="27"/>
        <v>23.3276</v>
      </c>
      <c r="AA49" s="101">
        <f t="shared" si="28"/>
        <v>23.280899999999999</v>
      </c>
      <c r="AB49" s="98">
        <f>VLOOKUP(A49,Enforcements!$C$7:$J$27,8,0)</f>
        <v>183829</v>
      </c>
      <c r="AC49" s="94" t="str">
        <f>VLOOKUP(A49,Enforcements!$C$7:$E$27,3,0)</f>
        <v>PERMANENT SPEED RESTRICTION</v>
      </c>
      <c r="AD49" s="95" t="str">
        <f t="shared" si="29"/>
        <v>0137-08</v>
      </c>
      <c r="AE49" s="81" t="str">
        <f t="shared" si="1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49" s="81" t="str">
        <f t="shared" si="20"/>
        <v>"C:\Program Files (x86)\AstroGrep\AstroGrep.exe" /spath="C:\Users\stu\Documents\Analysis\2016-02-23 RTDC Observations" /stypes="*4014*20160708*" /stext=" 14:.+((prompt.+disp)|(slice.+state.+chan)|(ment ac)|(system.+state.+chan)|(\|lc)|(penalty)|(\[timeout))" /e /r /s</v>
      </c>
      <c r="AG49" s="1" t="str">
        <f t="shared" si="16"/>
        <v>EC</v>
      </c>
    </row>
    <row r="50" spans="1:33" s="1" customFormat="1" x14ac:dyDescent="0.25">
      <c r="A50" s="53" t="s">
        <v>374</v>
      </c>
      <c r="B50" s="7">
        <v>4013</v>
      </c>
      <c r="C50" s="28" t="s">
        <v>60</v>
      </c>
      <c r="D50" s="28" t="s">
        <v>436</v>
      </c>
      <c r="E50" s="17">
        <v>42559.380173611113</v>
      </c>
      <c r="F50" s="17">
        <v>42559.382800925923</v>
      </c>
      <c r="G50" s="7">
        <v>3</v>
      </c>
      <c r="H50" s="17" t="s">
        <v>61</v>
      </c>
      <c r="I50" s="17">
        <v>42559.408182870371</v>
      </c>
      <c r="J50" s="7">
        <v>1</v>
      </c>
      <c r="K50" s="28" t="str">
        <f t="shared" si="21"/>
        <v>4013/4014</v>
      </c>
      <c r="L50" s="28" t="str">
        <f>VLOOKUP(A50,'Trips&amp;Operators'!$C$1:$E$10000,3,FALSE)</f>
        <v>MALAVE</v>
      </c>
      <c r="M50" s="6">
        <f t="shared" si="22"/>
        <v>2.5381944447872229E-2</v>
      </c>
      <c r="N50" s="7">
        <f t="shared" si="15"/>
        <v>36.55000000493601</v>
      </c>
      <c r="O50" s="7"/>
      <c r="P50" s="7"/>
      <c r="Q50" s="29"/>
      <c r="R50" s="29"/>
      <c r="S50" s="47">
        <f t="shared" si="2"/>
        <v>1</v>
      </c>
      <c r="T50" s="75" t="str">
        <f t="shared" si="23"/>
        <v>Southbound</v>
      </c>
      <c r="U50" s="114">
        <f>COUNTIFS(Variables!$M$2:$M$19,IF(T50="NorthBound","&gt;=","&lt;=")&amp;Y50,Variables!$M$2:$M$19,IF(T50="NorthBound","&lt;=","&gt;=")&amp;Z50)</f>
        <v>12</v>
      </c>
      <c r="V50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09:06:27-0600',mode:absolute,to:'2016-07-08 09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0" s="80" t="str">
        <f t="shared" si="25"/>
        <v>N</v>
      </c>
      <c r="X50" s="104">
        <f t="shared" si="30"/>
        <v>1</v>
      </c>
      <c r="Y50" s="101">
        <f t="shared" si="26"/>
        <v>23.2959</v>
      </c>
      <c r="Z50" s="101">
        <f t="shared" si="27"/>
        <v>1.4500000000000001E-2</v>
      </c>
      <c r="AA50" s="101">
        <f t="shared" si="28"/>
        <v>23.281399999999998</v>
      </c>
      <c r="AB50" s="98" t="e">
        <f>VLOOKUP(A50,Enforcements!$C$7:$J$27,8,0)</f>
        <v>#N/A</v>
      </c>
      <c r="AC50" s="94" t="e">
        <f>VLOOKUP(A50,Enforcements!$C$7:$E$27,3,0)</f>
        <v>#N/A</v>
      </c>
      <c r="AD50" s="95" t="str">
        <f t="shared" si="29"/>
        <v>0138-08</v>
      </c>
      <c r="AE50" s="81" t="str">
        <f t="shared" si="1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50" s="81" t="str">
        <f t="shared" si="20"/>
        <v>"C:\Program Files (x86)\AstroGrep\AstroGrep.exe" /spath="C:\Users\stu\Documents\Analysis\2016-02-23 RTDC Observations" /stypes="*4013*20160708*" /stext=" 15:.+((prompt.+disp)|(slice.+state.+chan)|(ment ac)|(system.+state.+chan)|(\|lc)|(penalty)|(\[timeout))" /e /r /s</v>
      </c>
      <c r="AG50" s="1" t="str">
        <f t="shared" si="16"/>
        <v>EC</v>
      </c>
    </row>
    <row r="51" spans="1:33" s="1" customFormat="1" x14ac:dyDescent="0.25">
      <c r="A51" s="53" t="s">
        <v>405</v>
      </c>
      <c r="B51" s="7">
        <v>4011</v>
      </c>
      <c r="C51" s="28" t="s">
        <v>60</v>
      </c>
      <c r="D51" s="28" t="s">
        <v>448</v>
      </c>
      <c r="E51" s="17">
        <v>42559.349583333336</v>
      </c>
      <c r="F51" s="17">
        <v>42559.350972222222</v>
      </c>
      <c r="G51" s="7">
        <v>1</v>
      </c>
      <c r="H51" s="17" t="s">
        <v>428</v>
      </c>
      <c r="I51" s="17">
        <v>42559.378819444442</v>
      </c>
      <c r="J51" s="7">
        <v>0</v>
      </c>
      <c r="K51" s="28" t="str">
        <f t="shared" si="21"/>
        <v>4011/4012</v>
      </c>
      <c r="L51" s="28" t="str">
        <f>VLOOKUP(A51,'Trips&amp;Operators'!$C$1:$E$10000,3,FALSE)</f>
        <v>MOSES</v>
      </c>
      <c r="M51" s="6">
        <f t="shared" si="22"/>
        <v>2.7847222219861578E-2</v>
      </c>
      <c r="N51" s="7">
        <f t="shared" si="15"/>
        <v>40.099999996600673</v>
      </c>
      <c r="O51" s="7"/>
      <c r="P51" s="7"/>
      <c r="Q51" s="29"/>
      <c r="R51" s="29"/>
      <c r="S51" s="47">
        <f t="shared" si="2"/>
        <v>1</v>
      </c>
      <c r="T51" s="75" t="str">
        <f t="shared" si="23"/>
        <v>NorthBound</v>
      </c>
      <c r="U51" s="114">
        <f>COUNTIFS(Variables!$M$2:$M$19,IF(T51="NorthBound","&gt;=","&lt;=")&amp;Y51,Variables!$M$2:$M$19,IF(T51="NorthBound","&lt;=","&gt;=")&amp;Z51)</f>
        <v>12</v>
      </c>
      <c r="V51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08:22:24-0600',mode:absolute,to:'2016-07-08 09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1" s="80" t="str">
        <f t="shared" si="25"/>
        <v>N</v>
      </c>
      <c r="X51" s="104">
        <f t="shared" si="30"/>
        <v>1</v>
      </c>
      <c r="Y51" s="101">
        <f t="shared" si="26"/>
        <v>4.5499999999999999E-2</v>
      </c>
      <c r="Z51" s="101">
        <f t="shared" si="27"/>
        <v>23.3306</v>
      </c>
      <c r="AA51" s="101">
        <f t="shared" si="28"/>
        <v>23.2851</v>
      </c>
      <c r="AB51" s="98" t="e">
        <f>VLOOKUP(A51,Enforcements!$C$7:$J$27,8,0)</f>
        <v>#N/A</v>
      </c>
      <c r="AC51" s="94" t="e">
        <f>VLOOKUP(A51,Enforcements!$C$7:$E$27,3,0)</f>
        <v>#N/A</v>
      </c>
      <c r="AD51" s="95" t="str">
        <f t="shared" si="29"/>
        <v>0139-08</v>
      </c>
      <c r="AE51" s="81" t="str">
        <f t="shared" si="1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51" s="81" t="str">
        <f t="shared" si="20"/>
        <v>"C:\Program Files (x86)\AstroGrep\AstroGrep.exe" /spath="C:\Users\stu\Documents\Analysis\2016-02-23 RTDC Observations" /stypes="*4011*20160708*" /stext=" 14:.+((prompt.+disp)|(slice.+state.+chan)|(ment ac)|(system.+state.+chan)|(\|lc)|(penalty)|(\[timeout))" /e /r /s</v>
      </c>
      <c r="AG51" s="1" t="str">
        <f t="shared" si="16"/>
        <v>EC</v>
      </c>
    </row>
    <row r="52" spans="1:33" s="1" customFormat="1" x14ac:dyDescent="0.25">
      <c r="A52" s="53" t="s">
        <v>375</v>
      </c>
      <c r="B52" s="7">
        <v>4012</v>
      </c>
      <c r="C52" s="28" t="s">
        <v>60</v>
      </c>
      <c r="D52" s="28" t="s">
        <v>449</v>
      </c>
      <c r="E52" s="17">
        <v>42559.388518518521</v>
      </c>
      <c r="F52" s="17">
        <v>42559.389814814815</v>
      </c>
      <c r="G52" s="7">
        <v>1</v>
      </c>
      <c r="H52" s="17" t="s">
        <v>248</v>
      </c>
      <c r="I52" s="17">
        <v>42559.419212962966</v>
      </c>
      <c r="J52" s="7">
        <v>1</v>
      </c>
      <c r="K52" s="28" t="str">
        <f t="shared" si="21"/>
        <v>4011/4012</v>
      </c>
      <c r="L52" s="28" t="str">
        <f>VLOOKUP(A52,'Trips&amp;Operators'!$C$1:$E$10000,3,FALSE)</f>
        <v>MOSES</v>
      </c>
      <c r="M52" s="6">
        <f t="shared" si="22"/>
        <v>2.9398148151813075E-2</v>
      </c>
      <c r="N52" s="7">
        <f t="shared" si="15"/>
        <v>42.333333338610828</v>
      </c>
      <c r="O52" s="7"/>
      <c r="P52" s="7"/>
      <c r="Q52" s="29"/>
      <c r="R52" s="29"/>
      <c r="S52" s="47">
        <f t="shared" si="2"/>
        <v>1</v>
      </c>
      <c r="T52" s="75" t="str">
        <f t="shared" si="23"/>
        <v>Southbound</v>
      </c>
      <c r="U52" s="114">
        <f>COUNTIFS(Variables!$M$2:$M$19,IF(T52="NorthBound","&gt;=","&lt;=")&amp;Y52,Variables!$M$2:$M$19,IF(T52="NorthBound","&lt;=","&gt;=")&amp;Z52)</f>
        <v>12</v>
      </c>
      <c r="V52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09:18:28-0600',mode:absolute,to:'2016-07-08 10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2" s="80" t="str">
        <f t="shared" si="25"/>
        <v>N</v>
      </c>
      <c r="X52" s="104">
        <f t="shared" si="30"/>
        <v>1</v>
      </c>
      <c r="Y52" s="101">
        <f t="shared" si="26"/>
        <v>23.3004</v>
      </c>
      <c r="Z52" s="101">
        <f t="shared" si="27"/>
        <v>1.6E-2</v>
      </c>
      <c r="AA52" s="101">
        <f t="shared" si="28"/>
        <v>23.284400000000002</v>
      </c>
      <c r="AB52" s="98" t="e">
        <f>VLOOKUP(A52,Enforcements!$C$7:$J$27,8,0)</f>
        <v>#N/A</v>
      </c>
      <c r="AC52" s="94" t="e">
        <f>VLOOKUP(A52,Enforcements!$C$7:$E$27,3,0)</f>
        <v>#N/A</v>
      </c>
      <c r="AD52" s="95" t="str">
        <f t="shared" si="29"/>
        <v>0140-08</v>
      </c>
      <c r="AE52" s="81" t="str">
        <f t="shared" si="1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52" s="81" t="str">
        <f t="shared" si="20"/>
        <v>"C:\Program Files (x86)\AstroGrep\AstroGrep.exe" /spath="C:\Users\stu\Documents\Analysis\2016-02-23 RTDC Observations" /stypes="*4012*20160708*" /stext=" 15:.+((prompt.+disp)|(slice.+state.+chan)|(ment ac)|(system.+state.+chan)|(\|lc)|(penalty)|(\[timeout))" /e /r /s</v>
      </c>
      <c r="AG52" s="1" t="str">
        <f t="shared" si="16"/>
        <v>EC</v>
      </c>
    </row>
    <row r="53" spans="1:33" x14ac:dyDescent="0.25">
      <c r="A53" s="53" t="s">
        <v>417</v>
      </c>
      <c r="B53" s="7">
        <v>4027</v>
      </c>
      <c r="C53" s="28" t="s">
        <v>60</v>
      </c>
      <c r="D53" s="28" t="s">
        <v>450</v>
      </c>
      <c r="E53" s="17">
        <v>42559.356979166667</v>
      </c>
      <c r="F53" s="17">
        <v>42559.358043981483</v>
      </c>
      <c r="G53" s="7">
        <v>1</v>
      </c>
      <c r="H53" s="17" t="s">
        <v>269</v>
      </c>
      <c r="I53" s="17">
        <v>42559.388969907406</v>
      </c>
      <c r="J53" s="7">
        <v>0</v>
      </c>
      <c r="K53" s="28" t="str">
        <f t="shared" si="21"/>
        <v>4027/4028</v>
      </c>
      <c r="L53" s="28" t="str">
        <f>VLOOKUP(A53,'Trips&amp;Operators'!$C$1:$E$10000,3,FALSE)</f>
        <v>YORK</v>
      </c>
      <c r="M53" s="6">
        <f t="shared" si="22"/>
        <v>3.0925925922929309E-2</v>
      </c>
      <c r="N53" s="7">
        <f t="shared" si="15"/>
        <v>44.533333329018205</v>
      </c>
      <c r="O53" s="7"/>
      <c r="P53" s="7"/>
      <c r="Q53" s="29"/>
      <c r="R53" s="29"/>
      <c r="S53" s="47">
        <f t="shared" si="2"/>
        <v>1</v>
      </c>
      <c r="T53" s="75" t="str">
        <f t="shared" si="23"/>
        <v>NorthBound</v>
      </c>
      <c r="U53" s="114">
        <f>COUNTIFS(Variables!$M$2:$M$19,IF(T53="NorthBound","&gt;=","&lt;=")&amp;Y53,Variables!$M$2:$M$19,IF(T53="NorthBound","&lt;=","&gt;=")&amp;Z53)</f>
        <v>12</v>
      </c>
      <c r="V53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08:33:03-0600',mode:absolute,to:'2016-07-08 09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3" s="80" t="str">
        <f t="shared" si="25"/>
        <v>N</v>
      </c>
      <c r="X53" s="104">
        <f t="shared" si="30"/>
        <v>1</v>
      </c>
      <c r="Y53" s="101">
        <f t="shared" si="26"/>
        <v>4.2700000000000002E-2</v>
      </c>
      <c r="Z53" s="101">
        <f t="shared" si="27"/>
        <v>23.3291</v>
      </c>
      <c r="AA53" s="101">
        <f t="shared" si="28"/>
        <v>23.2864</v>
      </c>
      <c r="AB53" s="98" t="e">
        <f>VLOOKUP(A53,Enforcements!$C$7:$J$27,8,0)</f>
        <v>#N/A</v>
      </c>
      <c r="AC53" s="94" t="e">
        <f>VLOOKUP(A53,Enforcements!$C$7:$E$27,3,0)</f>
        <v>#N/A</v>
      </c>
      <c r="AD53" s="95" t="str">
        <f t="shared" si="29"/>
        <v>0141-08</v>
      </c>
      <c r="AE53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53" s="81" t="str">
        <f t="shared" si="20"/>
        <v>"C:\Program Files (x86)\AstroGrep\AstroGrep.exe" /spath="C:\Users\stu\Documents\Analysis\2016-02-23 RTDC Observations" /stypes="*4027*20160708*" /stext=" 14:.+((prompt.+disp)|(slice.+state.+chan)|(ment ac)|(system.+state.+chan)|(\|lc)|(penalty)|(\[timeout))" /e /r /s</v>
      </c>
      <c r="AG53" s="1" t="str">
        <f t="shared" si="16"/>
        <v>EC</v>
      </c>
    </row>
    <row r="54" spans="1:33" x14ac:dyDescent="0.25">
      <c r="A54" s="68" t="s">
        <v>396</v>
      </c>
      <c r="B54" s="7">
        <v>4028</v>
      </c>
      <c r="C54" s="28" t="s">
        <v>60</v>
      </c>
      <c r="D54" s="28" t="s">
        <v>249</v>
      </c>
      <c r="E54" s="17">
        <v>42559.389849537038</v>
      </c>
      <c r="F54" s="17">
        <v>42559.391539351855</v>
      </c>
      <c r="G54" s="7">
        <v>2</v>
      </c>
      <c r="H54" s="17" t="s">
        <v>132</v>
      </c>
      <c r="I54" s="17">
        <v>42559.428622685184</v>
      </c>
      <c r="J54" s="7">
        <v>0</v>
      </c>
      <c r="K54" s="28" t="str">
        <f t="shared" si="21"/>
        <v>4027/4028</v>
      </c>
      <c r="L54" s="28" t="str">
        <f>VLOOKUP(A54,'Trips&amp;Operators'!$C$1:$E$10000,3,FALSE)</f>
        <v>YORK</v>
      </c>
      <c r="M54" s="6">
        <f t="shared" si="22"/>
        <v>3.7083333329064772E-2</v>
      </c>
      <c r="N54" s="7">
        <f t="shared" si="15"/>
        <v>53.399999993853271</v>
      </c>
      <c r="O54" s="7"/>
      <c r="P54" s="7"/>
      <c r="Q54" s="29"/>
      <c r="R54" s="29"/>
      <c r="S54" s="47">
        <f t="shared" si="2"/>
        <v>1</v>
      </c>
      <c r="T54" s="75" t="str">
        <f t="shared" si="23"/>
        <v>Southbound</v>
      </c>
      <c r="U54" s="114">
        <f>COUNTIFS(Variables!$M$2:$M$19,IF(T54="NorthBound","&gt;=","&lt;=")&amp;Y54,Variables!$M$2:$M$19,IF(T54="NorthBound","&lt;=","&gt;=")&amp;Z54)</f>
        <v>12</v>
      </c>
      <c r="V54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09:20:23-0600',mode:absolute,to:'2016-07-08 10:18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4" s="80" t="str">
        <f t="shared" si="25"/>
        <v>N</v>
      </c>
      <c r="X54" s="104">
        <f t="shared" si="30"/>
        <v>1</v>
      </c>
      <c r="Y54" s="101">
        <f t="shared" si="26"/>
        <v>23.296099999999999</v>
      </c>
      <c r="Z54" s="101">
        <f t="shared" si="27"/>
        <v>1.5599999999999999E-2</v>
      </c>
      <c r="AA54" s="101">
        <f t="shared" si="28"/>
        <v>23.2805</v>
      </c>
      <c r="AB54" s="98" t="e">
        <f>VLOOKUP(A54,Enforcements!$C$7:$J$27,8,0)</f>
        <v>#N/A</v>
      </c>
      <c r="AC54" s="94" t="e">
        <f>VLOOKUP(A54,Enforcements!$C$7:$E$27,3,0)</f>
        <v>#N/A</v>
      </c>
      <c r="AD54" s="95" t="str">
        <f t="shared" si="29"/>
        <v>0142-08</v>
      </c>
      <c r="AE54" s="81" t="str">
        <f t="shared" si="1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54" s="81" t="str">
        <f t="shared" si="20"/>
        <v>"C:\Program Files (x86)\AstroGrep\AstroGrep.exe" /spath="C:\Users\stu\Documents\Analysis\2016-02-23 RTDC Observations" /stypes="*4028*20160708*" /stext=" 15:.+((prompt.+disp)|(slice.+state.+chan)|(ment ac)|(system.+state.+chan)|(\|lc)|(penalty)|(\[timeout))" /e /r /s</v>
      </c>
      <c r="AG54" s="1" t="str">
        <f t="shared" si="16"/>
        <v>EC</v>
      </c>
    </row>
    <row r="55" spans="1:33" s="1" customFormat="1" x14ac:dyDescent="0.25">
      <c r="A55" s="53" t="s">
        <v>408</v>
      </c>
      <c r="B55" s="7">
        <v>4016</v>
      </c>
      <c r="C55" s="28" t="s">
        <v>60</v>
      </c>
      <c r="D55" s="28" t="s">
        <v>202</v>
      </c>
      <c r="E55" s="17">
        <v>42559.368344907409</v>
      </c>
      <c r="F55" s="17">
        <v>42559.369340277779</v>
      </c>
      <c r="G55" s="7">
        <v>1</v>
      </c>
      <c r="H55" s="17" t="s">
        <v>175</v>
      </c>
      <c r="I55" s="17">
        <v>42559.399780092594</v>
      </c>
      <c r="J55" s="7">
        <v>0</v>
      </c>
      <c r="K55" s="28" t="str">
        <f t="shared" si="21"/>
        <v>4015/4016</v>
      </c>
      <c r="L55" s="28" t="str">
        <f>VLOOKUP(A55,'Trips&amp;Operators'!$C$1:$E$10000,3,FALSE)</f>
        <v>KILLION</v>
      </c>
      <c r="M55" s="6">
        <f t="shared" si="22"/>
        <v>3.0439814814599231E-2</v>
      </c>
      <c r="N55" s="7">
        <f t="shared" si="15"/>
        <v>43.833333333022892</v>
      </c>
      <c r="O55" s="7"/>
      <c r="P55" s="7"/>
      <c r="Q55" s="29"/>
      <c r="R55" s="29"/>
      <c r="S55" s="47">
        <f t="shared" si="2"/>
        <v>1</v>
      </c>
      <c r="T55" s="75" t="str">
        <f t="shared" si="23"/>
        <v>NorthBound</v>
      </c>
      <c r="U55" s="114">
        <f>COUNTIFS(Variables!$M$2:$M$19,IF(T55="NorthBound","&gt;=","&lt;=")&amp;Y55,Variables!$M$2:$M$19,IF(T55="NorthBound","&lt;=","&gt;=")&amp;Z55)</f>
        <v>12</v>
      </c>
      <c r="V55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08:49:25-0600',mode:absolute,to:'2016-07-08 09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5" s="80" t="str">
        <f t="shared" si="25"/>
        <v>N</v>
      </c>
      <c r="X55" s="104">
        <f t="shared" si="30"/>
        <v>1</v>
      </c>
      <c r="Y55" s="101">
        <f t="shared" si="26"/>
        <v>4.82E-2</v>
      </c>
      <c r="Z55" s="101">
        <f t="shared" si="27"/>
        <v>23.328900000000001</v>
      </c>
      <c r="AA55" s="101">
        <f t="shared" si="28"/>
        <v>23.2807</v>
      </c>
      <c r="AB55" s="98" t="e">
        <f>VLOOKUP(A55,Enforcements!$C$7:$J$27,8,0)</f>
        <v>#N/A</v>
      </c>
      <c r="AC55" s="94" t="e">
        <f>VLOOKUP(A55,Enforcements!$C$7:$E$27,3,0)</f>
        <v>#N/A</v>
      </c>
      <c r="AD55" s="95" t="str">
        <f t="shared" si="29"/>
        <v>0143-08</v>
      </c>
      <c r="AE55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55" s="81" t="str">
        <f t="shared" si="20"/>
        <v>"C:\Program Files (x86)\AstroGrep\AstroGrep.exe" /spath="C:\Users\stu\Documents\Analysis\2016-02-23 RTDC Observations" /stypes="*4016*20160708*" /stext=" 14:.+((prompt.+disp)|(slice.+state.+chan)|(ment ac)|(system.+state.+chan)|(\|lc)|(penalty)|(\[timeout))" /e /r /s</v>
      </c>
      <c r="AG55" s="1" t="str">
        <f t="shared" si="16"/>
        <v>EC</v>
      </c>
    </row>
    <row r="56" spans="1:33" x14ac:dyDescent="0.25">
      <c r="A56" s="53" t="s">
        <v>395</v>
      </c>
      <c r="B56" s="7">
        <v>4015</v>
      </c>
      <c r="C56" s="28" t="s">
        <v>60</v>
      </c>
      <c r="D56" s="28" t="s">
        <v>238</v>
      </c>
      <c r="E56" s="17">
        <v>42559.402569444443</v>
      </c>
      <c r="F56" s="17">
        <v>42559.403310185182</v>
      </c>
      <c r="G56" s="7">
        <v>1</v>
      </c>
      <c r="H56" s="17" t="s">
        <v>83</v>
      </c>
      <c r="I56" s="17">
        <v>42559.439351851855</v>
      </c>
      <c r="J56" s="7">
        <v>0</v>
      </c>
      <c r="K56" s="28" t="str">
        <f t="shared" si="21"/>
        <v>4015/4016</v>
      </c>
      <c r="L56" s="28" t="str">
        <f>VLOOKUP(A56,'Trips&amp;Operators'!$C$1:$E$10000,3,FALSE)</f>
        <v>KILLION</v>
      </c>
      <c r="M56" s="6">
        <f t="shared" si="22"/>
        <v>3.6041666673554573E-2</v>
      </c>
      <c r="N56" s="7">
        <f t="shared" si="15"/>
        <v>51.900000009918585</v>
      </c>
      <c r="O56" s="7"/>
      <c r="P56" s="7"/>
      <c r="Q56" s="29"/>
      <c r="R56" s="29"/>
      <c r="S56" s="47">
        <f t="shared" si="2"/>
        <v>1</v>
      </c>
      <c r="T56" s="75" t="str">
        <f t="shared" si="23"/>
        <v>Southbound</v>
      </c>
      <c r="U56" s="114">
        <f>COUNTIFS(Variables!$M$2:$M$19,IF(T56="NorthBound","&gt;=","&lt;=")&amp;Y56,Variables!$M$2:$M$19,IF(T56="NorthBound","&lt;=","&gt;=")&amp;Z56)</f>
        <v>12</v>
      </c>
      <c r="V5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09:38:42-0600',mode:absolute,to:'2016-07-08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6" s="80" t="str">
        <f t="shared" si="25"/>
        <v>N</v>
      </c>
      <c r="X56" s="104">
        <f t="shared" si="30"/>
        <v>1</v>
      </c>
      <c r="Y56" s="101">
        <f t="shared" si="26"/>
        <v>23.298100000000002</v>
      </c>
      <c r="Z56" s="101">
        <f t="shared" si="27"/>
        <v>1.5800000000000002E-2</v>
      </c>
      <c r="AA56" s="101">
        <f t="shared" si="28"/>
        <v>23.282300000000003</v>
      </c>
      <c r="AB56" s="98" t="e">
        <f>VLOOKUP(A56,Enforcements!$C$7:$J$27,8,0)</f>
        <v>#N/A</v>
      </c>
      <c r="AC56" s="94" t="e">
        <f>VLOOKUP(A56,Enforcements!$C$7:$E$27,3,0)</f>
        <v>#N/A</v>
      </c>
      <c r="AD56" s="95" t="str">
        <f t="shared" si="29"/>
        <v>0144-08</v>
      </c>
      <c r="AE56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56" s="81" t="str">
        <f t="shared" si="20"/>
        <v>"C:\Program Files (x86)\AstroGrep\AstroGrep.exe" /spath="C:\Users\stu\Documents\Analysis\2016-02-23 RTDC Observations" /stypes="*4015*20160708*" /stext=" 15:.+((prompt.+disp)|(slice.+state.+chan)|(ment ac)|(system.+state.+chan)|(\|lc)|(penalty)|(\[timeout))" /e /r /s</v>
      </c>
      <c r="AG56" s="1" t="str">
        <f t="shared" si="16"/>
        <v>EC</v>
      </c>
    </row>
    <row r="57" spans="1:33" x14ac:dyDescent="0.25">
      <c r="A57" s="53" t="s">
        <v>395</v>
      </c>
      <c r="B57" s="7">
        <v>4015</v>
      </c>
      <c r="C57" s="28" t="s">
        <v>60</v>
      </c>
      <c r="D57" s="28" t="s">
        <v>238</v>
      </c>
      <c r="E57" s="17">
        <v>42559.412743055553</v>
      </c>
      <c r="F57" s="17">
        <v>42559.41375</v>
      </c>
      <c r="G57" s="7">
        <v>1</v>
      </c>
      <c r="H57" s="17" t="s">
        <v>83</v>
      </c>
      <c r="I57" s="17">
        <v>42559.439351851855</v>
      </c>
      <c r="J57" s="7">
        <v>0</v>
      </c>
      <c r="K57" s="28" t="str">
        <f t="shared" si="21"/>
        <v>4015/4016</v>
      </c>
      <c r="L57" s="28" t="str">
        <f>VLOOKUP(A57,'Trips&amp;Operators'!$C$1:$E$10000,3,FALSE)</f>
        <v>KILLION</v>
      </c>
      <c r="M57" s="6">
        <f t="shared" si="22"/>
        <v>2.5601851855753921E-2</v>
      </c>
      <c r="N57" s="7">
        <f t="shared" si="15"/>
        <v>36.866666672285646</v>
      </c>
      <c r="O57" s="7"/>
      <c r="P57" s="7"/>
      <c r="Q57" s="29"/>
      <c r="R57" s="29"/>
      <c r="S57" s="47">
        <f t="shared" si="2"/>
        <v>1</v>
      </c>
      <c r="T57" s="75" t="str">
        <f t="shared" si="23"/>
        <v>Southbound</v>
      </c>
      <c r="U57" s="114">
        <f>COUNTIFS(Variables!$M$2:$M$19,IF(T57="NorthBound","&gt;=","&lt;=")&amp;Y57,Variables!$M$2:$M$19,IF(T57="NorthBound","&lt;=","&gt;=")&amp;Z57)</f>
        <v>12</v>
      </c>
      <c r="V57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09:53:21-0600',mode:absolute,to:'2016-07-08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7" s="80" t="str">
        <f t="shared" si="25"/>
        <v>N</v>
      </c>
      <c r="X57" s="104">
        <f t="shared" si="30"/>
        <v>0</v>
      </c>
      <c r="Y57" s="101">
        <f t="shared" si="26"/>
        <v>23.298100000000002</v>
      </c>
      <c r="Z57" s="101">
        <f t="shared" si="27"/>
        <v>1.5800000000000002E-2</v>
      </c>
      <c r="AA57" s="101">
        <f t="shared" si="28"/>
        <v>23.282300000000003</v>
      </c>
      <c r="AB57" s="98" t="e">
        <f>VLOOKUP(A57,Enforcements!$C$7:$J$27,8,0)</f>
        <v>#N/A</v>
      </c>
      <c r="AC57" s="94" t="e">
        <f>VLOOKUP(A57,Enforcements!$C$7:$E$27,3,0)</f>
        <v>#N/A</v>
      </c>
      <c r="AD57" s="95" t="str">
        <f t="shared" si="29"/>
        <v>0144-08</v>
      </c>
      <c r="AE57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57" s="81" t="str">
        <f t="shared" si="20"/>
        <v>"C:\Program Files (x86)\AstroGrep\AstroGrep.exe" /spath="C:\Users\stu\Documents\Analysis\2016-02-23 RTDC Observations" /stypes="*4015*20160708*" /stext=" 15:.+((prompt.+disp)|(slice.+state.+chan)|(ment ac)|(system.+state.+chan)|(\|lc)|(penalty)|(\[timeout))" /e /r /s</v>
      </c>
      <c r="AG57" s="1" t="str">
        <f t="shared" si="16"/>
        <v>EC</v>
      </c>
    </row>
    <row r="58" spans="1:33" x14ac:dyDescent="0.25">
      <c r="A58" s="53" t="s">
        <v>418</v>
      </c>
      <c r="B58" s="7">
        <v>4025</v>
      </c>
      <c r="C58" s="28" t="s">
        <v>60</v>
      </c>
      <c r="D58" s="28" t="s">
        <v>451</v>
      </c>
      <c r="E58" s="17">
        <v>42559.378692129627</v>
      </c>
      <c r="F58" s="17">
        <v>42559.379756944443</v>
      </c>
      <c r="G58" s="7">
        <v>1</v>
      </c>
      <c r="H58" s="17" t="s">
        <v>153</v>
      </c>
      <c r="I58" s="17">
        <v>42559.41</v>
      </c>
      <c r="J58" s="7">
        <v>0</v>
      </c>
      <c r="K58" s="28" t="str">
        <f t="shared" si="21"/>
        <v>4025/4026</v>
      </c>
      <c r="L58" s="28" t="str">
        <f>VLOOKUP(A58,'Trips&amp;Operators'!$C$1:$E$10000,3,FALSE)</f>
        <v>STURGEON</v>
      </c>
      <c r="M58" s="6">
        <f t="shared" si="22"/>
        <v>3.0243055560276844E-2</v>
      </c>
      <c r="N58" s="7">
        <f t="shared" si="15"/>
        <v>43.550000006798655</v>
      </c>
      <c r="O58" s="7"/>
      <c r="P58" s="7"/>
      <c r="Q58" s="29"/>
      <c r="R58" s="29"/>
      <c r="S58" s="47">
        <f t="shared" si="2"/>
        <v>1</v>
      </c>
      <c r="T58" s="75" t="str">
        <f t="shared" si="23"/>
        <v>NorthBound</v>
      </c>
      <c r="U58" s="114">
        <f>COUNTIFS(Variables!$M$2:$M$19,IF(T58="NorthBound","&gt;=","&lt;=")&amp;Y58,Variables!$M$2:$M$19,IF(T58="NorthBound","&lt;=","&gt;=")&amp;Z58)</f>
        <v>12</v>
      </c>
      <c r="V58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09:04:19-0600',mode:absolute,to:'2016-07-08 09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80" t="str">
        <f t="shared" si="25"/>
        <v>N</v>
      </c>
      <c r="X58" s="104">
        <f t="shared" si="30"/>
        <v>1</v>
      </c>
      <c r="Y58" s="101">
        <f t="shared" si="26"/>
        <v>4.6899999999999997E-2</v>
      </c>
      <c r="Z58" s="101">
        <f t="shared" si="27"/>
        <v>23.328600000000002</v>
      </c>
      <c r="AA58" s="101">
        <f t="shared" si="28"/>
        <v>23.281700000000001</v>
      </c>
      <c r="AB58" s="98" t="e">
        <f>VLOOKUP(A58,Enforcements!$C$7:$J$27,8,0)</f>
        <v>#N/A</v>
      </c>
      <c r="AC58" s="94" t="e">
        <f>VLOOKUP(A58,Enforcements!$C$7:$E$27,3,0)</f>
        <v>#N/A</v>
      </c>
      <c r="AD58" s="95" t="str">
        <f t="shared" si="29"/>
        <v>0145-08</v>
      </c>
      <c r="AE58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58" s="81" t="str">
        <f t="shared" si="20"/>
        <v>"C:\Program Files (x86)\AstroGrep\AstroGrep.exe" /spath="C:\Users\stu\Documents\Analysis\2016-02-23 RTDC Observations" /stypes="*4025*20160708*" /stext=" 15:.+((prompt.+disp)|(slice.+state.+chan)|(ment ac)|(system.+state.+chan)|(\|lc)|(penalty)|(\[timeout))" /e /r /s</v>
      </c>
      <c r="AG58" s="1" t="str">
        <f t="shared" si="16"/>
        <v>EC</v>
      </c>
    </row>
    <row r="59" spans="1:33" x14ac:dyDescent="0.25">
      <c r="A59" s="53" t="s">
        <v>376</v>
      </c>
      <c r="B59" s="7">
        <v>4026</v>
      </c>
      <c r="C59" s="28" t="s">
        <v>60</v>
      </c>
      <c r="D59" s="28" t="s">
        <v>452</v>
      </c>
      <c r="E59" s="17">
        <v>42559.433958333335</v>
      </c>
      <c r="F59" s="17">
        <v>42559.434525462966</v>
      </c>
      <c r="G59" s="7">
        <v>0</v>
      </c>
      <c r="H59" s="17" t="s">
        <v>453</v>
      </c>
      <c r="I59" s="17">
        <v>42559.447395833333</v>
      </c>
      <c r="J59" s="7">
        <v>1</v>
      </c>
      <c r="K59" s="28" t="str">
        <f t="shared" si="21"/>
        <v>4025/4026</v>
      </c>
      <c r="L59" s="28" t="str">
        <f>VLOOKUP(A59,'Trips&amp;Operators'!$C$1:$E$10000,3,FALSE)</f>
        <v>STURGEON</v>
      </c>
      <c r="M59" s="6">
        <f t="shared" si="22"/>
        <v>1.2870370366727002E-2</v>
      </c>
      <c r="N59" s="7"/>
      <c r="O59" s="7"/>
      <c r="P59" s="7">
        <f>24*60*SUM($M59:$M61)</f>
        <v>38.46666665864177</v>
      </c>
      <c r="Q59" s="29"/>
      <c r="R59" s="29" t="s">
        <v>136</v>
      </c>
      <c r="S59" s="47">
        <f>SUM(U59:U61)/12</f>
        <v>0.91666666666666663</v>
      </c>
      <c r="T59" s="75" t="str">
        <f t="shared" si="23"/>
        <v>Southbound</v>
      </c>
      <c r="U59" s="114">
        <f>COUNTIFS(Variables!$M$2:$M$19,IF(T59="NorthBound","&gt;=","&lt;=")&amp;Y59,Variables!$M$2:$M$19,IF(T59="NorthBound","&lt;=","&gt;=")&amp;Z59)</f>
        <v>8</v>
      </c>
      <c r="V59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80" t="str">
        <f t="shared" si="25"/>
        <v>Y</v>
      </c>
      <c r="X59" s="104">
        <f t="shared" si="30"/>
        <v>1</v>
      </c>
      <c r="Y59" s="101">
        <f t="shared" si="26"/>
        <v>15.399900000000001</v>
      </c>
      <c r="Z59" s="101">
        <f t="shared" si="27"/>
        <v>4.2925000000000004</v>
      </c>
      <c r="AA59" s="101">
        <f t="shared" si="28"/>
        <v>11.1074</v>
      </c>
      <c r="AB59" s="98">
        <f>VLOOKUP(A59,Enforcements!$C$7:$J$27,8,0)</f>
        <v>43664</v>
      </c>
      <c r="AC59" s="94" t="str">
        <f>VLOOKUP(A59,Enforcements!$C$7:$E$27,3,0)</f>
        <v>SIGNAL</v>
      </c>
      <c r="AD59" s="95" t="str">
        <f t="shared" si="29"/>
        <v>0146-08</v>
      </c>
      <c r="AE59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59" s="81" t="str">
        <f t="shared" si="20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59" s="1" t="str">
        <f t="shared" si="16"/>
        <v>EC</v>
      </c>
    </row>
    <row r="60" spans="1:33" x14ac:dyDescent="0.25">
      <c r="A60" s="53" t="s">
        <v>376</v>
      </c>
      <c r="B60" s="7">
        <v>4026</v>
      </c>
      <c r="C60" s="28" t="s">
        <v>60</v>
      </c>
      <c r="D60" s="28" t="s">
        <v>69</v>
      </c>
      <c r="E60" s="17">
        <v>42559.420335648145</v>
      </c>
      <c r="F60" s="17">
        <v>42559.421539351853</v>
      </c>
      <c r="G60" s="7">
        <v>1</v>
      </c>
      <c r="H60" s="17" t="s">
        <v>454</v>
      </c>
      <c r="I60" s="17">
        <v>42559.42800925926</v>
      </c>
      <c r="J60" s="7">
        <v>1</v>
      </c>
      <c r="K60" s="28" t="str">
        <f t="shared" si="21"/>
        <v>4025/4026</v>
      </c>
      <c r="L60" s="28" t="str">
        <f>VLOOKUP(A60,'Trips&amp;Operators'!$C$1:$E$10000,3,FALSE)</f>
        <v>STURGEON</v>
      </c>
      <c r="M60" s="6">
        <f t="shared" si="22"/>
        <v>6.4699074064265005E-3</v>
      </c>
      <c r="N60" s="7"/>
      <c r="O60" s="7"/>
      <c r="P60" s="7"/>
      <c r="Q60" s="29"/>
      <c r="R60" s="29"/>
      <c r="S60" s="47"/>
      <c r="T60" s="75" t="str">
        <f t="shared" si="23"/>
        <v>Southbound</v>
      </c>
      <c r="U60" s="114">
        <f>COUNTIFS(Variables!$M$2:$M$19,IF(T60="NorthBound","&gt;=","&lt;=")&amp;Y60,Variables!$M$2:$M$19,IF(T60="NorthBound","&lt;=","&gt;=")&amp;Z60)</f>
        <v>0</v>
      </c>
      <c r="V60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10:04:17-0600',mode:absolute,to:'2016-07-08 10:17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0" s="80" t="str">
        <f t="shared" si="25"/>
        <v>Y</v>
      </c>
      <c r="X60" s="104">
        <f t="shared" si="30"/>
        <v>0</v>
      </c>
      <c r="Y60" s="101">
        <f t="shared" si="26"/>
        <v>23.297699999999999</v>
      </c>
      <c r="Z60" s="101">
        <f t="shared" si="27"/>
        <v>22.5626</v>
      </c>
      <c r="AA60" s="101">
        <f t="shared" si="28"/>
        <v>0.7350999999999992</v>
      </c>
      <c r="AB60" s="98">
        <f>VLOOKUP(A60,Enforcements!$C$7:$J$27,8,0)</f>
        <v>43664</v>
      </c>
      <c r="AC60" s="94" t="str">
        <f>VLOOKUP(A60,Enforcements!$C$7:$E$27,3,0)</f>
        <v>SIGNAL</v>
      </c>
      <c r="AD60" s="95" t="str">
        <f t="shared" si="29"/>
        <v>0146-08</v>
      </c>
      <c r="AE60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60" s="81" t="str">
        <f t="shared" si="20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60" s="1" t="str">
        <f t="shared" si="16"/>
        <v>EC</v>
      </c>
    </row>
    <row r="61" spans="1:33" x14ac:dyDescent="0.25">
      <c r="A61" s="53" t="s">
        <v>376</v>
      </c>
      <c r="B61" s="7">
        <v>4026</v>
      </c>
      <c r="C61" s="28" t="s">
        <v>60</v>
      </c>
      <c r="D61" s="28" t="s">
        <v>455</v>
      </c>
      <c r="E61" s="17">
        <v>42559.448634259257</v>
      </c>
      <c r="F61" s="17">
        <v>42559.449131944442</v>
      </c>
      <c r="G61" s="7">
        <v>0</v>
      </c>
      <c r="H61" s="17" t="s">
        <v>83</v>
      </c>
      <c r="I61" s="17">
        <v>42559.456504629627</v>
      </c>
      <c r="J61" s="7">
        <v>0</v>
      </c>
      <c r="K61" s="28" t="str">
        <f t="shared" si="21"/>
        <v>4025/4026</v>
      </c>
      <c r="L61" s="28" t="str">
        <f>VLOOKUP(A61,'Trips&amp;Operators'!$C$1:$E$10000,3,FALSE)</f>
        <v>STURGEON</v>
      </c>
      <c r="M61" s="6">
        <f t="shared" si="22"/>
        <v>7.3726851842366159E-3</v>
      </c>
      <c r="N61" s="7"/>
      <c r="O61" s="7"/>
      <c r="P61" s="7"/>
      <c r="Q61" s="29"/>
      <c r="R61" s="29"/>
      <c r="S61" s="47"/>
      <c r="T61" s="75" t="str">
        <f t="shared" si="23"/>
        <v>Southbound</v>
      </c>
      <c r="U61" s="114">
        <f>COUNTIFS(Variables!$M$2:$M$19,IF(T61="NorthBound","&gt;=","&lt;=")&amp;Y61,Variables!$M$2:$M$19,IF(T61="NorthBound","&lt;=","&gt;=")&amp;Z61)</f>
        <v>3</v>
      </c>
      <c r="V61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10:45:02-0600',mode:absolute,to:'2016-07-08 10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1" s="80" t="str">
        <f t="shared" si="25"/>
        <v>Y</v>
      </c>
      <c r="X61" s="104">
        <f t="shared" si="30"/>
        <v>0</v>
      </c>
      <c r="Y61" s="101">
        <f t="shared" si="26"/>
        <v>3.681</v>
      </c>
      <c r="Z61" s="101">
        <f t="shared" si="27"/>
        <v>1.5800000000000002E-2</v>
      </c>
      <c r="AA61" s="101">
        <f t="shared" si="28"/>
        <v>3.6652</v>
      </c>
      <c r="AB61" s="98">
        <f>VLOOKUP(A61,Enforcements!$C$7:$J$27,8,0)</f>
        <v>43664</v>
      </c>
      <c r="AC61" s="94" t="str">
        <f>VLOOKUP(A61,Enforcements!$C$7:$E$27,3,0)</f>
        <v>SIGNAL</v>
      </c>
      <c r="AD61" s="95" t="str">
        <f t="shared" si="29"/>
        <v>0146-08</v>
      </c>
      <c r="AE61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61" s="81" t="str">
        <f t="shared" si="20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61" s="1" t="str">
        <f t="shared" si="16"/>
        <v>EC</v>
      </c>
    </row>
    <row r="62" spans="1:33" x14ac:dyDescent="0.25">
      <c r="A62" s="53" t="s">
        <v>406</v>
      </c>
      <c r="B62" s="7">
        <v>4044</v>
      </c>
      <c r="C62" s="28" t="s">
        <v>60</v>
      </c>
      <c r="D62" s="28" t="s">
        <v>67</v>
      </c>
      <c r="E62" s="17">
        <v>42559.390138888892</v>
      </c>
      <c r="F62" s="17">
        <v>42559.391180555554</v>
      </c>
      <c r="G62" s="7">
        <v>1</v>
      </c>
      <c r="H62" s="17" t="s">
        <v>246</v>
      </c>
      <c r="I62" s="17">
        <v>42559.420902777776</v>
      </c>
      <c r="J62" s="7">
        <v>0</v>
      </c>
      <c r="K62" s="28" t="str">
        <f t="shared" si="21"/>
        <v>4043/4044</v>
      </c>
      <c r="L62" s="28" t="str">
        <f>VLOOKUP(A62,'Trips&amp;Operators'!$C$1:$E$10000,3,FALSE)</f>
        <v>CANFIELD</v>
      </c>
      <c r="M62" s="6">
        <f t="shared" si="22"/>
        <v>2.9722222221607808E-2</v>
      </c>
      <c r="N62" s="7">
        <f t="shared" ref="N62:N74" si="31">24*60*SUM($M62:$M62)</f>
        <v>42.799999999115244</v>
      </c>
      <c r="O62" s="7"/>
      <c r="P62" s="7"/>
      <c r="Q62" s="29"/>
      <c r="R62" s="29"/>
      <c r="S62" s="47">
        <f t="shared" ref="S62:S105" si="32">SUM(U62:U62)/12</f>
        <v>1</v>
      </c>
      <c r="T62" s="75" t="str">
        <f t="shared" si="23"/>
        <v>NorthBound</v>
      </c>
      <c r="U62" s="114">
        <f>COUNTIFS(Variables!$M$2:$M$19,IF(T62="NorthBound","&gt;=","&lt;=")&amp;Y62,Variables!$M$2:$M$19,IF(T62="NorthBound","&lt;=","&gt;=")&amp;Z62)</f>
        <v>12</v>
      </c>
      <c r="V62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09:20:48-0600',mode:absolute,to:'2016-07-08 10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2" s="80" t="str">
        <f t="shared" si="25"/>
        <v>N</v>
      </c>
      <c r="X62" s="104">
        <f t="shared" si="30"/>
        <v>1</v>
      </c>
      <c r="Y62" s="101">
        <f t="shared" si="26"/>
        <v>4.5999999999999999E-2</v>
      </c>
      <c r="Z62" s="101">
        <f t="shared" si="27"/>
        <v>23.329799999999999</v>
      </c>
      <c r="AA62" s="101">
        <f t="shared" si="28"/>
        <v>23.283799999999999</v>
      </c>
      <c r="AB62" s="98" t="e">
        <f>VLOOKUP(A62,Enforcements!$C$7:$J$27,8,0)</f>
        <v>#N/A</v>
      </c>
      <c r="AC62" s="94" t="e">
        <f>VLOOKUP(A62,Enforcements!$C$7:$E$27,3,0)</f>
        <v>#N/A</v>
      </c>
      <c r="AD62" s="95" t="str">
        <f t="shared" si="29"/>
        <v>0147-08</v>
      </c>
      <c r="AE62" s="81" t="str">
        <f t="shared" si="1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62" s="81" t="str">
        <f t="shared" si="20"/>
        <v>"C:\Program Files (x86)\AstroGrep\AstroGrep.exe" /spath="C:\Users\stu\Documents\Analysis\2016-02-23 RTDC Observations" /stypes="*4044*20160708*" /stext=" 15:.+((prompt.+disp)|(slice.+state.+chan)|(ment ac)|(system.+state.+chan)|(\|lc)|(penalty)|(\[timeout))" /e /r /s</v>
      </c>
      <c r="AG62" s="1" t="str">
        <f t="shared" si="16"/>
        <v>EC</v>
      </c>
    </row>
    <row r="63" spans="1:33" x14ac:dyDescent="0.25">
      <c r="A63" s="53" t="s">
        <v>407</v>
      </c>
      <c r="B63" s="7">
        <v>4043</v>
      </c>
      <c r="C63" s="28" t="s">
        <v>60</v>
      </c>
      <c r="D63" s="28" t="s">
        <v>239</v>
      </c>
      <c r="E63" s="17">
        <v>42559.427986111114</v>
      </c>
      <c r="F63" s="17">
        <v>42559.429178240738</v>
      </c>
      <c r="G63" s="7">
        <v>1</v>
      </c>
      <c r="H63" s="17" t="s">
        <v>112</v>
      </c>
      <c r="I63" s="17">
        <v>42559.460590277777</v>
      </c>
      <c r="J63" s="7">
        <v>0</v>
      </c>
      <c r="K63" s="28" t="str">
        <f t="shared" si="21"/>
        <v>4043/4044</v>
      </c>
      <c r="L63" s="28" t="str">
        <f>VLOOKUP(A63,'Trips&amp;Operators'!$C$1:$E$10000,3,FALSE)</f>
        <v>CANFIELD</v>
      </c>
      <c r="M63" s="6">
        <f t="shared" si="22"/>
        <v>3.1412037038535345E-2</v>
      </c>
      <c r="N63" s="7">
        <f t="shared" si="31"/>
        <v>45.233333335490897</v>
      </c>
      <c r="O63" s="7"/>
      <c r="P63" s="7"/>
      <c r="Q63" s="29"/>
      <c r="R63" s="29"/>
      <c r="S63" s="47">
        <f t="shared" si="32"/>
        <v>1</v>
      </c>
      <c r="T63" s="75" t="str">
        <f t="shared" si="23"/>
        <v>Southbound</v>
      </c>
      <c r="U63" s="114">
        <f>COUNTIFS(Variables!$M$2:$M$19,IF(T63="NorthBound","&gt;=","&lt;=")&amp;Y63,Variables!$M$2:$M$19,IF(T63="NorthBound","&lt;=","&gt;=")&amp;Z63)</f>
        <v>12</v>
      </c>
      <c r="V63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10:15:18-0600',mode:absolute,to:'2016-07-08 11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3" s="80" t="str">
        <f t="shared" si="25"/>
        <v>N</v>
      </c>
      <c r="X63" s="104">
        <f t="shared" si="30"/>
        <v>1</v>
      </c>
      <c r="Y63" s="101">
        <f t="shared" si="26"/>
        <v>23.297899999999998</v>
      </c>
      <c r="Z63" s="101">
        <f t="shared" si="27"/>
        <v>1.43E-2</v>
      </c>
      <c r="AA63" s="101">
        <f t="shared" si="28"/>
        <v>23.2836</v>
      </c>
      <c r="AB63" s="98" t="e">
        <f>VLOOKUP(A63,Enforcements!$C$7:$J$27,8,0)</f>
        <v>#N/A</v>
      </c>
      <c r="AC63" s="94" t="e">
        <f>VLOOKUP(A63,Enforcements!$C$7:$E$27,3,0)</f>
        <v>#N/A</v>
      </c>
      <c r="AD63" s="95" t="str">
        <f t="shared" si="29"/>
        <v>0148-08</v>
      </c>
      <c r="AE63" s="81" t="str">
        <f t="shared" si="1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63" s="81" t="str">
        <f t="shared" si="20"/>
        <v>"C:\Program Files (x86)\AstroGrep\AstroGrep.exe" /spath="C:\Users\stu\Documents\Analysis\2016-02-23 RTDC Observations" /stypes="*4043*20160708*" /stext=" 16:.+((prompt.+disp)|(slice.+state.+chan)|(ment ac)|(system.+state.+chan)|(\|lc)|(penalty)|(\[timeout))" /e /r /s</v>
      </c>
      <c r="AG63" s="1" t="str">
        <f t="shared" si="16"/>
        <v>EC</v>
      </c>
    </row>
    <row r="64" spans="1:33" x14ac:dyDescent="0.25">
      <c r="A64" s="53" t="s">
        <v>373</v>
      </c>
      <c r="B64" s="7">
        <v>4040</v>
      </c>
      <c r="C64" s="28" t="s">
        <v>60</v>
      </c>
      <c r="D64" s="28" t="s">
        <v>157</v>
      </c>
      <c r="E64" s="17">
        <v>42559.403668981482</v>
      </c>
      <c r="F64" s="17">
        <v>42559.404803240737</v>
      </c>
      <c r="G64" s="7">
        <v>1</v>
      </c>
      <c r="H64" s="17" t="s">
        <v>456</v>
      </c>
      <c r="I64" s="17">
        <v>42559.432083333333</v>
      </c>
      <c r="J64" s="7">
        <v>3</v>
      </c>
      <c r="K64" s="28" t="str">
        <f t="shared" si="21"/>
        <v>4039/4040</v>
      </c>
      <c r="L64" s="28" t="str">
        <f>VLOOKUP(A64,'Trips&amp;Operators'!$C$1:$E$10000,3,FALSE)</f>
        <v>STARKS</v>
      </c>
      <c r="M64" s="6">
        <f t="shared" si="22"/>
        <v>2.7280092595901806E-2</v>
      </c>
      <c r="N64" s="7">
        <f t="shared" si="31"/>
        <v>39.283333338098601</v>
      </c>
      <c r="O64" s="7"/>
      <c r="P64" s="7"/>
      <c r="Q64" s="29"/>
      <c r="R64" s="29"/>
      <c r="S64" s="47">
        <f t="shared" si="32"/>
        <v>1</v>
      </c>
      <c r="T64" s="75" t="str">
        <f t="shared" si="23"/>
        <v>NorthBound</v>
      </c>
      <c r="U64" s="114">
        <f>COUNTIFS(Variables!$M$2:$M$19,IF(T64="NorthBound","&gt;=","&lt;=")&amp;Y64,Variables!$M$2:$M$19,IF(T64="NorthBound","&lt;=","&gt;=")&amp;Z64)</f>
        <v>12</v>
      </c>
      <c r="V64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4" s="80" t="str">
        <f t="shared" si="25"/>
        <v>N</v>
      </c>
      <c r="X64" s="104">
        <f t="shared" si="30"/>
        <v>1</v>
      </c>
      <c r="Y64" s="101">
        <f t="shared" si="26"/>
        <v>4.4900000000000002E-2</v>
      </c>
      <c r="Z64" s="101">
        <f t="shared" si="27"/>
        <v>23.3293</v>
      </c>
      <c r="AA64" s="101">
        <f t="shared" si="28"/>
        <v>23.284400000000002</v>
      </c>
      <c r="AB64" s="98">
        <f>VLOOKUP(A64,Enforcements!$C$7:$J$27,8,0)</f>
        <v>0</v>
      </c>
      <c r="AC64" s="94" t="str">
        <f>VLOOKUP(A64,Enforcements!$C$7:$E$27,3,0)</f>
        <v>PERMANENT SPEED RESTRICTION</v>
      </c>
      <c r="AD64" s="95" t="str">
        <f t="shared" si="29"/>
        <v>0149-08</v>
      </c>
      <c r="AE64" s="81" t="str">
        <f t="shared" si="1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64" s="81" t="str">
        <f t="shared" si="20"/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AG64" s="1" t="str">
        <f t="shared" si="16"/>
        <v>EC</v>
      </c>
    </row>
    <row r="65" spans="1:33" x14ac:dyDescent="0.25">
      <c r="A65" s="53" t="s">
        <v>378</v>
      </c>
      <c r="B65" s="7">
        <v>4039</v>
      </c>
      <c r="C65" s="28" t="s">
        <v>60</v>
      </c>
      <c r="D65" s="28" t="s">
        <v>457</v>
      </c>
      <c r="E65" s="17">
        <v>42559.441932870373</v>
      </c>
      <c r="F65" s="17">
        <v>42559.44326388889</v>
      </c>
      <c r="G65" s="7">
        <v>1</v>
      </c>
      <c r="H65" s="17" t="s">
        <v>72</v>
      </c>
      <c r="I65" s="17">
        <v>42559.472349537034</v>
      </c>
      <c r="J65" s="7">
        <v>1</v>
      </c>
      <c r="K65" s="28" t="str">
        <f t="shared" si="21"/>
        <v>4039/4040</v>
      </c>
      <c r="L65" s="28" t="str">
        <f>VLOOKUP(A65,'Trips&amp;Operators'!$C$1:$E$10000,3,FALSE)</f>
        <v>STARKS</v>
      </c>
      <c r="M65" s="6">
        <f t="shared" si="22"/>
        <v>2.9085648144246079E-2</v>
      </c>
      <c r="N65" s="7">
        <f t="shared" si="31"/>
        <v>41.883333327714354</v>
      </c>
      <c r="O65" s="7"/>
      <c r="P65" s="7"/>
      <c r="Q65" s="29"/>
      <c r="R65" s="29"/>
      <c r="S65" s="47">
        <f t="shared" si="32"/>
        <v>1</v>
      </c>
      <c r="T65" s="75" t="str">
        <f t="shared" si="23"/>
        <v>Southbound</v>
      </c>
      <c r="U65" s="114">
        <f>COUNTIFS(Variables!$M$2:$M$19,IF(T65="NorthBound","&gt;=","&lt;=")&amp;Y65,Variables!$M$2:$M$19,IF(T65="NorthBound","&lt;=","&gt;=")&amp;Z65)</f>
        <v>12</v>
      </c>
      <c r="V65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10:35:23-0600',mode:absolute,to:'2016-07-08 11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5" s="80" t="str">
        <f t="shared" si="25"/>
        <v>N</v>
      </c>
      <c r="X65" s="104">
        <f t="shared" si="30"/>
        <v>1</v>
      </c>
      <c r="Y65" s="101">
        <f t="shared" si="26"/>
        <v>23.296299999999999</v>
      </c>
      <c r="Z65" s="101">
        <f t="shared" si="27"/>
        <v>1.49E-2</v>
      </c>
      <c r="AA65" s="101">
        <f t="shared" si="28"/>
        <v>23.281399999999998</v>
      </c>
      <c r="AB65" s="98">
        <f>VLOOKUP(A65,Enforcements!$C$7:$J$27,8,0)</f>
        <v>30562</v>
      </c>
      <c r="AC65" s="94" t="str">
        <f>VLOOKUP(A65,Enforcements!$C$7:$E$27,3,0)</f>
        <v>PERMANENT SPEED RESTRICTION</v>
      </c>
      <c r="AD65" s="95" t="str">
        <f t="shared" si="29"/>
        <v>0150-08</v>
      </c>
      <c r="AE65" s="81" t="str">
        <f t="shared" si="1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65" s="81" t="str">
        <f t="shared" si="20"/>
        <v>"C:\Program Files (x86)\AstroGrep\AstroGrep.exe" /spath="C:\Users\stu\Documents\Analysis\2016-02-23 RTDC Observations" /stypes="*4039*20160708*" /stext=" 16:.+((prompt.+disp)|(slice.+state.+chan)|(ment ac)|(system.+state.+chan)|(\|lc)|(penalty)|(\[timeout))" /e /r /s</v>
      </c>
      <c r="AG65" s="1" t="str">
        <f t="shared" si="16"/>
        <v>EC</v>
      </c>
    </row>
    <row r="66" spans="1:33" x14ac:dyDescent="0.25">
      <c r="A66" s="53" t="s">
        <v>377</v>
      </c>
      <c r="B66" s="7">
        <v>4014</v>
      </c>
      <c r="C66" s="28" t="s">
        <v>60</v>
      </c>
      <c r="D66" s="28" t="s">
        <v>275</v>
      </c>
      <c r="E66" s="17">
        <v>42559.415532407409</v>
      </c>
      <c r="F66" s="17">
        <v>42559.41646990741</v>
      </c>
      <c r="G66" s="7">
        <v>1</v>
      </c>
      <c r="H66" s="17" t="s">
        <v>246</v>
      </c>
      <c r="I66" s="17">
        <v>42559.441851851851</v>
      </c>
      <c r="J66" s="7">
        <v>1</v>
      </c>
      <c r="K66" s="28" t="str">
        <f t="shared" si="21"/>
        <v>4013/4014</v>
      </c>
      <c r="L66" s="28" t="str">
        <f>VLOOKUP(A66,'Trips&amp;Operators'!$C$1:$E$10000,3,FALSE)</f>
        <v>MALAVE</v>
      </c>
      <c r="M66" s="6">
        <f t="shared" si="22"/>
        <v>2.5381944440596271E-2</v>
      </c>
      <c r="N66" s="7">
        <f t="shared" si="31"/>
        <v>36.549999994458631</v>
      </c>
      <c r="O66" s="7"/>
      <c r="P66" s="7"/>
      <c r="Q66" s="29"/>
      <c r="R66" s="29"/>
      <c r="S66" s="47">
        <f t="shared" si="32"/>
        <v>1</v>
      </c>
      <c r="T66" s="75" t="str">
        <f t="shared" si="23"/>
        <v>NorthBound</v>
      </c>
      <c r="U66" s="114">
        <f>COUNTIFS(Variables!$M$2:$M$19,IF(T66="NorthBound","&gt;=","&lt;=")&amp;Y66,Variables!$M$2:$M$19,IF(T66="NorthBound","&lt;=","&gt;=")&amp;Z66)</f>
        <v>12</v>
      </c>
      <c r="V6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09:57:22-0600',mode:absolute,to:'2016-07-08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6" s="80" t="str">
        <f t="shared" si="25"/>
        <v>N</v>
      </c>
      <c r="X66" s="104">
        <f t="shared" si="30"/>
        <v>1</v>
      </c>
      <c r="Y66" s="101">
        <f t="shared" si="26"/>
        <v>4.4699999999999997E-2</v>
      </c>
      <c r="Z66" s="101">
        <f t="shared" si="27"/>
        <v>23.329799999999999</v>
      </c>
      <c r="AA66" s="101">
        <f t="shared" si="28"/>
        <v>23.2851</v>
      </c>
      <c r="AB66" s="98">
        <f>VLOOKUP(A66,Enforcements!$C$7:$J$27,8,0)</f>
        <v>149694</v>
      </c>
      <c r="AC66" s="94" t="str">
        <f>VLOOKUP(A66,Enforcements!$C$7:$E$27,3,0)</f>
        <v>SIGNAL</v>
      </c>
      <c r="AD66" s="95" t="str">
        <f t="shared" si="29"/>
        <v>0151-08</v>
      </c>
      <c r="AE66" s="81" t="str">
        <f t="shared" si="1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66" s="81" t="str">
        <f t="shared" si="20"/>
        <v>"C:\Program Files (x86)\AstroGrep\AstroGrep.exe" /spath="C:\Users\stu\Documents\Analysis\2016-02-23 RTDC Observations" /stypes="*4014*20160708*" /stext=" 15:.+((prompt.+disp)|(slice.+state.+chan)|(ment ac)|(system.+state.+chan)|(\|lc)|(penalty)|(\[timeout))" /e /r /s</v>
      </c>
      <c r="AG66" s="1" t="str">
        <f t="shared" si="16"/>
        <v>EC</v>
      </c>
    </row>
    <row r="67" spans="1:33" x14ac:dyDescent="0.25">
      <c r="A67" s="53" t="s">
        <v>379</v>
      </c>
      <c r="B67" s="7">
        <v>4013</v>
      </c>
      <c r="C67" s="28" t="s">
        <v>60</v>
      </c>
      <c r="D67" s="28" t="s">
        <v>296</v>
      </c>
      <c r="E67" s="17">
        <v>42559.454375000001</v>
      </c>
      <c r="F67" s="17">
        <v>42559.455706018518</v>
      </c>
      <c r="G67" s="7">
        <v>1</v>
      </c>
      <c r="H67" s="17" t="s">
        <v>158</v>
      </c>
      <c r="I67" s="17">
        <v>42559.481562499997</v>
      </c>
      <c r="J67" s="7">
        <v>2</v>
      </c>
      <c r="K67" s="28" t="str">
        <f t="shared" si="21"/>
        <v>4013/4014</v>
      </c>
      <c r="L67" s="28" t="str">
        <f>VLOOKUP(A67,'Trips&amp;Operators'!$C$1:$E$10000,3,FALSE)</f>
        <v>MALAVE</v>
      </c>
      <c r="M67" s="6">
        <f t="shared" si="22"/>
        <v>2.5856481479422655E-2</v>
      </c>
      <c r="N67" s="7">
        <f t="shared" si="31"/>
        <v>37.233333330368623</v>
      </c>
      <c r="O67" s="7"/>
      <c r="P67" s="7"/>
      <c r="Q67" s="29"/>
      <c r="R67" s="29"/>
      <c r="S67" s="47">
        <f t="shared" si="32"/>
        <v>1</v>
      </c>
      <c r="T67" s="75" t="str">
        <f t="shared" si="23"/>
        <v>Southbound</v>
      </c>
      <c r="U67" s="114">
        <f>COUNTIFS(Variables!$M$2:$M$19,IF(T67="NorthBound","&gt;=","&lt;=")&amp;Y67,Variables!$M$2:$M$19,IF(T67="NorthBound","&lt;=","&gt;=")&amp;Z67)</f>
        <v>12</v>
      </c>
      <c r="V67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7" s="80" t="str">
        <f t="shared" si="25"/>
        <v>N</v>
      </c>
      <c r="X67" s="104">
        <f t="shared" si="30"/>
        <v>1</v>
      </c>
      <c r="Y67" s="101">
        <f t="shared" si="26"/>
        <v>23.298500000000001</v>
      </c>
      <c r="Z67" s="101">
        <f t="shared" si="27"/>
        <v>1.61E-2</v>
      </c>
      <c r="AA67" s="101">
        <f t="shared" si="28"/>
        <v>23.282399999999999</v>
      </c>
      <c r="AB67" s="98">
        <f>VLOOKUP(A67,Enforcements!$C$7:$J$27,8,0)</f>
        <v>119716</v>
      </c>
      <c r="AC67" s="94" t="str">
        <f>VLOOKUP(A67,Enforcements!$C$7:$E$27,3,0)</f>
        <v>PERMANENT SPEED RESTRICTION</v>
      </c>
      <c r="AD67" s="95" t="str">
        <f t="shared" si="29"/>
        <v>0152-08</v>
      </c>
      <c r="AE67" s="81" t="str">
        <f t="shared" si="1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67" s="81" t="str">
        <f t="shared" si="20"/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AG67" s="1" t="str">
        <f t="shared" si="16"/>
        <v>EC</v>
      </c>
    </row>
    <row r="68" spans="1:33" x14ac:dyDescent="0.25">
      <c r="A68" s="53" t="s">
        <v>390</v>
      </c>
      <c r="B68" s="7">
        <v>4011</v>
      </c>
      <c r="C68" s="28" t="s">
        <v>60</v>
      </c>
      <c r="D68" s="28" t="s">
        <v>282</v>
      </c>
      <c r="E68" s="17">
        <v>42559.422094907408</v>
      </c>
      <c r="F68" s="17">
        <v>42559.423541666663</v>
      </c>
      <c r="G68" s="7">
        <v>2</v>
      </c>
      <c r="H68" s="17" t="s">
        <v>458</v>
      </c>
      <c r="I68" s="17">
        <v>42559.451597222222</v>
      </c>
      <c r="J68" s="7">
        <v>0</v>
      </c>
      <c r="K68" s="28" t="str">
        <f t="shared" si="21"/>
        <v>4011/4012</v>
      </c>
      <c r="L68" s="28" t="str">
        <f>VLOOKUP(A68,'Trips&amp;Operators'!$C$1:$E$10000,3,FALSE)</f>
        <v>YANAI</v>
      </c>
      <c r="M68" s="6">
        <f t="shared" si="22"/>
        <v>2.8055555558239575E-2</v>
      </c>
      <c r="N68" s="7">
        <f t="shared" si="31"/>
        <v>40.400000003864989</v>
      </c>
      <c r="O68" s="7"/>
      <c r="P68" s="7"/>
      <c r="Q68" s="29"/>
      <c r="R68" s="29"/>
      <c r="S68" s="47">
        <f t="shared" si="32"/>
        <v>1</v>
      </c>
      <c r="T68" s="75" t="str">
        <f t="shared" si="23"/>
        <v>NorthBound</v>
      </c>
      <c r="U68" s="114">
        <f>COUNTIFS(Variables!$M$2:$M$19,IF(T68="NorthBound","&gt;=","&lt;=")&amp;Y68,Variables!$M$2:$M$19,IF(T68="NorthBound","&lt;=","&gt;=")&amp;Z68)</f>
        <v>12</v>
      </c>
      <c r="V68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10:06:49-0600',mode:absolute,to:'2016-07-08 10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80" t="str">
        <f t="shared" si="25"/>
        <v>N</v>
      </c>
      <c r="X68" s="104">
        <f t="shared" si="30"/>
        <v>1</v>
      </c>
      <c r="Y68" s="101">
        <f t="shared" si="26"/>
        <v>4.7699999999999999E-2</v>
      </c>
      <c r="Z68" s="101">
        <f t="shared" si="27"/>
        <v>23.124700000000001</v>
      </c>
      <c r="AA68" s="101">
        <f t="shared" si="28"/>
        <v>23.077000000000002</v>
      </c>
      <c r="AB68" s="98" t="e">
        <f>VLOOKUP(A68,Enforcements!$C$7:$J$27,8,0)</f>
        <v>#N/A</v>
      </c>
      <c r="AC68" s="94" t="e">
        <f>VLOOKUP(A68,Enforcements!$C$7:$E$27,3,0)</f>
        <v>#N/A</v>
      </c>
      <c r="AD68" s="95" t="str">
        <f t="shared" si="29"/>
        <v>0153-08</v>
      </c>
      <c r="AE68" s="81" t="str">
        <f t="shared" si="1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68" s="81" t="str">
        <f t="shared" si="20"/>
        <v>"C:\Program Files (x86)\AstroGrep\AstroGrep.exe" /spath="C:\Users\stu\Documents\Analysis\2016-02-23 RTDC Observations" /stypes="*4011*20160708*" /stext=" 16:.+((prompt.+disp)|(slice.+state.+chan)|(ment ac)|(system.+state.+chan)|(\|lc)|(penalty)|(\[timeout))" /e /r /s</v>
      </c>
      <c r="AG68" s="1" t="str">
        <f t="shared" si="16"/>
        <v>EC</v>
      </c>
    </row>
    <row r="69" spans="1:33" s="27" customFormat="1" x14ac:dyDescent="0.25">
      <c r="A69" s="53" t="s">
        <v>382</v>
      </c>
      <c r="B69" s="7">
        <v>4012</v>
      </c>
      <c r="C69" s="28" t="s">
        <v>60</v>
      </c>
      <c r="D69" s="28" t="s">
        <v>296</v>
      </c>
      <c r="E69" s="17">
        <v>42559.466435185182</v>
      </c>
      <c r="F69" s="17">
        <v>42559.466435185182</v>
      </c>
      <c r="G69" s="7">
        <v>0</v>
      </c>
      <c r="H69" s="17" t="s">
        <v>158</v>
      </c>
      <c r="I69" s="17">
        <v>42559.491400462961</v>
      </c>
      <c r="J69" s="7">
        <v>0</v>
      </c>
      <c r="K69" s="28" t="str">
        <f t="shared" si="21"/>
        <v>4011/4012</v>
      </c>
      <c r="L69" s="28" t="str">
        <f>VLOOKUP(A69,'Trips&amp;Operators'!$C$1:$E$10000,3,FALSE)</f>
        <v>YANAI</v>
      </c>
      <c r="M69" s="6">
        <f t="shared" si="22"/>
        <v>2.4965277778392192E-2</v>
      </c>
      <c r="N69" s="7">
        <f t="shared" si="31"/>
        <v>35.950000000884756</v>
      </c>
      <c r="O69" s="7"/>
      <c r="P69" s="7"/>
      <c r="Q69" s="29"/>
      <c r="R69" s="29"/>
      <c r="S69" s="47">
        <f t="shared" si="32"/>
        <v>1</v>
      </c>
      <c r="T69" s="75" t="str">
        <f t="shared" si="23"/>
        <v>Southbound</v>
      </c>
      <c r="U69" s="114">
        <f>COUNTIFS(Variables!$M$2:$M$19,IF(T69="NorthBound","&gt;=","&lt;=")&amp;Y69,Variables!$M$2:$M$19,IF(T69="NorthBound","&lt;=","&gt;=")&amp;Z69)</f>
        <v>12</v>
      </c>
      <c r="V69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11:10:40-0600',mode:absolute,to:'2016-07-08 11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80" t="str">
        <f t="shared" si="25"/>
        <v>N</v>
      </c>
      <c r="X69" s="104">
        <f t="shared" si="30"/>
        <v>1</v>
      </c>
      <c r="Y69" s="101">
        <f t="shared" si="26"/>
        <v>23.298500000000001</v>
      </c>
      <c r="Z69" s="101">
        <f t="shared" si="27"/>
        <v>1.61E-2</v>
      </c>
      <c r="AA69" s="101">
        <f t="shared" si="28"/>
        <v>23.282399999999999</v>
      </c>
      <c r="AB69" s="98" t="e">
        <f>VLOOKUP(A69,Enforcements!$C$7:$J$27,8,0)</f>
        <v>#N/A</v>
      </c>
      <c r="AC69" s="94" t="e">
        <f>VLOOKUP(A69,Enforcements!$C$7:$E$27,3,0)</f>
        <v>#N/A</v>
      </c>
      <c r="AD69" s="95" t="str">
        <f t="shared" si="29"/>
        <v>0154-08</v>
      </c>
      <c r="AE69" s="81" t="str">
        <f t="shared" ref="AE69" si="33">"aws s3 cp "&amp;s3_bucket&amp;"/RTDC"&amp;B69&amp;"/"&amp;TEXT(F69,"YYYY-MM-DD")&amp;"/ "&amp;search_path&amp;"\RTDC"&amp;B69&amp;"\"&amp;TEXT(F69,"YYYY-MM-DD")&amp;" --recursive &amp; """&amp;walkandungz&amp;""" "&amp;search_path&amp;"\RTDC"&amp;B69&amp;"\"&amp;TEXT(F69,"YYYY-MM-DD")
&amp;" &amp; "&amp;"aws s3 cp "&amp;s3_bucket&amp;"/RTDC"&amp;B69&amp;"/"&amp;TEXT(F69+1,"YYYY-MM-DD")&amp;"/ "&amp;search_path&amp;"\RTDC"&amp;B69&amp;"\"&amp;TEXT(F69+1,"YYYY-MM-DD")&amp;" --recursive &amp; """&amp;walkandungz&amp;""" "&amp;search_path&amp;"\RTDC"&amp;B69&amp;"\"&amp;TEXT(F69+1,"YYYY-MM-DD")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69" s="81" t="str">
        <f t="shared" ref="AF69" si="34">astrogrep_path&amp;" /spath="&amp;search_path&amp;" /stypes=""*"&amp;B69&amp;"*"&amp;TEXT(F69-utc_offset/24,"YYYYMMDD")&amp;"*"" /stext="" "&amp;TEXT(F69-utc_offset/24,"HH")&amp;search_regexp&amp;""" /e /r /s"</f>
        <v>"C:\Program Files (x86)\AstroGrep\AstroGrep.exe" /spath="C:\Users\stu\Documents\Analysis\2016-02-23 RTDC Observations" /stypes="*4012*20160708*" /stext=" 17:.+((prompt.+disp)|(slice.+state.+chan)|(ment ac)|(system.+state.+chan)|(\|lc)|(penalty)|(\[timeout))" /e /r /s</v>
      </c>
      <c r="AG69" s="1" t="str">
        <f t="shared" ref="AG69" si="35">IF(VALUE(LEFT(A69,3))&lt;300,"EC","NWGL")</f>
        <v>EC</v>
      </c>
    </row>
    <row r="70" spans="1:33" x14ac:dyDescent="0.25">
      <c r="A70" s="53" t="s">
        <v>384</v>
      </c>
      <c r="B70" s="7">
        <v>4027</v>
      </c>
      <c r="C70" s="28" t="s">
        <v>60</v>
      </c>
      <c r="D70" s="28" t="s">
        <v>294</v>
      </c>
      <c r="E70" s="17">
        <v>42559.431435185186</v>
      </c>
      <c r="F70" s="17">
        <v>42559.433009259257</v>
      </c>
      <c r="G70" s="7">
        <v>2</v>
      </c>
      <c r="H70" s="17" t="s">
        <v>156</v>
      </c>
      <c r="I70" s="17">
        <v>42559.462546296294</v>
      </c>
      <c r="J70" s="7">
        <v>0</v>
      </c>
      <c r="K70" s="28" t="str">
        <f t="shared" si="21"/>
        <v>4027/4028</v>
      </c>
      <c r="L70" s="28" t="str">
        <f>VLOOKUP(A70,'Trips&amp;Operators'!$C$1:$E$10000,3,FALSE)</f>
        <v>MOSES</v>
      </c>
      <c r="M70" s="6">
        <f t="shared" si="22"/>
        <v>2.9537037036789116E-2</v>
      </c>
      <c r="N70" s="7">
        <f t="shared" si="31"/>
        <v>42.533333332976326</v>
      </c>
      <c r="O70" s="7"/>
      <c r="P70" s="7"/>
      <c r="Q70" s="29"/>
      <c r="R70" s="29"/>
      <c r="S70" s="47">
        <f t="shared" si="32"/>
        <v>1</v>
      </c>
      <c r="T70" s="75" t="str">
        <f t="shared" si="23"/>
        <v>NorthBound</v>
      </c>
      <c r="U70" s="114">
        <f>COUNTIFS(Variables!$M$2:$M$19,IF(T70="NorthBound","&gt;=","&lt;=")&amp;Y70,Variables!$M$2:$M$19,IF(T70="NorthBound","&lt;=","&gt;=")&amp;Z70)</f>
        <v>12</v>
      </c>
      <c r="V70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10:20:16-0600',mode:absolute,to:'2016-07-08 11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0" s="80" t="str">
        <f t="shared" si="25"/>
        <v>N</v>
      </c>
      <c r="X70" s="104">
        <f t="shared" ref="X70:X72" si="36">VALUE(LEFT(A70,3))-VALUE(LEFT(A69,3))</f>
        <v>1</v>
      </c>
      <c r="Y70" s="101">
        <f t="shared" si="26"/>
        <v>4.53E-2</v>
      </c>
      <c r="Z70" s="101">
        <f t="shared" si="27"/>
        <v>23.330200000000001</v>
      </c>
      <c r="AA70" s="101">
        <f t="shared" si="28"/>
        <v>23.2849</v>
      </c>
      <c r="AB70" s="98" t="e">
        <f>VLOOKUP(A70,Enforcements!$C$7:$J$27,8,0)</f>
        <v>#N/A</v>
      </c>
      <c r="AC70" s="94" t="e">
        <f>VLOOKUP(A70,Enforcements!$C$7:$E$27,3,0)</f>
        <v>#N/A</v>
      </c>
      <c r="AD70" s="95" t="str">
        <f t="shared" si="29"/>
        <v>0155-08</v>
      </c>
      <c r="AE70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70" s="81" t="str">
        <f t="shared" si="20"/>
        <v>"C:\Program Files (x86)\AstroGrep\AstroGrep.exe" /spath="C:\Users\stu\Documents\Analysis\2016-02-23 RTDC Observations" /stypes="*4027*20160708*" /stext=" 16:.+((prompt.+disp)|(slice.+state.+chan)|(ment ac)|(system.+state.+chan)|(\|lc)|(penalty)|(\[timeout))" /e /r /s</v>
      </c>
      <c r="AG70" s="1" t="str">
        <f t="shared" si="16"/>
        <v>EC</v>
      </c>
    </row>
    <row r="71" spans="1:33" s="27" customFormat="1" x14ac:dyDescent="0.25">
      <c r="A71" s="53" t="s">
        <v>401</v>
      </c>
      <c r="B71" s="7">
        <v>4028</v>
      </c>
      <c r="C71" s="28" t="s">
        <v>60</v>
      </c>
      <c r="D71" s="28" t="s">
        <v>296</v>
      </c>
      <c r="E71" s="17">
        <v>42559.470636574071</v>
      </c>
      <c r="F71" s="17">
        <f>E71+1/24/60</f>
        <v>42559.471331018518</v>
      </c>
      <c r="G71" s="7">
        <v>0</v>
      </c>
      <c r="H71" s="17" t="s">
        <v>158</v>
      </c>
      <c r="I71" s="17">
        <v>42559.502881944441</v>
      </c>
      <c r="J71" s="7">
        <v>0</v>
      </c>
      <c r="K71" s="28" t="str">
        <f t="shared" si="21"/>
        <v>4027/4028</v>
      </c>
      <c r="L71" s="28" t="str">
        <f>VLOOKUP(A71,'Trips&amp;Operators'!$C$1:$E$10000,3,FALSE)</f>
        <v>MOSES</v>
      </c>
      <c r="M71" s="6">
        <f t="shared" si="22"/>
        <v>3.1550925923511386E-2</v>
      </c>
      <c r="N71" s="7">
        <f t="shared" si="31"/>
        <v>45.433333329856396</v>
      </c>
      <c r="O71" s="7"/>
      <c r="P71" s="7"/>
      <c r="Q71" s="29"/>
      <c r="R71" s="29"/>
      <c r="S71" s="47">
        <f t="shared" si="32"/>
        <v>1</v>
      </c>
      <c r="T71" s="75" t="str">
        <f t="shared" si="23"/>
        <v>Southbound</v>
      </c>
      <c r="U71" s="114">
        <f>COUNTIFS(Variables!$M$2:$M$19,IF(T71="NorthBound","&gt;=","&lt;=")&amp;Y71,Variables!$M$2:$M$19,IF(T71="NorthBound","&lt;=","&gt;=")&amp;Z71)</f>
        <v>12</v>
      </c>
      <c r="V71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11:16:43-0600',mode:absolute,to:'2016-07-08 12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1" s="80" t="str">
        <f t="shared" si="25"/>
        <v>N</v>
      </c>
      <c r="X71" s="104">
        <f t="shared" ref="X71" si="37">VALUE(LEFT(A71,3))-VALUE(LEFT(A70,3))</f>
        <v>1</v>
      </c>
      <c r="Y71" s="101">
        <f t="shared" si="26"/>
        <v>23.298500000000001</v>
      </c>
      <c r="Z71" s="101">
        <f t="shared" si="27"/>
        <v>1.61E-2</v>
      </c>
      <c r="AA71" s="101">
        <f t="shared" si="28"/>
        <v>23.282399999999999</v>
      </c>
      <c r="AB71" s="98">
        <f>VLOOKUP(A71,Enforcements!$C$7:$J$27,8,0)</f>
        <v>15167</v>
      </c>
      <c r="AC71" s="94" t="str">
        <f>VLOOKUP(A71,Enforcements!$C$7:$E$27,3,0)</f>
        <v>PERMANENT SPEED RESTRICTION</v>
      </c>
      <c r="AD71" s="95" t="str">
        <f t="shared" si="29"/>
        <v>0156-08</v>
      </c>
      <c r="AE71" s="81" t="str">
        <f t="shared" ref="AE71" si="38">"aws s3 cp "&amp;s3_bucket&amp;"/RTDC"&amp;B71&amp;"/"&amp;TEXT(F71,"YYYY-MM-DD")&amp;"/ "&amp;search_path&amp;"\RTDC"&amp;B71&amp;"\"&amp;TEXT(F71,"YYYY-MM-DD")&amp;" --recursive &amp; """&amp;walkandungz&amp;""" "&amp;search_path&amp;"\RTDC"&amp;B71&amp;"\"&amp;TEXT(F71,"YYYY-MM-DD")
&amp;" &amp; "&amp;"aws s3 cp "&amp;s3_bucket&amp;"/RTDC"&amp;B71&amp;"/"&amp;TEXT(F71+1,"YYYY-MM-DD")&amp;"/ "&amp;search_path&amp;"\RTDC"&amp;B71&amp;"\"&amp;TEXT(F71+1,"YYYY-MM-DD")&amp;" --recursive &amp; """&amp;walkandungz&amp;""" "&amp;search_path&amp;"\RTDC"&amp;B71&amp;"\"&amp;TEXT(F71+1,"YYYY-MM-DD")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71" s="81" t="str">
        <f t="shared" ref="AF71" si="39">astrogrep_path&amp;" /spath="&amp;search_path&amp;" /stypes=""*"&amp;B71&amp;"*"&amp;TEXT(F71-utc_offset/24,"YYYYMMDD")&amp;"*"" /stext="" "&amp;TEXT(F71-utc_offset/24,"HH")&amp;search_regexp&amp;""" /e /r /s"</f>
        <v>"C:\Program Files (x86)\AstroGrep\AstroGrep.exe" /spath="C:\Users\stu\Documents\Analysis\2016-02-23 RTDC Observations" /stypes="*4028*20160708*" /stext=" 17:.+((prompt.+disp)|(slice.+state.+chan)|(ment ac)|(system.+state.+chan)|(\|lc)|(penalty)|(\[timeout))" /e /r /s</v>
      </c>
      <c r="AG71" s="1" t="str">
        <f t="shared" ref="AG71" si="40">IF(VALUE(LEFT(A71,3))&lt;300,"EC","NWGL")</f>
        <v>EC</v>
      </c>
    </row>
    <row r="72" spans="1:33" x14ac:dyDescent="0.25">
      <c r="A72" s="53" t="s">
        <v>380</v>
      </c>
      <c r="B72" s="7">
        <v>4016</v>
      </c>
      <c r="C72" s="28" t="s">
        <v>60</v>
      </c>
      <c r="D72" s="28" t="s">
        <v>203</v>
      </c>
      <c r="E72" s="17">
        <v>42559.443495370368</v>
      </c>
      <c r="F72" s="17">
        <v>42559.444421296299</v>
      </c>
      <c r="G72" s="7">
        <v>1</v>
      </c>
      <c r="H72" s="17" t="s">
        <v>268</v>
      </c>
      <c r="I72" s="17">
        <v>42559.472256944442</v>
      </c>
      <c r="J72" s="7">
        <v>1</v>
      </c>
      <c r="K72" s="28" t="str">
        <f t="shared" si="21"/>
        <v>4015/4016</v>
      </c>
      <c r="L72" s="28" t="str">
        <f>VLOOKUP(A72,'Trips&amp;Operators'!$C$1:$E$10000,3,FALSE)</f>
        <v>ROCHA</v>
      </c>
      <c r="M72" s="6">
        <f t="shared" si="22"/>
        <v>2.7835648143081926E-2</v>
      </c>
      <c r="N72" s="7">
        <f t="shared" si="31"/>
        <v>40.083333326037973</v>
      </c>
      <c r="O72" s="7"/>
      <c r="P72" s="7"/>
      <c r="Q72" s="29"/>
      <c r="R72" s="29"/>
      <c r="S72" s="47">
        <f t="shared" si="32"/>
        <v>1</v>
      </c>
      <c r="T72" s="75" t="str">
        <f t="shared" si="23"/>
        <v>NorthBound</v>
      </c>
      <c r="U72" s="114">
        <f>COUNTIFS(Variables!$M$2:$M$19,IF(T72="NorthBound","&gt;=","&lt;=")&amp;Y72,Variables!$M$2:$M$19,IF(T72="NorthBound","&lt;=","&gt;=")&amp;Z72)</f>
        <v>12</v>
      </c>
      <c r="V72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10:37:38-0600',mode:absolute,to:'2016-07-08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2" s="80" t="str">
        <f t="shared" si="25"/>
        <v>N</v>
      </c>
      <c r="X72" s="104">
        <f t="shared" si="36"/>
        <v>1</v>
      </c>
      <c r="Y72" s="101">
        <f t="shared" si="26"/>
        <v>4.3799999999999999E-2</v>
      </c>
      <c r="Z72" s="101">
        <f t="shared" si="27"/>
        <v>23.330300000000001</v>
      </c>
      <c r="AA72" s="101">
        <f t="shared" si="28"/>
        <v>23.2865</v>
      </c>
      <c r="AB72" s="98" t="e">
        <f>VLOOKUP(A72,Enforcements!$C$7:$J$27,8,0)</f>
        <v>#N/A</v>
      </c>
      <c r="AC72" s="94" t="e">
        <f>VLOOKUP(A72,Enforcements!$C$7:$E$27,3,0)</f>
        <v>#N/A</v>
      </c>
      <c r="AD72" s="95" t="str">
        <f t="shared" si="29"/>
        <v>0157-08</v>
      </c>
      <c r="AE72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72" s="81" t="str">
        <f t="shared" si="20"/>
        <v>"C:\Program Files (x86)\AstroGrep\AstroGrep.exe" /spath="C:\Users\stu\Documents\Analysis\2016-02-23 RTDC Observations" /stypes="*4016*20160708*" /stext=" 16:.+((prompt.+disp)|(slice.+state.+chan)|(ment ac)|(system.+state.+chan)|(\|lc)|(penalty)|(\[timeout))" /e /r /s</v>
      </c>
      <c r="AG72" s="1" t="str">
        <f t="shared" si="16"/>
        <v>EC</v>
      </c>
    </row>
    <row r="73" spans="1:33" s="27" customFormat="1" x14ac:dyDescent="0.25">
      <c r="A73" s="53" t="s">
        <v>387</v>
      </c>
      <c r="B73" s="7">
        <v>4015</v>
      </c>
      <c r="C73" s="28" t="s">
        <v>60</v>
      </c>
      <c r="D73" s="28" t="s">
        <v>296</v>
      </c>
      <c r="E73" s="17">
        <v>42559.485659722224</v>
      </c>
      <c r="F73" s="17">
        <v>42559.487546296295</v>
      </c>
      <c r="G73" s="7">
        <v>0</v>
      </c>
      <c r="H73" s="17" t="s">
        <v>158</v>
      </c>
      <c r="I73" s="17">
        <v>42559.511990740742</v>
      </c>
      <c r="J73" s="7">
        <v>0</v>
      </c>
      <c r="K73" s="28" t="str">
        <f t="shared" si="21"/>
        <v>4015/4016</v>
      </c>
      <c r="L73" s="28" t="str">
        <f>VLOOKUP(A73,'Trips&amp;Operators'!$C$1:$E$10000,3,FALSE)</f>
        <v>ROCHA</v>
      </c>
      <c r="M73" s="6">
        <f t="shared" si="22"/>
        <v>2.4444444446999114E-2</v>
      </c>
      <c r="N73" s="7">
        <f t="shared" si="31"/>
        <v>35.200000003678724</v>
      </c>
      <c r="O73" s="7"/>
      <c r="P73" s="7"/>
      <c r="Q73" s="29"/>
      <c r="R73" s="29"/>
      <c r="S73" s="47">
        <f t="shared" si="32"/>
        <v>1</v>
      </c>
      <c r="T73" s="75" t="str">
        <f t="shared" si="23"/>
        <v>Southbound</v>
      </c>
      <c r="U73" s="114">
        <f>COUNTIFS(Variables!$M$2:$M$19,IF(T73="NorthBound","&gt;=","&lt;=")&amp;Y73,Variables!$M$2:$M$19,IF(T73="NorthBound","&lt;=","&gt;=")&amp;Z73)</f>
        <v>12</v>
      </c>
      <c r="V73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11:38:21-0600',mode:absolute,to:'2016-07-08 12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3" s="80" t="str">
        <f t="shared" si="25"/>
        <v>N</v>
      </c>
      <c r="X73" s="104">
        <f t="shared" ref="X73:X77" si="41">VALUE(LEFT(A73,3))-VALUE(LEFT(A72,3))</f>
        <v>1</v>
      </c>
      <c r="Y73" s="101">
        <f t="shared" ref="Y73:Y77" si="42">RIGHT(D73,LEN(D73)-4)/10000</f>
        <v>23.298500000000001</v>
      </c>
      <c r="Z73" s="101">
        <f t="shared" si="27"/>
        <v>1.61E-2</v>
      </c>
      <c r="AA73" s="101">
        <f t="shared" si="28"/>
        <v>23.282399999999999</v>
      </c>
      <c r="AB73" s="98" t="e">
        <f>VLOOKUP(A73,Enforcements!$C$7:$J$27,8,0)</f>
        <v>#N/A</v>
      </c>
      <c r="AC73" s="94" t="e">
        <f>VLOOKUP(A73,Enforcements!$C$7:$E$27,3,0)</f>
        <v>#N/A</v>
      </c>
      <c r="AD73" s="95" t="str">
        <f t="shared" si="29"/>
        <v>0158-08</v>
      </c>
      <c r="AE73" s="81" t="str">
        <f t="shared" ref="AE73" si="43">"aws s3 cp "&amp;s3_bucket&amp;"/RTDC"&amp;B73&amp;"/"&amp;TEXT(F73,"YYYY-MM-DD")&amp;"/ "&amp;search_path&amp;"\RTDC"&amp;B73&amp;"\"&amp;TEXT(F73,"YYYY-MM-DD")&amp;" --recursive &amp; """&amp;walkandungz&amp;""" "&amp;search_path&amp;"\RTDC"&amp;B73&amp;"\"&amp;TEXT(F73,"YYYY-MM-DD")
&amp;" &amp; "&amp;"aws s3 cp "&amp;s3_bucket&amp;"/RTDC"&amp;B73&amp;"/"&amp;TEXT(F73+1,"YYYY-MM-DD")&amp;"/ "&amp;search_path&amp;"\RTDC"&amp;B73&amp;"\"&amp;TEXT(F73+1,"YYYY-MM-DD")&amp;" --recursive &amp; """&amp;walkandungz&amp;""" "&amp;search_path&amp;"\RTDC"&amp;B73&amp;"\"&amp;TEXT(F73+1,"YYYY-MM-DD")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73" s="81" t="str">
        <f t="shared" ref="AF73" si="44">astrogrep_path&amp;" /spath="&amp;search_path&amp;" /stypes=""*"&amp;B73&amp;"*"&amp;TEXT(F73-utc_offset/24,"YYYYMMDD")&amp;"*"" /stext="" "&amp;TEXT(F73-utc_offset/24,"HH")&amp;search_regexp&amp;""" /e /r /s"</f>
        <v>"C:\Program Files (x86)\AstroGrep\AstroGrep.exe" /spath="C:\Users\stu\Documents\Analysis\2016-02-23 RTDC Observations" /stypes="*4015*20160708*" /stext=" 17:.+((prompt.+disp)|(slice.+state.+chan)|(ment ac)|(system.+state.+chan)|(\|lc)|(penalty)|(\[timeout))" /e /r /s</v>
      </c>
      <c r="AG73" s="1" t="str">
        <f t="shared" ref="AG73" si="45">IF(VALUE(LEFT(A73,3))&lt;300,"EC","NWGL")</f>
        <v>EC</v>
      </c>
    </row>
    <row r="74" spans="1:33" x14ac:dyDescent="0.25">
      <c r="A74" s="53" t="s">
        <v>381</v>
      </c>
      <c r="B74" s="7">
        <v>4025</v>
      </c>
      <c r="C74" s="28" t="s">
        <v>60</v>
      </c>
      <c r="D74" s="28" t="s">
        <v>451</v>
      </c>
      <c r="E74" s="17">
        <v>42559.457627314812</v>
      </c>
      <c r="F74" s="17">
        <v>42559.458761574075</v>
      </c>
      <c r="G74" s="7">
        <v>1</v>
      </c>
      <c r="H74" s="17" t="s">
        <v>459</v>
      </c>
      <c r="I74" s="17">
        <v>42559.483425925922</v>
      </c>
      <c r="J74" s="7">
        <v>2</v>
      </c>
      <c r="K74" s="28" t="str">
        <f t="shared" si="21"/>
        <v>4025/4026</v>
      </c>
      <c r="L74" s="28" t="str">
        <f>VLOOKUP(A74,'Trips&amp;Operators'!$C$1:$E$10000,3,FALSE)</f>
        <v>KILLION</v>
      </c>
      <c r="M74" s="6">
        <f t="shared" si="22"/>
        <v>2.4664351847604848E-2</v>
      </c>
      <c r="N74" s="7">
        <f t="shared" si="31"/>
        <v>35.516666660550982</v>
      </c>
      <c r="O74" s="7"/>
      <c r="P74" s="7"/>
      <c r="Q74" s="29"/>
      <c r="R74" s="29"/>
      <c r="S74" s="47">
        <f t="shared" si="32"/>
        <v>1</v>
      </c>
      <c r="T74" s="75" t="str">
        <f t="shared" si="23"/>
        <v>NorthBound</v>
      </c>
      <c r="U74" s="114">
        <f>COUNTIFS(Variables!$M$2:$M$19,IF(T74="NorthBound","&gt;=","&lt;=")&amp;Y74,Variables!$M$2:$M$19,IF(T74="NorthBound","&lt;=","&gt;=")&amp;Z74)</f>
        <v>12</v>
      </c>
      <c r="V74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4" s="80" t="str">
        <f t="shared" si="25"/>
        <v>N</v>
      </c>
      <c r="X74" s="104">
        <f t="shared" si="41"/>
        <v>1</v>
      </c>
      <c r="Y74" s="101">
        <f t="shared" si="42"/>
        <v>4.6899999999999997E-2</v>
      </c>
      <c r="Z74" s="101">
        <f t="shared" si="27"/>
        <v>23.328499999999998</v>
      </c>
      <c r="AA74" s="101">
        <f t="shared" si="28"/>
        <v>23.281599999999997</v>
      </c>
      <c r="AB74" s="98" t="e">
        <f>VLOOKUP(A74,Enforcements!$C$7:$J$27,8,0)</f>
        <v>#N/A</v>
      </c>
      <c r="AC74" s="94" t="e">
        <f>VLOOKUP(A74,Enforcements!$C$7:$E$27,3,0)</f>
        <v>#N/A</v>
      </c>
      <c r="AD74" s="95" t="str">
        <f t="shared" si="29"/>
        <v>0159-08</v>
      </c>
      <c r="AE74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74" s="81" t="str">
        <f t="shared" si="20"/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AG74" s="1" t="str">
        <f t="shared" si="16"/>
        <v>EC</v>
      </c>
    </row>
    <row r="75" spans="1:33" x14ac:dyDescent="0.25">
      <c r="A75" s="53" t="s">
        <v>388</v>
      </c>
      <c r="B75" s="7">
        <v>4026</v>
      </c>
      <c r="C75" s="28" t="s">
        <v>60</v>
      </c>
      <c r="D75" s="28" t="s">
        <v>69</v>
      </c>
      <c r="E75" s="17">
        <v>42559.488807870373</v>
      </c>
      <c r="F75" s="17">
        <v>42559.489756944444</v>
      </c>
      <c r="G75" s="7">
        <v>1</v>
      </c>
      <c r="H75" s="17" t="s">
        <v>537</v>
      </c>
      <c r="I75" s="17">
        <v>42559.523159722223</v>
      </c>
      <c r="J75" s="7">
        <v>1</v>
      </c>
      <c r="K75" s="28" t="str">
        <f t="shared" si="21"/>
        <v>4025/4026</v>
      </c>
      <c r="L75" s="28" t="str">
        <f>VLOOKUP(A75,'Trips&amp;Operators'!$C$1:$E$10000,3,FALSE)</f>
        <v>KILLION</v>
      </c>
      <c r="M75" s="6">
        <f t="shared" si="22"/>
        <v>3.3402777778974269E-2</v>
      </c>
      <c r="N75" s="7">
        <f t="shared" ref="N75:P139" si="46">24*60*SUM($M75:$M75)</f>
        <v>48.100000001722947</v>
      </c>
      <c r="O75" s="7"/>
      <c r="P75" s="7"/>
      <c r="Q75" s="29"/>
      <c r="R75" s="29"/>
      <c r="S75" s="47">
        <f t="shared" si="32"/>
        <v>1</v>
      </c>
      <c r="T75" s="75" t="str">
        <f t="shared" si="23"/>
        <v>Southbound</v>
      </c>
      <c r="U75" s="114">
        <f>COUNTIFS(Variables!$M$2:$M$19,IF(T75="NorthBound","&gt;=","&lt;=")&amp;Y75,Variables!$M$2:$M$19,IF(T75="NorthBound","&lt;=","&gt;=")&amp;Z75)</f>
        <v>12</v>
      </c>
      <c r="V75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11:42:53-0600',mode:absolute,to:'2016-07-08 12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5" s="80" t="str">
        <f t="shared" si="25"/>
        <v>N</v>
      </c>
      <c r="X75" s="104">
        <f t="shared" si="41"/>
        <v>1</v>
      </c>
      <c r="Y75" s="101">
        <f t="shared" si="42"/>
        <v>23.297699999999999</v>
      </c>
      <c r="Z75" s="101">
        <f t="shared" si="27"/>
        <v>1.7000000000000001E-2</v>
      </c>
      <c r="AA75" s="101">
        <f t="shared" si="28"/>
        <v>23.2807</v>
      </c>
      <c r="AB75" s="98" t="e">
        <f>VLOOKUP(A75,Enforcements!$C$7:$J$27,8,0)</f>
        <v>#N/A</v>
      </c>
      <c r="AC75" s="94" t="e">
        <f>VLOOKUP(A75,Enforcements!$C$7:$E$27,3,0)</f>
        <v>#N/A</v>
      </c>
      <c r="AD75" s="95" t="str">
        <f t="shared" si="29"/>
        <v>0160-08</v>
      </c>
      <c r="AE75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75" s="81" t="str">
        <f t="shared" si="20"/>
        <v>"C:\Program Files (x86)\AstroGrep\AstroGrep.exe" /spath="C:\Users\stu\Documents\Analysis\2016-02-23 RTDC Observations" /stypes="*4026*20160708*" /stext=" 17:.+((prompt.+disp)|(slice.+state.+chan)|(ment ac)|(system.+state.+chan)|(\|lc)|(penalty)|(\[timeout))" /e /r /s</v>
      </c>
      <c r="AG75" s="1" t="str">
        <f t="shared" si="16"/>
        <v>EC</v>
      </c>
    </row>
    <row r="76" spans="1:33" x14ac:dyDescent="0.25">
      <c r="A76" s="53" t="s">
        <v>400</v>
      </c>
      <c r="B76" s="7">
        <v>4044</v>
      </c>
      <c r="C76" s="28" t="s">
        <v>60</v>
      </c>
      <c r="D76" s="28" t="s">
        <v>247</v>
      </c>
      <c r="E76" s="17">
        <v>42559.465104166666</v>
      </c>
      <c r="F76" s="17">
        <v>42559.466817129629</v>
      </c>
      <c r="G76" s="7">
        <v>2</v>
      </c>
      <c r="H76" s="17" t="s">
        <v>538</v>
      </c>
      <c r="I76" s="17">
        <v>42559.493900462963</v>
      </c>
      <c r="J76" s="7">
        <v>0</v>
      </c>
      <c r="K76" s="28" t="str">
        <f t="shared" si="21"/>
        <v>4043/4044</v>
      </c>
      <c r="L76" s="28" t="str">
        <f>VLOOKUP(A76,'Trips&amp;Operators'!$C$1:$E$10000,3,FALSE)</f>
        <v>SPECTOR</v>
      </c>
      <c r="M76" s="6">
        <f t="shared" si="22"/>
        <v>2.7083333334303461E-2</v>
      </c>
      <c r="N76" s="7">
        <f t="shared" si="46"/>
        <v>39.000000001396984</v>
      </c>
      <c r="O76" s="7"/>
      <c r="P76" s="7"/>
      <c r="Q76" s="29"/>
      <c r="R76" s="29"/>
      <c r="S76" s="47">
        <f t="shared" si="32"/>
        <v>1</v>
      </c>
      <c r="T76" s="75" t="str">
        <f t="shared" si="23"/>
        <v>NorthBound</v>
      </c>
      <c r="U76" s="114">
        <f>COUNTIFS(Variables!$M$2:$M$19,IF(T76="NorthBound","&gt;=","&lt;=")&amp;Y76,Variables!$M$2:$M$19,IF(T76="NorthBound","&lt;=","&gt;=")&amp;Z76)</f>
        <v>12</v>
      </c>
      <c r="V7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11:08:45-0600',mode:absolute,to:'2016-07-08 11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6" s="80" t="str">
        <f t="shared" si="25"/>
        <v>N</v>
      </c>
      <c r="X76" s="104">
        <f t="shared" si="41"/>
        <v>1</v>
      </c>
      <c r="Y76" s="101">
        <f t="shared" si="42"/>
        <v>4.4200000000000003E-2</v>
      </c>
      <c r="Z76" s="101">
        <f t="shared" si="27"/>
        <v>23.3324</v>
      </c>
      <c r="AA76" s="101">
        <f t="shared" si="28"/>
        <v>23.2882</v>
      </c>
      <c r="AB76" s="98" t="e">
        <f>VLOOKUP(A76,Enforcements!$C$7:$J$27,8,0)</f>
        <v>#N/A</v>
      </c>
      <c r="AC76" s="94" t="e">
        <f>VLOOKUP(A76,Enforcements!$C$7:$E$27,3,0)</f>
        <v>#N/A</v>
      </c>
      <c r="AD76" s="95" t="str">
        <f t="shared" si="29"/>
        <v>0161-08</v>
      </c>
      <c r="AE76" s="81" t="str">
        <f t="shared" si="1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76" s="81" t="str">
        <f t="shared" si="20"/>
        <v>"C:\Program Files (x86)\AstroGrep\AstroGrep.exe" /spath="C:\Users\stu\Documents\Analysis\2016-02-23 RTDC Observations" /stypes="*4044*20160708*" /stext=" 17:.+((prompt.+disp)|(slice.+state.+chan)|(ment ac)|(system.+state.+chan)|(\|lc)|(penalty)|(\[timeout))" /e /r /s</v>
      </c>
      <c r="AG76" s="1" t="str">
        <f t="shared" si="16"/>
        <v>EC</v>
      </c>
    </row>
    <row r="77" spans="1:33" x14ac:dyDescent="0.25">
      <c r="A77" s="53" t="s">
        <v>521</v>
      </c>
      <c r="B77" s="7">
        <v>4043</v>
      </c>
      <c r="C77" s="28" t="s">
        <v>60</v>
      </c>
      <c r="D77" s="28" t="s">
        <v>539</v>
      </c>
      <c r="E77" s="17">
        <v>42559.500486111108</v>
      </c>
      <c r="F77" s="17">
        <v>42559.501747685186</v>
      </c>
      <c r="G77" s="7">
        <v>2</v>
      </c>
      <c r="H77" s="17" t="s">
        <v>72</v>
      </c>
      <c r="I77" s="17">
        <v>42559.533564814818</v>
      </c>
      <c r="J77" s="7">
        <v>0</v>
      </c>
      <c r="K77" s="28" t="str">
        <f t="shared" ref="K77:K108" si="47">IF(ISEVEN(B77),(B77-1)&amp;"/"&amp;B77,B77&amp;"/"&amp;(B77+1))</f>
        <v>4043/4044</v>
      </c>
      <c r="L77" s="28" t="str">
        <f>VLOOKUP(A77,'Trips&amp;Operators'!$C$1:$E$10000,3,FALSE)</f>
        <v>SPECTOR</v>
      </c>
      <c r="M77" s="6">
        <f t="shared" ref="M77:M108" si="48">I77-F77</f>
        <v>3.181712963123573E-2</v>
      </c>
      <c r="N77" s="7">
        <f t="shared" si="46"/>
        <v>45.816666668979451</v>
      </c>
      <c r="O77" s="7"/>
      <c r="P77" s="7"/>
      <c r="Q77" s="29"/>
      <c r="R77" s="29"/>
      <c r="S77" s="47">
        <f t="shared" si="32"/>
        <v>1</v>
      </c>
      <c r="T77" s="75" t="str">
        <f t="shared" ref="T77:T108" si="49">IF(ISEVEN(LEFT(A77,3)),"Southbound","NorthBound")</f>
        <v>Southbound</v>
      </c>
      <c r="U77" s="114">
        <f>COUNTIFS(Variables!$M$2:$M$19,IF(T77="NorthBound","&gt;=","&lt;=")&amp;Y77,Variables!$M$2:$M$19,IF(T77="NorthBound","&lt;=","&gt;=")&amp;Z77)</f>
        <v>12</v>
      </c>
      <c r="V77" s="80" t="str">
        <f t="shared" ref="V77:V108" si="50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https://search-rtdc-monitor-bjffxe2xuh6vdkpspy63sjmuny.us-east-1.es.amazonaws.com/_plugin/kibana/#/discover/Steve-Slow-Train-Analysis-(2080s-and-2083s)?_g=(refreshInterval:(display:Off,section:0,value:0),time:(from:'2016-07-08 11:59:42-0600',mode:absolute,to:'2016-07-08 12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7" s="80" t="str">
        <f t="shared" ref="W77:W108" si="51">IF(AA77&lt;23,"Y","N")</f>
        <v>N</v>
      </c>
      <c r="X77" s="104">
        <f t="shared" si="41"/>
        <v>1</v>
      </c>
      <c r="Y77" s="101">
        <f t="shared" si="42"/>
        <v>23.299199999999999</v>
      </c>
      <c r="Z77" s="101">
        <f t="shared" ref="Z77:Z88" si="52">RIGHT(H77,LEN(H77)-4)/10000</f>
        <v>1.49E-2</v>
      </c>
      <c r="AA77" s="101">
        <f t="shared" ref="AA77:AA108" si="53">ABS(Z77-Y77)</f>
        <v>23.284299999999998</v>
      </c>
      <c r="AB77" s="98" t="e">
        <f>VLOOKUP(A77,Enforcements!$C$7:$J$27,8,0)</f>
        <v>#N/A</v>
      </c>
      <c r="AC77" s="94" t="e">
        <f>VLOOKUP(A77,Enforcements!$C$7:$E$27,3,0)</f>
        <v>#N/A</v>
      </c>
      <c r="AD77" s="95" t="str">
        <f t="shared" ref="AD77:AD108" si="54">IF(LEN(A77)=6,"0"&amp;A77,A77)</f>
        <v>0162-08</v>
      </c>
      <c r="AE77" s="81" t="str">
        <f t="shared" si="1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77" s="81" t="str">
        <f t="shared" si="20"/>
        <v>"C:\Program Files (x86)\AstroGrep\AstroGrep.exe" /spath="C:\Users\stu\Documents\Analysis\2016-02-23 RTDC Observations" /stypes="*4043*20160708*" /stext=" 18:.+((prompt.+disp)|(slice.+state.+chan)|(ment ac)|(system.+state.+chan)|(\|lc)|(penalty)|(\[timeout))" /e /r /s</v>
      </c>
      <c r="AG77" s="1" t="str">
        <f t="shared" si="16"/>
        <v>EC</v>
      </c>
    </row>
    <row r="78" spans="1:33" x14ac:dyDescent="0.25">
      <c r="A78" s="53" t="s">
        <v>411</v>
      </c>
      <c r="B78" s="7">
        <v>4040</v>
      </c>
      <c r="C78" s="28" t="s">
        <v>60</v>
      </c>
      <c r="D78" s="28" t="s">
        <v>448</v>
      </c>
      <c r="E78" s="17">
        <v>42559.477256944447</v>
      </c>
      <c r="F78" s="17">
        <v>42559.479085648149</v>
      </c>
      <c r="G78" s="7">
        <v>2</v>
      </c>
      <c r="H78" s="17" t="s">
        <v>442</v>
      </c>
      <c r="I78" s="17">
        <v>42559.503692129627</v>
      </c>
      <c r="J78" s="7">
        <v>0</v>
      </c>
      <c r="K78" s="28" t="str">
        <f t="shared" si="47"/>
        <v>4039/4040</v>
      </c>
      <c r="L78" s="28" t="str">
        <f>VLOOKUP(A78,'Trips&amp;Operators'!$C$1:$E$10000,3,FALSE)</f>
        <v>LOZA</v>
      </c>
      <c r="M78" s="6">
        <f t="shared" si="48"/>
        <v>2.4606481478258502E-2</v>
      </c>
      <c r="N78" s="7">
        <f t="shared" si="46"/>
        <v>35.433333328692243</v>
      </c>
      <c r="O78" s="7"/>
      <c r="P78" s="7"/>
      <c r="Q78" s="29"/>
      <c r="R78" s="29"/>
      <c r="S78" s="47">
        <f t="shared" si="32"/>
        <v>1</v>
      </c>
      <c r="T78" s="75" t="str">
        <f t="shared" si="49"/>
        <v>NorthBound</v>
      </c>
      <c r="U78" s="114">
        <f>COUNTIFS(Variables!$M$2:$M$19,IF(T78="NorthBound","&gt;=","&lt;=")&amp;Y78,Variables!$M$2:$M$19,IF(T78="NorthBound","&lt;=","&gt;=")&amp;Z78)</f>
        <v>12</v>
      </c>
      <c r="V7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11:26:15-0600',mode:absolute,to:'2016-07-08 12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8" s="80" t="str">
        <f t="shared" si="51"/>
        <v>N</v>
      </c>
      <c r="X78" s="104">
        <f t="shared" ref="X78:X109" si="55">VALUE(LEFT(A78,3))-VALUE(LEFT(A77,3))</f>
        <v>1</v>
      </c>
      <c r="Y78" s="101">
        <f t="shared" ref="Y78:Y109" si="56">RIGHT(D78,LEN(D78)-4)/10000</f>
        <v>4.5499999999999999E-2</v>
      </c>
      <c r="Z78" s="101">
        <f t="shared" si="52"/>
        <v>23.332699999999999</v>
      </c>
      <c r="AA78" s="101">
        <f t="shared" si="53"/>
        <v>23.287199999999999</v>
      </c>
      <c r="AB78" s="98" t="e">
        <f>VLOOKUP(A78,Enforcements!$C$7:$J$27,8,0)</f>
        <v>#N/A</v>
      </c>
      <c r="AC78" s="94" t="e">
        <f>VLOOKUP(A78,Enforcements!$C$7:$E$27,3,0)</f>
        <v>#N/A</v>
      </c>
      <c r="AD78" s="95" t="str">
        <f t="shared" si="54"/>
        <v>0163-08</v>
      </c>
      <c r="AE78" s="81" t="str">
        <f t="shared" si="1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78" s="81" t="str">
        <f t="shared" si="20"/>
        <v>"C:\Program Files (x86)\AstroGrep\AstroGrep.exe" /spath="C:\Users\stu\Documents\Analysis\2016-02-23 RTDC Observations" /stypes="*4040*20160708*" /stext=" 17:.+((prompt.+disp)|(slice.+state.+chan)|(ment ac)|(system.+state.+chan)|(\|lc)|(penalty)|(\[timeout))" /e /r /s</v>
      </c>
      <c r="AG78" s="1" t="str">
        <f t="shared" si="16"/>
        <v>EC</v>
      </c>
    </row>
    <row r="79" spans="1:33" x14ac:dyDescent="0.25">
      <c r="A79" s="53" t="s">
        <v>531</v>
      </c>
      <c r="B79" s="7">
        <v>4039</v>
      </c>
      <c r="C79" s="28" t="s">
        <v>60</v>
      </c>
      <c r="D79" s="28" t="s">
        <v>540</v>
      </c>
      <c r="E79" s="17">
        <v>42559.515775462962</v>
      </c>
      <c r="F79" s="17">
        <v>42559.517847222225</v>
      </c>
      <c r="G79" s="7">
        <v>2</v>
      </c>
      <c r="H79" s="17" t="s">
        <v>541</v>
      </c>
      <c r="I79" s="17">
        <v>42559.543287037035</v>
      </c>
      <c r="J79" s="7">
        <v>0</v>
      </c>
      <c r="K79" s="28" t="str">
        <f t="shared" si="47"/>
        <v>4039/4040</v>
      </c>
      <c r="L79" s="28" t="str">
        <f>VLOOKUP(A79,'Trips&amp;Operators'!$C$1:$E$10000,3,FALSE)</f>
        <v>LOZA</v>
      </c>
      <c r="M79" s="6">
        <f t="shared" si="48"/>
        <v>2.5439814809942618E-2</v>
      </c>
      <c r="N79" s="7">
        <f t="shared" si="46"/>
        <v>36.63333332631737</v>
      </c>
      <c r="O79" s="7"/>
      <c r="P79" s="7"/>
      <c r="Q79" s="29"/>
      <c r="R79" s="29"/>
      <c r="S79" s="47">
        <f t="shared" si="32"/>
        <v>1</v>
      </c>
      <c r="T79" s="75" t="str">
        <f t="shared" si="49"/>
        <v>Southbound</v>
      </c>
      <c r="U79" s="114">
        <f>COUNTIFS(Variables!$M$2:$M$19,IF(T79="NorthBound","&gt;=","&lt;=")&amp;Y79,Variables!$M$2:$M$19,IF(T79="NorthBound","&lt;=","&gt;=")&amp;Z79)</f>
        <v>12</v>
      </c>
      <c r="V79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12:21:43-0600',mode:absolute,to:'2016-07-08 13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9" s="80" t="str">
        <f t="shared" si="51"/>
        <v>N</v>
      </c>
      <c r="X79" s="104">
        <f t="shared" si="55"/>
        <v>1</v>
      </c>
      <c r="Y79" s="101">
        <f t="shared" si="56"/>
        <v>23.300599999999999</v>
      </c>
      <c r="Z79" s="101">
        <f t="shared" si="52"/>
        <v>1.54E-2</v>
      </c>
      <c r="AA79" s="101">
        <f t="shared" si="53"/>
        <v>23.2852</v>
      </c>
      <c r="AB79" s="98" t="e">
        <f>VLOOKUP(A79,Enforcements!$C$7:$J$27,8,0)</f>
        <v>#N/A</v>
      </c>
      <c r="AC79" s="94" t="e">
        <f>VLOOKUP(A79,Enforcements!$C$7:$E$27,3,0)</f>
        <v>#N/A</v>
      </c>
      <c r="AD79" s="95" t="str">
        <f t="shared" si="54"/>
        <v>0164-08</v>
      </c>
      <c r="AE79" s="81" t="str">
        <f t="shared" si="1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79" s="81" t="str">
        <f t="shared" si="20"/>
        <v>"C:\Program Files (x86)\AstroGrep\AstroGrep.exe" /spath="C:\Users\stu\Documents\Analysis\2016-02-23 RTDC Observations" /stypes="*4039*20160708*" /stext=" 18:.+((prompt.+disp)|(slice.+state.+chan)|(ment ac)|(system.+state.+chan)|(\|lc)|(penalty)|(\[timeout))" /e /r /s</v>
      </c>
      <c r="AG79" s="1" t="str">
        <f t="shared" si="16"/>
        <v>EC</v>
      </c>
    </row>
    <row r="80" spans="1:33" x14ac:dyDescent="0.25">
      <c r="A80" s="53" t="s">
        <v>392</v>
      </c>
      <c r="B80" s="7">
        <v>4014</v>
      </c>
      <c r="C80" s="28" t="s">
        <v>60</v>
      </c>
      <c r="D80" s="28" t="s">
        <v>243</v>
      </c>
      <c r="E80" s="17">
        <v>42559.483923611115</v>
      </c>
      <c r="F80" s="17">
        <v>42559.485092592593</v>
      </c>
      <c r="G80" s="7">
        <v>2</v>
      </c>
      <c r="H80" s="17" t="s">
        <v>542</v>
      </c>
      <c r="I80" s="17">
        <v>42559.514826388891</v>
      </c>
      <c r="J80" s="7">
        <v>1</v>
      </c>
      <c r="K80" s="28" t="str">
        <f t="shared" si="47"/>
        <v>4013/4014</v>
      </c>
      <c r="L80" s="28" t="str">
        <f>VLOOKUP(A80,'Trips&amp;Operators'!$C$1:$E$10000,3,FALSE)</f>
        <v>LOCKLEAR</v>
      </c>
      <c r="M80" s="6">
        <f t="shared" si="48"/>
        <v>2.973379629838746E-2</v>
      </c>
      <c r="N80" s="7">
        <f t="shared" si="46"/>
        <v>42.816666669677943</v>
      </c>
      <c r="O80" s="7"/>
      <c r="P80" s="7"/>
      <c r="Q80" s="29"/>
      <c r="R80" s="29"/>
      <c r="S80" s="47">
        <f t="shared" si="32"/>
        <v>1</v>
      </c>
      <c r="T80" s="75" t="str">
        <f t="shared" si="49"/>
        <v>NorthBound</v>
      </c>
      <c r="U80" s="114">
        <f>COUNTIFS(Variables!$M$2:$M$19,IF(T80="NorthBound","&gt;=","&lt;=")&amp;Y80,Variables!$M$2:$M$19,IF(T80="NorthBound","&lt;=","&gt;=")&amp;Z80)</f>
        <v>12</v>
      </c>
      <c r="V80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11:35:51-0600',mode:absolute,to:'2016-07-08 12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0" s="80" t="str">
        <f t="shared" si="51"/>
        <v>N</v>
      </c>
      <c r="X80" s="104">
        <f t="shared" si="55"/>
        <v>1</v>
      </c>
      <c r="Y80" s="101">
        <f t="shared" si="56"/>
        <v>4.6699999999999998E-2</v>
      </c>
      <c r="Z80" s="101">
        <f t="shared" si="52"/>
        <v>23.333400000000001</v>
      </c>
      <c r="AA80" s="101">
        <f t="shared" si="53"/>
        <v>23.2867</v>
      </c>
      <c r="AB80" s="98">
        <f>VLOOKUP(A80,Enforcements!$C$7:$J$27,8,0)</f>
        <v>232080</v>
      </c>
      <c r="AC80" s="94" t="str">
        <f>VLOOKUP(A80,Enforcements!$C$7:$E$27,3,0)</f>
        <v>PERMANENT SPEED RESTRICTION</v>
      </c>
      <c r="AD80" s="95" t="str">
        <f t="shared" si="54"/>
        <v>0165-08</v>
      </c>
      <c r="AE80" s="81" t="str">
        <f t="shared" si="1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80" s="81" t="str">
        <f t="shared" si="20"/>
        <v>"C:\Program Files (x86)\AstroGrep\AstroGrep.exe" /spath="C:\Users\stu\Documents\Analysis\2016-02-23 RTDC Observations" /stypes="*4014*20160708*" /stext=" 17:.+((prompt.+disp)|(slice.+state.+chan)|(ment ac)|(system.+state.+chan)|(\|lc)|(penalty)|(\[timeout))" /e /r /s</v>
      </c>
      <c r="AG80" s="1" t="str">
        <f t="shared" si="16"/>
        <v>EC</v>
      </c>
    </row>
    <row r="81" spans="1:33" x14ac:dyDescent="0.25">
      <c r="A81" s="53" t="s">
        <v>489</v>
      </c>
      <c r="B81" s="7">
        <v>4013</v>
      </c>
      <c r="C81" s="28" t="s">
        <v>60</v>
      </c>
      <c r="D81" s="28" t="s">
        <v>543</v>
      </c>
      <c r="E81" s="17">
        <v>42559.525416666664</v>
      </c>
      <c r="F81" s="17">
        <v>42559.526747685188</v>
      </c>
      <c r="G81" s="7">
        <v>1</v>
      </c>
      <c r="H81" s="17" t="s">
        <v>544</v>
      </c>
      <c r="I81" s="17">
        <v>42559.555486111109</v>
      </c>
      <c r="J81" s="7">
        <v>1</v>
      </c>
      <c r="K81" s="28" t="str">
        <f t="shared" si="47"/>
        <v>4013/4014</v>
      </c>
      <c r="L81" s="28" t="str">
        <f>VLOOKUP(A81,'Trips&amp;Operators'!$C$1:$E$10000,3,FALSE)</f>
        <v>LOCKLEAR</v>
      </c>
      <c r="M81" s="6">
        <f t="shared" si="48"/>
        <v>2.8738425920892041E-2</v>
      </c>
      <c r="N81" s="7">
        <f t="shared" si="46"/>
        <v>41.383333326084539</v>
      </c>
      <c r="O81" s="7"/>
      <c r="P81" s="7"/>
      <c r="Q81" s="29"/>
      <c r="R81" s="29"/>
      <c r="S81" s="47">
        <f t="shared" si="32"/>
        <v>1</v>
      </c>
      <c r="T81" s="75" t="str">
        <f t="shared" si="49"/>
        <v>Southbound</v>
      </c>
      <c r="U81" s="114">
        <f>COUNTIFS(Variables!$M$2:$M$19,IF(T81="NorthBound","&gt;=","&lt;=")&amp;Y81,Variables!$M$2:$M$19,IF(T81="NorthBound","&lt;=","&gt;=")&amp;Z81)</f>
        <v>12</v>
      </c>
      <c r="V81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12:35:36-0600',mode:absolute,to:'2016-07-08 13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1" s="80" t="str">
        <f t="shared" si="51"/>
        <v>N</v>
      </c>
      <c r="X81" s="104">
        <f t="shared" si="55"/>
        <v>1</v>
      </c>
      <c r="Y81" s="101">
        <f t="shared" si="56"/>
        <v>23.303799999999999</v>
      </c>
      <c r="Z81" s="101">
        <f t="shared" si="52"/>
        <v>1.4999999999999999E-2</v>
      </c>
      <c r="AA81" s="101">
        <f t="shared" si="53"/>
        <v>23.288799999999998</v>
      </c>
      <c r="AB81" s="98" t="e">
        <f>VLOOKUP(A81,Enforcements!$C$7:$J$27,8,0)</f>
        <v>#N/A</v>
      </c>
      <c r="AC81" s="94" t="e">
        <f>VLOOKUP(A81,Enforcements!$C$7:$E$27,3,0)</f>
        <v>#N/A</v>
      </c>
      <c r="AD81" s="95" t="str">
        <f t="shared" si="54"/>
        <v>0166-08</v>
      </c>
      <c r="AE81" s="81" t="str">
        <f t="shared" si="1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81" s="81" t="str">
        <f t="shared" si="20"/>
        <v>"C:\Program Files (x86)\AstroGrep\AstroGrep.exe" /spath="C:\Users\stu\Documents\Analysis\2016-02-23 RTDC Observations" /stypes="*4013*20160708*" /stext=" 18:.+((prompt.+disp)|(slice.+state.+chan)|(ment ac)|(system.+state.+chan)|(\|lc)|(penalty)|(\[timeout))" /e /r /s</v>
      </c>
      <c r="AG81" s="1" t="str">
        <f t="shared" si="16"/>
        <v>EC</v>
      </c>
    </row>
    <row r="82" spans="1:33" x14ac:dyDescent="0.25">
      <c r="A82" s="53" t="s">
        <v>519</v>
      </c>
      <c r="B82" s="7">
        <v>4011</v>
      </c>
      <c r="C82" s="28" t="s">
        <v>60</v>
      </c>
      <c r="D82" s="28" t="s">
        <v>545</v>
      </c>
      <c r="E82" s="17">
        <v>42559.497361111113</v>
      </c>
      <c r="F82" s="17">
        <v>42559.498530092591</v>
      </c>
      <c r="G82" s="7">
        <v>1</v>
      </c>
      <c r="H82" s="17" t="s">
        <v>546</v>
      </c>
      <c r="I82" s="17">
        <v>42559.524664351855</v>
      </c>
      <c r="J82" s="7">
        <v>0</v>
      </c>
      <c r="K82" s="28" t="str">
        <f t="shared" si="47"/>
        <v>4011/4012</v>
      </c>
      <c r="L82" s="28" t="str">
        <f>VLOOKUP(A82,'Trips&amp;Operators'!$C$1:$E$10000,3,FALSE)</f>
        <v>YANAI</v>
      </c>
      <c r="M82" s="6">
        <f t="shared" si="48"/>
        <v>2.6134259263926651E-2</v>
      </c>
      <c r="N82" s="7">
        <f t="shared" si="46"/>
        <v>37.633333340054378</v>
      </c>
      <c r="O82" s="7"/>
      <c r="P82" s="7"/>
      <c r="Q82" s="29"/>
      <c r="R82" s="29"/>
      <c r="S82" s="47">
        <f t="shared" si="32"/>
        <v>1</v>
      </c>
      <c r="T82" s="75" t="str">
        <f t="shared" si="49"/>
        <v>NorthBound</v>
      </c>
      <c r="U82" s="114">
        <f>COUNTIFS(Variables!$M$2:$M$19,IF(T82="NorthBound","&gt;=","&lt;=")&amp;Y82,Variables!$M$2:$M$19,IF(T82="NorthBound","&lt;=","&gt;=")&amp;Z82)</f>
        <v>12</v>
      </c>
      <c r="V82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11:55:12-0600',mode:absolute,to:'2016-07-08 12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2" s="80" t="str">
        <f t="shared" si="51"/>
        <v>N</v>
      </c>
      <c r="X82" s="104">
        <f t="shared" si="55"/>
        <v>1</v>
      </c>
      <c r="Y82" s="101">
        <f t="shared" si="56"/>
        <v>4.6399999999999997E-2</v>
      </c>
      <c r="Z82" s="101">
        <f t="shared" si="52"/>
        <v>23.331700000000001</v>
      </c>
      <c r="AA82" s="101">
        <f t="shared" si="53"/>
        <v>23.285300000000003</v>
      </c>
      <c r="AB82" s="98" t="e">
        <f>VLOOKUP(A82,Enforcements!$C$7:$J$27,8,0)</f>
        <v>#N/A</v>
      </c>
      <c r="AC82" s="94" t="e">
        <f>VLOOKUP(A82,Enforcements!$C$7:$E$27,3,0)</f>
        <v>#N/A</v>
      </c>
      <c r="AD82" s="95" t="str">
        <f t="shared" si="54"/>
        <v>0167-08</v>
      </c>
      <c r="AE82" s="81" t="str">
        <f t="shared" si="1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82" s="81" t="str">
        <f t="shared" si="20"/>
        <v>"C:\Program Files (x86)\AstroGrep\AstroGrep.exe" /spath="C:\Users\stu\Documents\Analysis\2016-02-23 RTDC Observations" /stypes="*4011*20160708*" /stext=" 17:.+((prompt.+disp)|(slice.+state.+chan)|(ment ac)|(system.+state.+chan)|(\|lc)|(penalty)|(\[timeout))" /e /r /s</v>
      </c>
      <c r="AG82" s="1" t="str">
        <f t="shared" si="16"/>
        <v>EC</v>
      </c>
    </row>
    <row r="83" spans="1:33" x14ac:dyDescent="0.25">
      <c r="A83" s="53" t="s">
        <v>524</v>
      </c>
      <c r="B83" s="7">
        <v>4012</v>
      </c>
      <c r="C83" s="28" t="s">
        <v>60</v>
      </c>
      <c r="D83" s="28" t="s">
        <v>449</v>
      </c>
      <c r="E83" s="17">
        <v>42559.525925925926</v>
      </c>
      <c r="F83" s="17">
        <v>42559.539120370369</v>
      </c>
      <c r="G83" s="7">
        <v>1</v>
      </c>
      <c r="H83" s="17" t="s">
        <v>544</v>
      </c>
      <c r="I83" s="17">
        <v>42559.564166666663</v>
      </c>
      <c r="J83" s="7">
        <v>1</v>
      </c>
      <c r="K83" s="28" t="str">
        <f t="shared" si="47"/>
        <v>4011/4012</v>
      </c>
      <c r="L83" s="28" t="str">
        <f>VLOOKUP(A83,'Trips&amp;Operators'!$C$1:$E$10000,3,FALSE)</f>
        <v>YANAI</v>
      </c>
      <c r="M83" s="6">
        <f t="shared" si="48"/>
        <v>2.5046296294021886E-2</v>
      </c>
      <c r="N83" s="7">
        <f t="shared" si="46"/>
        <v>36.066666663391516</v>
      </c>
      <c r="O83" s="7"/>
      <c r="P83" s="7"/>
      <c r="Q83" s="29"/>
      <c r="R83" s="29"/>
      <c r="S83" s="47">
        <f t="shared" si="32"/>
        <v>1</v>
      </c>
      <c r="T83" s="75" t="str">
        <f t="shared" si="49"/>
        <v>Southbound</v>
      </c>
      <c r="U83" s="114">
        <f>COUNTIFS(Variables!$M$2:$M$19,IF(T83="NorthBound","&gt;=","&lt;=")&amp;Y83,Variables!$M$2:$M$19,IF(T83="NorthBound","&lt;=","&gt;=")&amp;Z83)</f>
        <v>12</v>
      </c>
      <c r="V83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12:36:20-0600',mode:absolute,to:'2016-07-08 13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3" s="80" t="str">
        <f t="shared" si="51"/>
        <v>N</v>
      </c>
      <c r="X83" s="104">
        <f t="shared" si="55"/>
        <v>1</v>
      </c>
      <c r="Y83" s="101">
        <f t="shared" si="56"/>
        <v>23.3004</v>
      </c>
      <c r="Z83" s="101">
        <f t="shared" si="52"/>
        <v>1.4999999999999999E-2</v>
      </c>
      <c r="AA83" s="101">
        <f t="shared" si="53"/>
        <v>23.285399999999999</v>
      </c>
      <c r="AB83" s="98" t="e">
        <f>VLOOKUP(A83,Enforcements!$C$7:$J$27,8,0)</f>
        <v>#N/A</v>
      </c>
      <c r="AC83" s="94" t="e">
        <f>VLOOKUP(A83,Enforcements!$C$7:$E$27,3,0)</f>
        <v>#N/A</v>
      </c>
      <c r="AD83" s="95" t="str">
        <f t="shared" si="54"/>
        <v>0168-08</v>
      </c>
      <c r="AE83" s="81" t="str">
        <f t="shared" si="1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83" s="81" t="str">
        <f t="shared" si="20"/>
        <v>"C:\Program Files (x86)\AstroGrep\AstroGrep.exe" /spath="C:\Users\stu\Documents\Analysis\2016-02-23 RTDC Observations" /stypes="*4012*20160708*" /stext=" 18:.+((prompt.+disp)|(slice.+state.+chan)|(ment ac)|(system.+state.+chan)|(\|lc)|(penalty)|(\[timeout))" /e /r /s</v>
      </c>
      <c r="AG83" s="1" t="str">
        <f t="shared" si="16"/>
        <v>EC</v>
      </c>
    </row>
    <row r="84" spans="1:33" x14ac:dyDescent="0.25">
      <c r="A84" s="53" t="s">
        <v>488</v>
      </c>
      <c r="B84" s="7">
        <v>4027</v>
      </c>
      <c r="C84" s="28" t="s">
        <v>60</v>
      </c>
      <c r="D84" s="28" t="s">
        <v>282</v>
      </c>
      <c r="E84" s="17">
        <v>42559.505555555559</v>
      </c>
      <c r="F84" s="17">
        <v>42559.506898148145</v>
      </c>
      <c r="G84" s="7">
        <v>1</v>
      </c>
      <c r="H84" s="17" t="s">
        <v>175</v>
      </c>
      <c r="I84" s="17">
        <v>42559.539120370369</v>
      </c>
      <c r="J84" s="7">
        <v>2</v>
      </c>
      <c r="K84" s="28" t="str">
        <f t="shared" si="47"/>
        <v>4027/4028</v>
      </c>
      <c r="L84" s="28" t="str">
        <f>VLOOKUP(A84,'Trips&amp;Operators'!$C$1:$E$10000,3,FALSE)</f>
        <v>STEWART</v>
      </c>
      <c r="M84" s="6">
        <f t="shared" si="48"/>
        <v>3.2222222223936114E-2</v>
      </c>
      <c r="N84" s="7">
        <f t="shared" si="46"/>
        <v>46.400000002468005</v>
      </c>
      <c r="O84" s="7"/>
      <c r="P84" s="7"/>
      <c r="Q84" s="29"/>
      <c r="R84" s="29"/>
      <c r="S84" s="47">
        <f t="shared" si="32"/>
        <v>1</v>
      </c>
      <c r="T84" s="75" t="str">
        <f t="shared" si="49"/>
        <v>NorthBound</v>
      </c>
      <c r="U84" s="114">
        <f>COUNTIFS(Variables!$M$2:$M$19,IF(T84="NorthBound","&gt;=","&lt;=")&amp;Y84,Variables!$M$2:$M$19,IF(T84="NorthBound","&lt;=","&gt;=")&amp;Z84)</f>
        <v>12</v>
      </c>
      <c r="V84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12:07:00-0600',mode:absolute,to:'2016-07-08 12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4" s="80" t="str">
        <f t="shared" si="51"/>
        <v>N</v>
      </c>
      <c r="X84" s="104">
        <f t="shared" si="55"/>
        <v>1</v>
      </c>
      <c r="Y84" s="101">
        <f t="shared" si="56"/>
        <v>4.7699999999999999E-2</v>
      </c>
      <c r="Z84" s="101">
        <f t="shared" si="52"/>
        <v>23.328900000000001</v>
      </c>
      <c r="AA84" s="101">
        <f t="shared" si="53"/>
        <v>23.281200000000002</v>
      </c>
      <c r="AB84" s="98">
        <f>VLOOKUP(A84,Enforcements!$C$7:$J$27,8,0)</f>
        <v>58118</v>
      </c>
      <c r="AC84" s="94" t="str">
        <f>VLOOKUP(A84,Enforcements!$C$7:$E$27,3,0)</f>
        <v>GRADE CROSSING</v>
      </c>
      <c r="AD84" s="95" t="str">
        <f t="shared" si="54"/>
        <v>0169-08</v>
      </c>
      <c r="AE84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84" s="81" t="str">
        <f t="shared" si="20"/>
        <v>"C:\Program Files (x86)\AstroGrep\AstroGrep.exe" /spath="C:\Users\stu\Documents\Analysis\2016-02-23 RTDC Observations" /stypes="*4027*20160708*" /stext=" 18:.+((prompt.+disp)|(slice.+state.+chan)|(ment ac)|(system.+state.+chan)|(\|lc)|(penalty)|(\[timeout))" /e /r /s</v>
      </c>
      <c r="AG84" s="1" t="str">
        <f t="shared" si="16"/>
        <v>EC</v>
      </c>
    </row>
    <row r="85" spans="1:33" x14ac:dyDescent="0.25">
      <c r="A85" s="53" t="s">
        <v>533</v>
      </c>
      <c r="B85" s="7">
        <v>4028</v>
      </c>
      <c r="C85" s="28" t="s">
        <v>60</v>
      </c>
      <c r="D85" s="28" t="s">
        <v>457</v>
      </c>
      <c r="E85" s="17">
        <v>42559.545891203707</v>
      </c>
      <c r="F85" s="17">
        <v>42559.548437500001</v>
      </c>
      <c r="G85" s="7">
        <v>3</v>
      </c>
      <c r="H85" s="17" t="s">
        <v>544</v>
      </c>
      <c r="I85" s="17">
        <v>42559.575729166667</v>
      </c>
      <c r="J85" s="7">
        <v>0</v>
      </c>
      <c r="K85" s="28" t="str">
        <f t="shared" si="47"/>
        <v>4027/4028</v>
      </c>
      <c r="L85" s="28" t="str">
        <f>VLOOKUP(A85,'Trips&amp;Operators'!$C$1:$E$10000,3,FALSE)</f>
        <v>STEWART</v>
      </c>
      <c r="M85" s="6">
        <f t="shared" si="48"/>
        <v>2.7291666665405501E-2</v>
      </c>
      <c r="N85" s="7">
        <f t="shared" si="46"/>
        <v>39.299999998183921</v>
      </c>
      <c r="O85" s="7"/>
      <c r="P85" s="7"/>
      <c r="Q85" s="29"/>
      <c r="R85" s="29"/>
      <c r="S85" s="47">
        <f t="shared" si="32"/>
        <v>1</v>
      </c>
      <c r="T85" s="75" t="str">
        <f t="shared" si="49"/>
        <v>Southbound</v>
      </c>
      <c r="U85" s="114">
        <f>COUNTIFS(Variables!$M$2:$M$19,IF(T85="NorthBound","&gt;=","&lt;=")&amp;Y85,Variables!$M$2:$M$19,IF(T85="NorthBound","&lt;=","&gt;=")&amp;Z85)</f>
        <v>12</v>
      </c>
      <c r="V85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13:05:05-0600',mode:absolute,to:'2016-07-08 13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5" s="80" t="str">
        <f t="shared" si="51"/>
        <v>N</v>
      </c>
      <c r="X85" s="104">
        <f t="shared" si="55"/>
        <v>1</v>
      </c>
      <c r="Y85" s="101">
        <f t="shared" si="56"/>
        <v>23.296299999999999</v>
      </c>
      <c r="Z85" s="101">
        <f t="shared" si="52"/>
        <v>1.4999999999999999E-2</v>
      </c>
      <c r="AA85" s="101">
        <f t="shared" si="53"/>
        <v>23.281299999999998</v>
      </c>
      <c r="AB85" s="98" t="e">
        <f>VLOOKUP(A85,Enforcements!$C$7:$J$27,8,0)</f>
        <v>#N/A</v>
      </c>
      <c r="AC85" s="94" t="e">
        <f>VLOOKUP(A85,Enforcements!$C$7:$E$27,3,0)</f>
        <v>#N/A</v>
      </c>
      <c r="AD85" s="95" t="str">
        <f t="shared" si="54"/>
        <v>0170-08</v>
      </c>
      <c r="AE85" s="81" t="str">
        <f t="shared" si="1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85" s="81" t="str">
        <f t="shared" si="20"/>
        <v>"C:\Program Files (x86)\AstroGrep\AstroGrep.exe" /spath="C:\Users\stu\Documents\Analysis\2016-02-23 RTDC Observations" /stypes="*4028*20160708*" /stext=" 19:.+((prompt.+disp)|(slice.+state.+chan)|(ment ac)|(system.+state.+chan)|(\|lc)|(penalty)|(\[timeout))" /e /r /s</v>
      </c>
      <c r="AG85" s="1" t="str">
        <f t="shared" si="16"/>
        <v>EC</v>
      </c>
    </row>
    <row r="86" spans="1:33" x14ac:dyDescent="0.25">
      <c r="A86" s="53" t="s">
        <v>523</v>
      </c>
      <c r="B86" s="7">
        <v>4016</v>
      </c>
      <c r="C86" s="28" t="s">
        <v>60</v>
      </c>
      <c r="D86" s="28" t="s">
        <v>71</v>
      </c>
      <c r="E86" s="17">
        <v>42559.514722222222</v>
      </c>
      <c r="F86" s="17">
        <v>42559.515729166669</v>
      </c>
      <c r="G86" s="7">
        <v>1</v>
      </c>
      <c r="H86" s="17" t="s">
        <v>547</v>
      </c>
      <c r="I86" s="17">
        <v>42559.546296296299</v>
      </c>
      <c r="J86" s="7">
        <v>0</v>
      </c>
      <c r="K86" s="28" t="str">
        <f t="shared" si="47"/>
        <v>4015/4016</v>
      </c>
      <c r="L86" s="28" t="str">
        <f>VLOOKUP(A86,'Trips&amp;Operators'!$C$1:$E$10000,3,FALSE)</f>
        <v>ROCHA</v>
      </c>
      <c r="M86" s="6">
        <f t="shared" si="48"/>
        <v>3.0567129630071577E-2</v>
      </c>
      <c r="N86" s="7">
        <f t="shared" si="46"/>
        <v>44.01666666730307</v>
      </c>
      <c r="O86" s="7"/>
      <c r="P86" s="7"/>
      <c r="Q86" s="29"/>
      <c r="R86" s="29"/>
      <c r="S86" s="47">
        <f t="shared" si="32"/>
        <v>1</v>
      </c>
      <c r="T86" s="75" t="str">
        <f t="shared" si="49"/>
        <v>NorthBound</v>
      </c>
      <c r="U86" s="114">
        <f>COUNTIFS(Variables!$M$2:$M$19,IF(T86="NorthBound","&gt;=","&lt;=")&amp;Y86,Variables!$M$2:$M$19,IF(T86="NorthBound","&lt;=","&gt;=")&amp;Z86)</f>
        <v>12</v>
      </c>
      <c r="V86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12:20:12-0600',mode:absolute,to:'2016-07-08 13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6" s="80" t="str">
        <f t="shared" si="51"/>
        <v>N</v>
      </c>
      <c r="X86" s="104">
        <f t="shared" si="55"/>
        <v>1</v>
      </c>
      <c r="Y86" s="101">
        <f t="shared" si="56"/>
        <v>4.5699999999999998E-2</v>
      </c>
      <c r="Z86" s="101">
        <f t="shared" si="52"/>
        <v>23.3261</v>
      </c>
      <c r="AA86" s="101">
        <f t="shared" si="53"/>
        <v>23.2804</v>
      </c>
      <c r="AB86" s="98" t="e">
        <f>VLOOKUP(A86,Enforcements!$C$7:$J$27,8,0)</f>
        <v>#N/A</v>
      </c>
      <c r="AC86" s="94" t="e">
        <f>VLOOKUP(A86,Enforcements!$C$7:$E$27,3,0)</f>
        <v>#N/A</v>
      </c>
      <c r="AD86" s="95" t="str">
        <f t="shared" si="54"/>
        <v>0171-08</v>
      </c>
      <c r="AE86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86" s="81" t="str">
        <f t="shared" si="20"/>
        <v>"C:\Program Files (x86)\AstroGrep\AstroGrep.exe" /spath="C:\Users\stu\Documents\Analysis\2016-02-23 RTDC Observations" /stypes="*4016*20160708*" /stext=" 18:.+((prompt.+disp)|(slice.+state.+chan)|(ment ac)|(system.+state.+chan)|(\|lc)|(penalty)|(\[timeout))" /e /r /s</v>
      </c>
      <c r="AG86" s="1" t="str">
        <f t="shared" si="16"/>
        <v>EC</v>
      </c>
    </row>
    <row r="87" spans="1:33" x14ac:dyDescent="0.25">
      <c r="A87" s="53" t="s">
        <v>492</v>
      </c>
      <c r="B87" s="7">
        <v>4015</v>
      </c>
      <c r="C87" s="28" t="s">
        <v>60</v>
      </c>
      <c r="D87" s="28" t="s">
        <v>548</v>
      </c>
      <c r="E87" s="17">
        <v>42559.558912037035</v>
      </c>
      <c r="F87" s="17">
        <v>42559.559791666667</v>
      </c>
      <c r="G87" s="7">
        <v>1</v>
      </c>
      <c r="H87" s="17" t="s">
        <v>112</v>
      </c>
      <c r="I87" s="17">
        <v>42559.58494212963</v>
      </c>
      <c r="J87" s="7">
        <v>1</v>
      </c>
      <c r="K87" s="28" t="str">
        <f t="shared" si="47"/>
        <v>4015/4016</v>
      </c>
      <c r="L87" s="28" t="str">
        <f>VLOOKUP(A87,'Trips&amp;Operators'!$C$1:$E$10000,3,FALSE)</f>
        <v>ROCHA</v>
      </c>
      <c r="M87" s="6">
        <f t="shared" si="48"/>
        <v>2.5150462963210884E-2</v>
      </c>
      <c r="N87" s="7">
        <f t="shared" si="46"/>
        <v>36.216666667023674</v>
      </c>
      <c r="O87" s="7"/>
      <c r="P87" s="7"/>
      <c r="Q87" s="29"/>
      <c r="R87" s="29"/>
      <c r="S87" s="47">
        <f t="shared" si="32"/>
        <v>1</v>
      </c>
      <c r="T87" s="75" t="str">
        <f t="shared" si="49"/>
        <v>Southbound</v>
      </c>
      <c r="U87" s="114">
        <f>COUNTIFS(Variables!$M$2:$M$19,IF(T87="NorthBound","&gt;=","&lt;=")&amp;Y87,Variables!$M$2:$M$19,IF(T87="NorthBound","&lt;=","&gt;=")&amp;Z87)</f>
        <v>12</v>
      </c>
      <c r="V87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13:23:50-0600',mode:absolute,to:'2016-07-08 14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7" s="80" t="str">
        <f t="shared" si="51"/>
        <v>N</v>
      </c>
      <c r="X87" s="104">
        <f t="shared" si="55"/>
        <v>1</v>
      </c>
      <c r="Y87" s="101">
        <f t="shared" si="56"/>
        <v>23.2987</v>
      </c>
      <c r="Z87" s="101">
        <f t="shared" si="52"/>
        <v>1.43E-2</v>
      </c>
      <c r="AA87" s="101">
        <f t="shared" si="53"/>
        <v>23.284400000000002</v>
      </c>
      <c r="AB87" s="98" t="e">
        <f>VLOOKUP(A87,Enforcements!$C$7:$J$27,8,0)</f>
        <v>#N/A</v>
      </c>
      <c r="AC87" s="94" t="e">
        <f>VLOOKUP(A87,Enforcements!$C$7:$E$27,3,0)</f>
        <v>#N/A</v>
      </c>
      <c r="AD87" s="95" t="str">
        <f t="shared" si="54"/>
        <v>0172-08</v>
      </c>
      <c r="AE87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87" s="81" t="str">
        <f t="shared" si="20"/>
        <v>"C:\Program Files (x86)\AstroGrep\AstroGrep.exe" /spath="C:\Users\stu\Documents\Analysis\2016-02-23 RTDC Observations" /stypes="*4015*20160708*" /stext=" 19:.+((prompt.+disp)|(slice.+state.+chan)|(ment ac)|(system.+state.+chan)|(\|lc)|(penalty)|(\[timeout))" /e /r /s</v>
      </c>
      <c r="AG87" s="1" t="str">
        <f t="shared" si="16"/>
        <v>EC</v>
      </c>
    </row>
    <row r="88" spans="1:33" x14ac:dyDescent="0.25">
      <c r="A88" s="53" t="s">
        <v>490</v>
      </c>
      <c r="B88" s="7">
        <v>4025</v>
      </c>
      <c r="C88" s="28" t="s">
        <v>60</v>
      </c>
      <c r="D88" s="28" t="s">
        <v>545</v>
      </c>
      <c r="E88" s="17">
        <v>42559.525300925925</v>
      </c>
      <c r="F88" s="17">
        <v>42559.526504629626</v>
      </c>
      <c r="G88" s="7">
        <v>1</v>
      </c>
      <c r="H88" s="17" t="s">
        <v>456</v>
      </c>
      <c r="I88" s="17">
        <v>42559.556516203702</v>
      </c>
      <c r="J88" s="7">
        <v>1</v>
      </c>
      <c r="K88" s="28" t="str">
        <f t="shared" si="47"/>
        <v>4025/4026</v>
      </c>
      <c r="L88" s="28" t="str">
        <f>VLOOKUP(A88,'Trips&amp;Operators'!$C$1:$E$10000,3,FALSE)</f>
        <v>WEBSTER</v>
      </c>
      <c r="M88" s="6">
        <f t="shared" si="48"/>
        <v>3.0011574075615499E-2</v>
      </c>
      <c r="N88" s="7">
        <f t="shared" si="46"/>
        <v>43.216666668886319</v>
      </c>
      <c r="O88" s="7"/>
      <c r="P88" s="7"/>
      <c r="Q88" s="29"/>
      <c r="R88" s="29"/>
      <c r="S88" s="47">
        <f t="shared" si="32"/>
        <v>1</v>
      </c>
      <c r="T88" s="75" t="str">
        <f t="shared" si="49"/>
        <v>NorthBound</v>
      </c>
      <c r="U88" s="114">
        <f>COUNTIFS(Variables!$M$2:$M$19,IF(T88="NorthBound","&gt;=","&lt;=")&amp;Y88,Variables!$M$2:$M$19,IF(T88="NorthBound","&lt;=","&gt;=")&amp;Z88)</f>
        <v>12</v>
      </c>
      <c r="V8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12:35:26-0600',mode:absolute,to:'2016-07-08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80" t="str">
        <f t="shared" si="51"/>
        <v>N</v>
      </c>
      <c r="X88" s="104">
        <f t="shared" si="55"/>
        <v>1</v>
      </c>
      <c r="Y88" s="101">
        <f t="shared" si="56"/>
        <v>4.6399999999999997E-2</v>
      </c>
      <c r="Z88" s="101">
        <f t="shared" si="52"/>
        <v>23.3293</v>
      </c>
      <c r="AA88" s="101">
        <f t="shared" si="53"/>
        <v>23.282900000000001</v>
      </c>
      <c r="AB88" s="98" t="e">
        <f>VLOOKUP(A88,Enforcements!$C$7:$J$27,8,0)</f>
        <v>#N/A</v>
      </c>
      <c r="AC88" s="94" t="e">
        <f>VLOOKUP(A88,Enforcements!$C$7:$E$27,3,0)</f>
        <v>#N/A</v>
      </c>
      <c r="AD88" s="95" t="str">
        <f t="shared" si="54"/>
        <v>0173-08</v>
      </c>
      <c r="AE88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88" s="81" t="str">
        <f t="shared" si="20"/>
        <v>"C:\Program Files (x86)\AstroGrep\AstroGrep.exe" /spath="C:\Users\stu\Documents\Analysis\2016-02-23 RTDC Observations" /stypes="*4025*20160708*" /stext=" 18:.+((prompt.+disp)|(slice.+state.+chan)|(ment ac)|(system.+state.+chan)|(\|lc)|(penalty)|(\[timeout))" /e /r /s</v>
      </c>
      <c r="AG88" s="1" t="str">
        <f t="shared" si="16"/>
        <v>EC</v>
      </c>
    </row>
    <row r="89" spans="1:33" x14ac:dyDescent="0.25">
      <c r="A89" s="53" t="s">
        <v>518</v>
      </c>
      <c r="B89" s="7">
        <v>4026</v>
      </c>
      <c r="C89" s="28" t="s">
        <v>60</v>
      </c>
      <c r="D89" s="28" t="s">
        <v>549</v>
      </c>
      <c r="E89" s="17">
        <v>42559.565763888888</v>
      </c>
      <c r="F89" s="17">
        <v>42559.566944444443</v>
      </c>
      <c r="G89" s="7">
        <v>1</v>
      </c>
      <c r="H89" s="17" t="s">
        <v>248</v>
      </c>
      <c r="I89" s="17">
        <v>42559.596759259257</v>
      </c>
      <c r="J89" s="7">
        <v>0</v>
      </c>
      <c r="K89" s="28" t="str">
        <f t="shared" si="47"/>
        <v>4025/4026</v>
      </c>
      <c r="L89" s="28" t="str">
        <f>VLOOKUP(A89,'Trips&amp;Operators'!$C$1:$E$10000,3,FALSE)</f>
        <v>WEBSTER</v>
      </c>
      <c r="M89" s="6">
        <f t="shared" si="48"/>
        <v>2.9814814814017154E-2</v>
      </c>
      <c r="N89" s="7">
        <f t="shared" si="46"/>
        <v>42.933333332184702</v>
      </c>
      <c r="O89" s="7"/>
      <c r="P89" s="7"/>
      <c r="Q89" s="29"/>
      <c r="R89" s="29"/>
      <c r="S89" s="47">
        <f t="shared" si="32"/>
        <v>1</v>
      </c>
      <c r="T89" s="75" t="str">
        <f t="shared" si="49"/>
        <v>Southbound</v>
      </c>
      <c r="U89" s="114">
        <f>COUNTIFS(Variables!$M$2:$M$19,IF(T89="NorthBound","&gt;=","&lt;=")&amp;Y89,Variables!$M$2:$M$19,IF(T89="NorthBound","&lt;=","&gt;=")&amp;Z89)</f>
        <v>12</v>
      </c>
      <c r="V89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13:33:42-0600',mode:absolute,to:'2016-07-08 14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80" t="str">
        <f t="shared" si="51"/>
        <v>N</v>
      </c>
      <c r="X89" s="104">
        <f t="shared" si="55"/>
        <v>1</v>
      </c>
      <c r="Y89" s="101">
        <f t="shared" si="56"/>
        <v>23.297799999999999</v>
      </c>
      <c r="Z89" s="101">
        <v>0.01</v>
      </c>
      <c r="AA89" s="101">
        <f t="shared" si="53"/>
        <v>23.287799999999997</v>
      </c>
      <c r="AB89" s="98" t="e">
        <f>VLOOKUP(A89,Enforcements!$C$7:$J$27,8,0)</f>
        <v>#N/A</v>
      </c>
      <c r="AC89" s="94" t="e">
        <f>VLOOKUP(A89,Enforcements!$C$7:$E$27,3,0)</f>
        <v>#N/A</v>
      </c>
      <c r="AD89" s="95" t="str">
        <f t="shared" si="54"/>
        <v>0174-08</v>
      </c>
      <c r="AE89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89" s="81" t="str">
        <f t="shared" si="20"/>
        <v>"C:\Program Files (x86)\AstroGrep\AstroGrep.exe" /spath="C:\Users\stu\Documents\Analysis\2016-02-23 RTDC Observations" /stypes="*4026*20160708*" /stext=" 19:.+((prompt.+disp)|(slice.+state.+chan)|(ment ac)|(system.+state.+chan)|(\|lc)|(penalty)|(\[timeout))" /e /r /s</v>
      </c>
      <c r="AG89" s="1" t="str">
        <f t="shared" ref="AG89:AG174" si="57">IF(VALUE(LEFT(A89,3))&lt;300,"EC","NWGL")</f>
        <v>EC</v>
      </c>
    </row>
    <row r="90" spans="1:33" x14ac:dyDescent="0.25">
      <c r="A90" s="53" t="s">
        <v>501</v>
      </c>
      <c r="B90" s="7">
        <v>4044</v>
      </c>
      <c r="C90" s="28" t="s">
        <v>60</v>
      </c>
      <c r="D90" s="28" t="s">
        <v>451</v>
      </c>
      <c r="E90" s="17">
        <v>42559.537210648145</v>
      </c>
      <c r="F90" s="17">
        <v>42559.538032407407</v>
      </c>
      <c r="G90" s="7">
        <v>1</v>
      </c>
      <c r="H90" s="17" t="s">
        <v>550</v>
      </c>
      <c r="I90" s="17">
        <v>42559.566631944443</v>
      </c>
      <c r="J90" s="7">
        <v>0</v>
      </c>
      <c r="K90" s="28" t="str">
        <f t="shared" si="47"/>
        <v>4043/4044</v>
      </c>
      <c r="L90" s="28" t="str">
        <f>VLOOKUP(A90,'Trips&amp;Operators'!$C$1:$E$10000,3,FALSE)</f>
        <v>SPECTOR</v>
      </c>
      <c r="M90" s="6">
        <f t="shared" si="48"/>
        <v>2.8599537035916001E-2</v>
      </c>
      <c r="N90" s="7">
        <f t="shared" si="46"/>
        <v>41.183333331719041</v>
      </c>
      <c r="O90" s="7"/>
      <c r="P90" s="7"/>
      <c r="Q90" s="29"/>
      <c r="R90" s="29"/>
      <c r="S90" s="47">
        <f t="shared" si="32"/>
        <v>1</v>
      </c>
      <c r="T90" s="75" t="str">
        <f t="shared" si="49"/>
        <v>NorthBound</v>
      </c>
      <c r="U90" s="114">
        <f>COUNTIFS(Variables!$M$2:$M$19,IF(T90="NorthBound","&gt;=","&lt;=")&amp;Y90,Variables!$M$2:$M$19,IF(T90="NorthBound","&lt;=","&gt;=")&amp;Z90)</f>
        <v>12</v>
      </c>
      <c r="V90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12:52:35-0600',mode:absolute,to:'2016-07-08 13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0" s="80" t="str">
        <f t="shared" si="51"/>
        <v>N</v>
      </c>
      <c r="X90" s="104">
        <f t="shared" si="55"/>
        <v>1</v>
      </c>
      <c r="Y90" s="101">
        <f t="shared" si="56"/>
        <v>4.6899999999999997E-2</v>
      </c>
      <c r="Z90" s="101">
        <f t="shared" ref="Z90:Z136" si="58">RIGHT(H90,LEN(H90)-4)/10000</f>
        <v>23.331</v>
      </c>
      <c r="AA90" s="101">
        <f t="shared" si="53"/>
        <v>23.284099999999999</v>
      </c>
      <c r="AB90" s="98" t="e">
        <f>VLOOKUP(A90,Enforcements!$C$7:$J$27,8,0)</f>
        <v>#N/A</v>
      </c>
      <c r="AC90" s="94" t="e">
        <f>VLOOKUP(A90,Enforcements!$C$7:$E$27,3,0)</f>
        <v>#N/A</v>
      </c>
      <c r="AD90" s="95" t="str">
        <f t="shared" si="54"/>
        <v>0175-08</v>
      </c>
      <c r="AE90" s="81" t="str">
        <f t="shared" ref="AE90:AE104" si="59">"aws s3 cp "&amp;s3_bucket&amp;"/RTDC"&amp;B90&amp;"/"&amp;TEXT(F90,"YYYY-MM-DD")&amp;"/ "&amp;search_path&amp;"\RTDC"&amp;B90&amp;"\"&amp;TEXT(F90,"YYYY-MM-DD")&amp;" --recursive &amp; """&amp;walkandungz&amp;""" "&amp;search_path&amp;"\RTDC"&amp;B90&amp;"\"&amp;TEXT(F90,"YYYY-MM-DD")
&amp;" &amp; "&amp;"aws s3 cp "&amp;s3_bucket&amp;"/RTDC"&amp;B90&amp;"/"&amp;TEXT(F90+1,"YYYY-MM-DD")&amp;"/ "&amp;search_path&amp;"\RTDC"&amp;B90&amp;"\"&amp;TEXT(F90+1,"YYYY-MM-DD")&amp;" --recursive &amp; """&amp;walkandungz&amp;""" "&amp;search_path&amp;"\RTDC"&amp;B90&amp;"\"&amp;TEXT(F90+1,"YYYY-MM-DD")</f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90" s="81" t="str">
        <f t="shared" ref="AF90:AF104" si="60">astrogrep_path&amp;" /spath="&amp;search_path&amp;" /stypes=""*"&amp;B90&amp;"*"&amp;TEXT(F90-utc_offset/24,"YYYYMMDD")&amp;"*"" /stext="" "&amp;TEXT(F90-utc_offset/24,"HH")&amp;search_regexp&amp;""" /e /r /s"</f>
        <v>"C:\Program Files (x86)\AstroGrep\AstroGrep.exe" /spath="C:\Users\stu\Documents\Analysis\2016-02-23 RTDC Observations" /stypes="*4044*20160708*" /stext=" 18:.+((prompt.+disp)|(slice.+state.+chan)|(ment ac)|(system.+state.+chan)|(\|lc)|(penalty)|(\[timeout))" /e /r /s</v>
      </c>
      <c r="AG90" s="1" t="str">
        <f t="shared" si="57"/>
        <v>EC</v>
      </c>
    </row>
    <row r="91" spans="1:33" x14ac:dyDescent="0.25">
      <c r="A91" s="53" t="s">
        <v>517</v>
      </c>
      <c r="B91" s="7">
        <v>4043</v>
      </c>
      <c r="C91" s="28" t="s">
        <v>60</v>
      </c>
      <c r="D91" s="28" t="s">
        <v>166</v>
      </c>
      <c r="E91" s="17">
        <v>42559.574918981481</v>
      </c>
      <c r="F91" s="17">
        <v>42559.575925925928</v>
      </c>
      <c r="G91" s="7">
        <v>1</v>
      </c>
      <c r="H91" s="17" t="s">
        <v>551</v>
      </c>
      <c r="I91" s="17">
        <v>42559.606562499997</v>
      </c>
      <c r="J91" s="7">
        <v>0</v>
      </c>
      <c r="K91" s="28" t="str">
        <f t="shared" si="47"/>
        <v>4043/4044</v>
      </c>
      <c r="L91" s="28" t="str">
        <f>VLOOKUP(A91,'Trips&amp;Operators'!$C$1:$E$10000,3,FALSE)</f>
        <v>SPECTOR</v>
      </c>
      <c r="M91" s="6">
        <f t="shared" si="48"/>
        <v>3.0636574068921618E-2</v>
      </c>
      <c r="N91" s="7">
        <f t="shared" si="46"/>
        <v>44.11666665924713</v>
      </c>
      <c r="O91" s="7"/>
      <c r="P91" s="7"/>
      <c r="Q91" s="29"/>
      <c r="R91" s="29"/>
      <c r="S91" s="47">
        <f t="shared" si="32"/>
        <v>1</v>
      </c>
      <c r="T91" s="75" t="str">
        <f t="shared" si="49"/>
        <v>Southbound</v>
      </c>
      <c r="U91" s="114">
        <f>COUNTIFS(Variables!$M$2:$M$19,IF(T91="NorthBound","&gt;=","&lt;=")&amp;Y91,Variables!$M$2:$M$19,IF(T91="NorthBound","&lt;=","&gt;=")&amp;Z91)</f>
        <v>12</v>
      </c>
      <c r="V91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13:46:53-0600',mode:absolute,to:'2016-07-08 14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1" s="80" t="str">
        <f t="shared" si="51"/>
        <v>N</v>
      </c>
      <c r="X91" s="104">
        <f t="shared" si="55"/>
        <v>1</v>
      </c>
      <c r="Y91" s="101">
        <f t="shared" si="56"/>
        <v>23.299399999999999</v>
      </c>
      <c r="Z91" s="101">
        <f t="shared" si="58"/>
        <v>1.2500000000000001E-2</v>
      </c>
      <c r="AA91" s="101">
        <f t="shared" si="53"/>
        <v>23.286899999999999</v>
      </c>
      <c r="AB91" s="98" t="e">
        <f>VLOOKUP(A91,Enforcements!$C$7:$J$27,8,0)</f>
        <v>#N/A</v>
      </c>
      <c r="AC91" s="94" t="e">
        <f>VLOOKUP(A91,Enforcements!$C$7:$E$27,3,0)</f>
        <v>#N/A</v>
      </c>
      <c r="AD91" s="95" t="str">
        <f t="shared" si="54"/>
        <v>0176-08</v>
      </c>
      <c r="AE91" s="81" t="str">
        <f t="shared" si="5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91" s="81" t="str">
        <f t="shared" si="60"/>
        <v>"C:\Program Files (x86)\AstroGrep\AstroGrep.exe" /spath="C:\Users\stu\Documents\Analysis\2016-02-23 RTDC Observations" /stypes="*4043*20160708*" /stext=" 19:.+((prompt.+disp)|(slice.+state.+chan)|(ment ac)|(system.+state.+chan)|(\|lc)|(penalty)|(\[timeout))" /e /r /s</v>
      </c>
      <c r="AG91" s="1" t="str">
        <f t="shared" si="57"/>
        <v>EC</v>
      </c>
    </row>
    <row r="92" spans="1:33" x14ac:dyDescent="0.25">
      <c r="A92" s="53" t="s">
        <v>491</v>
      </c>
      <c r="B92" s="7">
        <v>4040</v>
      </c>
      <c r="C92" s="28" t="s">
        <v>60</v>
      </c>
      <c r="D92" s="28" t="s">
        <v>552</v>
      </c>
      <c r="E92" s="17">
        <v>42559.548854166664</v>
      </c>
      <c r="F92" s="17">
        <v>42559.549953703703</v>
      </c>
      <c r="G92" s="7">
        <v>1</v>
      </c>
      <c r="H92" s="17" t="s">
        <v>553</v>
      </c>
      <c r="I92" s="17">
        <v>42559.576377314814</v>
      </c>
      <c r="J92" s="7">
        <v>1</v>
      </c>
      <c r="K92" s="28" t="str">
        <f t="shared" si="47"/>
        <v>4039/4040</v>
      </c>
      <c r="L92" s="28" t="str">
        <f>VLOOKUP(A92,'Trips&amp;Operators'!$C$1:$E$10000,3,FALSE)</f>
        <v>LOZA</v>
      </c>
      <c r="M92" s="6">
        <f t="shared" si="48"/>
        <v>2.6423611110658385E-2</v>
      </c>
      <c r="N92" s="7">
        <f t="shared" si="46"/>
        <v>38.049999999348074</v>
      </c>
      <c r="O92" s="7"/>
      <c r="P92" s="7"/>
      <c r="Q92" s="29"/>
      <c r="R92" s="29"/>
      <c r="S92" s="47">
        <f t="shared" si="32"/>
        <v>1</v>
      </c>
      <c r="T92" s="75" t="str">
        <f t="shared" si="49"/>
        <v>NorthBound</v>
      </c>
      <c r="U92" s="114">
        <f>COUNTIFS(Variables!$M$2:$M$19,IF(T92="NorthBound","&gt;=","&lt;=")&amp;Y92,Variables!$M$2:$M$19,IF(T92="NorthBound","&lt;=","&gt;=")&amp;Z92)</f>
        <v>12</v>
      </c>
      <c r="V92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13:09:21-0600',mode:absolute,to:'2016-07-08 13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2" s="80" t="str">
        <f t="shared" si="51"/>
        <v>N</v>
      </c>
      <c r="X92" s="104">
        <f t="shared" si="55"/>
        <v>1</v>
      </c>
      <c r="Y92" s="101">
        <f t="shared" si="56"/>
        <v>4.3099999999999999E-2</v>
      </c>
      <c r="Z92" s="101">
        <f t="shared" si="58"/>
        <v>23.329499999999999</v>
      </c>
      <c r="AA92" s="101">
        <f t="shared" si="53"/>
        <v>23.2864</v>
      </c>
      <c r="AB92" s="98" t="e">
        <f>VLOOKUP(A92,Enforcements!$C$7:$J$27,8,0)</f>
        <v>#N/A</v>
      </c>
      <c r="AC92" s="94" t="e">
        <f>VLOOKUP(A92,Enforcements!$C$7:$E$27,3,0)</f>
        <v>#N/A</v>
      </c>
      <c r="AD92" s="95" t="str">
        <f t="shared" si="54"/>
        <v>0177-08</v>
      </c>
      <c r="AE92" s="81" t="str">
        <f t="shared" si="5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92" s="81" t="str">
        <f t="shared" si="60"/>
        <v>"C:\Program Files (x86)\AstroGrep\AstroGrep.exe" /spath="C:\Users\stu\Documents\Analysis\2016-02-23 RTDC Observations" /stypes="*4040*20160708*" /stext=" 19:.+((prompt.+disp)|(slice.+state.+chan)|(ment ac)|(system.+state.+chan)|(\|lc)|(penalty)|(\[timeout))" /e /r /s</v>
      </c>
      <c r="AG92" s="1" t="str">
        <f t="shared" si="57"/>
        <v>EC</v>
      </c>
    </row>
    <row r="93" spans="1:33" x14ac:dyDescent="0.25">
      <c r="A93" s="53" t="s">
        <v>514</v>
      </c>
      <c r="B93" s="7">
        <v>4039</v>
      </c>
      <c r="C93" s="28" t="s">
        <v>60</v>
      </c>
      <c r="D93" s="28" t="s">
        <v>554</v>
      </c>
      <c r="E93" s="17">
        <v>42559.588136574072</v>
      </c>
      <c r="F93" s="17">
        <v>42559.588912037034</v>
      </c>
      <c r="G93" s="7">
        <v>1</v>
      </c>
      <c r="H93" s="17" t="s">
        <v>61</v>
      </c>
      <c r="I93" s="17">
        <v>42559.616180555553</v>
      </c>
      <c r="J93" s="7">
        <v>0</v>
      </c>
      <c r="K93" s="28" t="str">
        <f t="shared" si="47"/>
        <v>4039/4040</v>
      </c>
      <c r="L93" s="28" t="str">
        <f>VLOOKUP(A93,'Trips&amp;Operators'!$C$1:$E$10000,3,FALSE)</f>
        <v>LOZA</v>
      </c>
      <c r="M93" s="6">
        <f t="shared" si="48"/>
        <v>2.7268518519122154E-2</v>
      </c>
      <c r="N93" s="7">
        <f t="shared" si="46"/>
        <v>39.266666667535901</v>
      </c>
      <c r="O93" s="7"/>
      <c r="P93" s="7"/>
      <c r="Q93" s="29"/>
      <c r="R93" s="29"/>
      <c r="S93" s="47">
        <f t="shared" si="32"/>
        <v>1</v>
      </c>
      <c r="T93" s="75" t="str">
        <f t="shared" si="49"/>
        <v>Southbound</v>
      </c>
      <c r="U93" s="114">
        <f>COUNTIFS(Variables!$M$2:$M$19,IF(T93="NorthBound","&gt;=","&lt;=")&amp;Y93,Variables!$M$2:$M$19,IF(T93="NorthBound","&lt;=","&gt;=")&amp;Z93)</f>
        <v>12</v>
      </c>
      <c r="V93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14:05:55-0600',mode:absolute,to:'2016-07-08 14:48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3" s="80" t="str">
        <f t="shared" si="51"/>
        <v>N</v>
      </c>
      <c r="X93" s="104">
        <f t="shared" si="55"/>
        <v>1</v>
      </c>
      <c r="Y93" s="101">
        <f t="shared" si="56"/>
        <v>23.296900000000001</v>
      </c>
      <c r="Z93" s="101">
        <f t="shared" si="58"/>
        <v>1.4500000000000001E-2</v>
      </c>
      <c r="AA93" s="101">
        <f t="shared" si="53"/>
        <v>23.282399999999999</v>
      </c>
      <c r="AB93" s="98" t="e">
        <f>VLOOKUP(A93,Enforcements!$C$7:$J$27,8,0)</f>
        <v>#N/A</v>
      </c>
      <c r="AC93" s="94" t="e">
        <f>VLOOKUP(A93,Enforcements!$C$7:$E$27,3,0)</f>
        <v>#N/A</v>
      </c>
      <c r="AD93" s="95" t="str">
        <f t="shared" si="54"/>
        <v>0178-08</v>
      </c>
      <c r="AE93" s="81" t="str">
        <f t="shared" si="5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93" s="81" t="str">
        <f t="shared" si="60"/>
        <v>"C:\Program Files (x86)\AstroGrep\AstroGrep.exe" /spath="C:\Users\stu\Documents\Analysis\2016-02-23 RTDC Observations" /stypes="*4039*20160708*" /stext=" 20:.+((prompt.+disp)|(slice.+state.+chan)|(ment ac)|(system.+state.+chan)|(\|lc)|(penalty)|(\[timeout))" /e /r /s</v>
      </c>
      <c r="AG93" s="1" t="str">
        <f t="shared" si="57"/>
        <v>EC</v>
      </c>
    </row>
    <row r="94" spans="1:33" x14ac:dyDescent="0.25">
      <c r="A94" s="53" t="s">
        <v>532</v>
      </c>
      <c r="B94" s="7">
        <v>4014</v>
      </c>
      <c r="C94" s="28" t="s">
        <v>60</v>
      </c>
      <c r="D94" s="28" t="s">
        <v>71</v>
      </c>
      <c r="E94" s="17">
        <v>42559.559363425928</v>
      </c>
      <c r="F94" s="17">
        <v>42559.562696759262</v>
      </c>
      <c r="G94" s="7">
        <v>4</v>
      </c>
      <c r="H94" s="17" t="s">
        <v>555</v>
      </c>
      <c r="I94" s="17">
        <v>42559.587245370371</v>
      </c>
      <c r="J94" s="7">
        <v>0</v>
      </c>
      <c r="K94" s="28" t="str">
        <f t="shared" si="47"/>
        <v>4013/4014</v>
      </c>
      <c r="L94" s="28" t="str">
        <f>VLOOKUP(A94,'Trips&amp;Operators'!$C$1:$E$10000,3,FALSE)</f>
        <v>LOCKLEAR</v>
      </c>
      <c r="M94" s="6">
        <f t="shared" si="48"/>
        <v>2.4548611108912155E-2</v>
      </c>
      <c r="N94" s="7">
        <f t="shared" si="46"/>
        <v>35.349999996833503</v>
      </c>
      <c r="O94" s="7"/>
      <c r="P94" s="7"/>
      <c r="Q94" s="29"/>
      <c r="R94" s="29"/>
      <c r="S94" s="47">
        <f t="shared" si="32"/>
        <v>1</v>
      </c>
      <c r="T94" s="75" t="str">
        <f t="shared" si="49"/>
        <v>NorthBound</v>
      </c>
      <c r="U94" s="114">
        <f>COUNTIFS(Variables!$M$2:$M$19,IF(T94="NorthBound","&gt;=","&lt;=")&amp;Y94,Variables!$M$2:$M$19,IF(T94="NorthBound","&lt;=","&gt;=")&amp;Z94)</f>
        <v>12</v>
      </c>
      <c r="V94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13:24:29-0600',mode:absolute,to:'2016-07-08 14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4" s="80" t="str">
        <f t="shared" si="51"/>
        <v>N</v>
      </c>
      <c r="X94" s="104">
        <f t="shared" si="55"/>
        <v>1</v>
      </c>
      <c r="Y94" s="101">
        <f t="shared" si="56"/>
        <v>4.5699999999999998E-2</v>
      </c>
      <c r="Z94" s="101">
        <f t="shared" si="58"/>
        <v>23.334199999999999</v>
      </c>
      <c r="AA94" s="101">
        <f t="shared" si="53"/>
        <v>23.288499999999999</v>
      </c>
      <c r="AB94" s="98" t="e">
        <f>VLOOKUP(A94,Enforcements!$C$7:$J$27,8,0)</f>
        <v>#N/A</v>
      </c>
      <c r="AC94" s="94" t="e">
        <f>VLOOKUP(A94,Enforcements!$C$7:$E$27,3,0)</f>
        <v>#N/A</v>
      </c>
      <c r="AD94" s="95" t="str">
        <f t="shared" si="54"/>
        <v>0179-08</v>
      </c>
      <c r="AE94" s="81" t="str">
        <f t="shared" si="5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94" s="81" t="str">
        <f t="shared" si="60"/>
        <v>"C:\Program Files (x86)\AstroGrep\AstroGrep.exe" /spath="C:\Users\stu\Documents\Analysis\2016-02-23 RTDC Observations" /stypes="*4014*20160708*" /stext=" 19:.+((prompt.+disp)|(slice.+state.+chan)|(ment ac)|(system.+state.+chan)|(\|lc)|(penalty)|(\[timeout))" /e /r /s</v>
      </c>
      <c r="AG94" s="1" t="str">
        <f t="shared" si="57"/>
        <v>EC</v>
      </c>
    </row>
    <row r="95" spans="1:33" x14ac:dyDescent="0.25">
      <c r="A95" s="53" t="s">
        <v>502</v>
      </c>
      <c r="B95" s="7">
        <v>4013</v>
      </c>
      <c r="C95" s="28" t="s">
        <v>60</v>
      </c>
      <c r="D95" s="28" t="s">
        <v>556</v>
      </c>
      <c r="E95" s="17">
        <v>42559.599004629628</v>
      </c>
      <c r="F95" s="17">
        <v>42559.600162037037</v>
      </c>
      <c r="G95" s="7">
        <v>1</v>
      </c>
      <c r="H95" s="17" t="s">
        <v>154</v>
      </c>
      <c r="I95" s="17">
        <v>42559.62667824074</v>
      </c>
      <c r="J95" s="7">
        <v>0</v>
      </c>
      <c r="K95" s="28" t="str">
        <f t="shared" si="47"/>
        <v>4013/4014</v>
      </c>
      <c r="L95" s="28" t="str">
        <f>VLOOKUP(A95,'Trips&amp;Operators'!$C$1:$E$10000,3,FALSE)</f>
        <v>LOCKLEAR</v>
      </c>
      <c r="M95" s="6">
        <f t="shared" si="48"/>
        <v>2.6516203703067731E-2</v>
      </c>
      <c r="N95" s="7">
        <f t="shared" si="46"/>
        <v>38.183333332417533</v>
      </c>
      <c r="O95" s="7"/>
      <c r="P95" s="7"/>
      <c r="Q95" s="29"/>
      <c r="R95" s="29"/>
      <c r="S95" s="47">
        <f t="shared" si="32"/>
        <v>1</v>
      </c>
      <c r="T95" s="75" t="str">
        <f t="shared" si="49"/>
        <v>Southbound</v>
      </c>
      <c r="U95" s="114">
        <f>COUNTIFS(Variables!$M$2:$M$19,IF(T95="NorthBound","&gt;=","&lt;=")&amp;Y95,Variables!$M$2:$M$19,IF(T95="NorthBound","&lt;=","&gt;=")&amp;Z95)</f>
        <v>12</v>
      </c>
      <c r="V95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14:21:34-0600',mode:absolute,to:'2016-07-08 15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5" s="80" t="str">
        <f t="shared" si="51"/>
        <v>N</v>
      </c>
      <c r="X95" s="104">
        <f t="shared" si="55"/>
        <v>1</v>
      </c>
      <c r="Y95" s="101">
        <f t="shared" si="56"/>
        <v>23.3034</v>
      </c>
      <c r="Z95" s="101">
        <f t="shared" si="58"/>
        <v>1.41E-2</v>
      </c>
      <c r="AA95" s="101">
        <f t="shared" si="53"/>
        <v>23.289300000000001</v>
      </c>
      <c r="AB95" s="98" t="e">
        <f>VLOOKUP(A95,Enforcements!$C$7:$J$27,8,0)</f>
        <v>#N/A</v>
      </c>
      <c r="AC95" s="94" t="e">
        <f>VLOOKUP(A95,Enforcements!$C$7:$E$27,3,0)</f>
        <v>#N/A</v>
      </c>
      <c r="AD95" s="95" t="str">
        <f t="shared" si="54"/>
        <v>0180-08</v>
      </c>
      <c r="AE95" s="81" t="str">
        <f t="shared" si="5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95" s="81" t="str">
        <f t="shared" si="60"/>
        <v>"C:\Program Files (x86)\AstroGrep\AstroGrep.exe" /spath="C:\Users\stu\Documents\Analysis\2016-02-23 RTDC Observations" /stypes="*4013*20160708*" /stext=" 20:.+((prompt.+disp)|(slice.+state.+chan)|(ment ac)|(system.+state.+chan)|(\|lc)|(penalty)|(\[timeout))" /e /r /s</v>
      </c>
      <c r="AG95" s="1" t="str">
        <f t="shared" si="57"/>
        <v>EC</v>
      </c>
    </row>
    <row r="96" spans="1:33" x14ac:dyDescent="0.25">
      <c r="A96" s="53" t="s">
        <v>509</v>
      </c>
      <c r="B96" s="7">
        <v>4011</v>
      </c>
      <c r="C96" s="28" t="s">
        <v>60</v>
      </c>
      <c r="D96" s="28" t="s">
        <v>118</v>
      </c>
      <c r="E96" s="17">
        <v>42559.568576388891</v>
      </c>
      <c r="F96" s="17">
        <v>42559.569652777776</v>
      </c>
      <c r="G96" s="7">
        <v>1</v>
      </c>
      <c r="H96" s="17" t="s">
        <v>204</v>
      </c>
      <c r="I96" s="17">
        <v>42559.597696759258</v>
      </c>
      <c r="J96" s="7">
        <v>0</v>
      </c>
      <c r="K96" s="28" t="str">
        <f t="shared" si="47"/>
        <v>4011/4012</v>
      </c>
      <c r="L96" s="28" t="str">
        <f>VLOOKUP(A96,'Trips&amp;Operators'!$C$1:$E$10000,3,FALSE)</f>
        <v>YANAI</v>
      </c>
      <c r="M96" s="6">
        <f t="shared" si="48"/>
        <v>2.8043981481459923E-2</v>
      </c>
      <c r="N96" s="7">
        <f t="shared" si="46"/>
        <v>40.383333333302289</v>
      </c>
      <c r="O96" s="7"/>
      <c r="P96" s="7"/>
      <c r="Q96" s="29"/>
      <c r="R96" s="29"/>
      <c r="S96" s="47">
        <f t="shared" si="32"/>
        <v>1</v>
      </c>
      <c r="T96" s="75" t="str">
        <f t="shared" si="49"/>
        <v>NorthBound</v>
      </c>
      <c r="U96" s="114">
        <f>COUNTIFS(Variables!$M$2:$M$19,IF(T96="NorthBound","&gt;=","&lt;=")&amp;Y96,Variables!$M$2:$M$19,IF(T96="NorthBound","&lt;=","&gt;=")&amp;Z96)</f>
        <v>12</v>
      </c>
      <c r="V96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13:37:45-0600',mode:absolute,to:'2016-07-08 14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6" s="80" t="str">
        <f t="shared" si="51"/>
        <v>N</v>
      </c>
      <c r="X96" s="104">
        <f t="shared" si="55"/>
        <v>1</v>
      </c>
      <c r="Y96" s="101">
        <f t="shared" si="56"/>
        <v>4.4400000000000002E-2</v>
      </c>
      <c r="Z96" s="101">
        <f t="shared" si="58"/>
        <v>23.330500000000001</v>
      </c>
      <c r="AA96" s="101">
        <f t="shared" si="53"/>
        <v>23.286100000000001</v>
      </c>
      <c r="AB96" s="98" t="e">
        <f>VLOOKUP(A96,Enforcements!$C$7:$J$27,8,0)</f>
        <v>#N/A</v>
      </c>
      <c r="AC96" s="94" t="e">
        <f>VLOOKUP(A96,Enforcements!$C$7:$E$27,3,0)</f>
        <v>#N/A</v>
      </c>
      <c r="AD96" s="95" t="str">
        <f t="shared" si="54"/>
        <v>0181-08</v>
      </c>
      <c r="AE96" s="81" t="str">
        <f t="shared" si="5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96" s="81" t="str">
        <f t="shared" si="60"/>
        <v>"C:\Program Files (x86)\AstroGrep\AstroGrep.exe" /spath="C:\Users\stu\Documents\Analysis\2016-02-23 RTDC Observations" /stypes="*4011*20160708*" /stext=" 19:.+((prompt.+disp)|(slice.+state.+chan)|(ment ac)|(system.+state.+chan)|(\|lc)|(penalty)|(\[timeout))" /e /r /s</v>
      </c>
      <c r="AG96" s="1" t="str">
        <f t="shared" si="57"/>
        <v>EC</v>
      </c>
    </row>
    <row r="97" spans="1:33" x14ac:dyDescent="0.25">
      <c r="A97" s="53" t="s">
        <v>493</v>
      </c>
      <c r="B97" s="7">
        <v>4012</v>
      </c>
      <c r="C97" s="28" t="s">
        <v>60</v>
      </c>
      <c r="D97" s="28" t="s">
        <v>557</v>
      </c>
      <c r="E97" s="17">
        <v>42559.606504629628</v>
      </c>
      <c r="F97" s="17">
        <v>42559.607708333337</v>
      </c>
      <c r="G97" s="7">
        <v>1</v>
      </c>
      <c r="H97" s="17" t="s">
        <v>544</v>
      </c>
      <c r="I97" s="17">
        <v>42559.636886574073</v>
      </c>
      <c r="J97" s="7">
        <v>1</v>
      </c>
      <c r="K97" s="28" t="str">
        <f t="shared" si="47"/>
        <v>4011/4012</v>
      </c>
      <c r="L97" s="28" t="str">
        <f>VLOOKUP(A97,'Trips&amp;Operators'!$C$1:$E$10000,3,FALSE)</f>
        <v>YANAI</v>
      </c>
      <c r="M97" s="6">
        <f t="shared" si="48"/>
        <v>2.9178240736655425E-2</v>
      </c>
      <c r="N97" s="7">
        <f t="shared" si="46"/>
        <v>42.016666660783812</v>
      </c>
      <c r="O97" s="7"/>
      <c r="P97" s="7"/>
      <c r="Q97" s="29"/>
      <c r="R97" s="29"/>
      <c r="S97" s="47">
        <f t="shared" si="32"/>
        <v>1</v>
      </c>
      <c r="T97" s="75" t="str">
        <f t="shared" si="49"/>
        <v>Southbound</v>
      </c>
      <c r="U97" s="114">
        <f>COUNTIFS(Variables!$M$2:$M$19,IF(T97="NorthBound","&gt;=","&lt;=")&amp;Y97,Variables!$M$2:$M$19,IF(T97="NorthBound","&lt;=","&gt;=")&amp;Z97)</f>
        <v>12</v>
      </c>
      <c r="V97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14:32:22-0600',mode:absolute,to:'2016-07-08 15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7" s="80" t="str">
        <f t="shared" si="51"/>
        <v>N</v>
      </c>
      <c r="X97" s="104">
        <f t="shared" si="55"/>
        <v>1</v>
      </c>
      <c r="Y97" s="101">
        <f t="shared" si="56"/>
        <v>23.2973</v>
      </c>
      <c r="Z97" s="101">
        <f t="shared" si="58"/>
        <v>1.4999999999999999E-2</v>
      </c>
      <c r="AA97" s="101">
        <f t="shared" si="53"/>
        <v>23.282299999999999</v>
      </c>
      <c r="AB97" s="98" t="e">
        <f>VLOOKUP(A97,Enforcements!$C$7:$J$27,8,0)</f>
        <v>#N/A</v>
      </c>
      <c r="AC97" s="94" t="e">
        <f>VLOOKUP(A97,Enforcements!$C$7:$E$27,3,0)</f>
        <v>#N/A</v>
      </c>
      <c r="AD97" s="95" t="str">
        <f t="shared" si="54"/>
        <v>0182-08</v>
      </c>
      <c r="AE97" s="81" t="str">
        <f t="shared" si="5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97" s="81" t="str">
        <f t="shared" si="60"/>
        <v>"C:\Program Files (x86)\AstroGrep\AstroGrep.exe" /spath="C:\Users\stu\Documents\Analysis\2016-02-23 RTDC Observations" /stypes="*4012*20160708*" /stext=" 20:.+((prompt.+disp)|(slice.+state.+chan)|(ment ac)|(system.+state.+chan)|(\|lc)|(penalty)|(\[timeout))" /e /r /s</v>
      </c>
      <c r="AG97" s="1" t="str">
        <f t="shared" si="57"/>
        <v>EC</v>
      </c>
    </row>
    <row r="98" spans="1:33" x14ac:dyDescent="0.25">
      <c r="A98" s="53" t="s">
        <v>520</v>
      </c>
      <c r="B98" s="7">
        <v>4027</v>
      </c>
      <c r="C98" s="28" t="s">
        <v>60</v>
      </c>
      <c r="D98" s="28" t="s">
        <v>451</v>
      </c>
      <c r="E98" s="17">
        <v>42559.581759259258</v>
      </c>
      <c r="F98" s="17">
        <v>42559.582777777781</v>
      </c>
      <c r="G98" s="7">
        <v>1</v>
      </c>
      <c r="H98" s="17" t="s">
        <v>558</v>
      </c>
      <c r="I98" s="17">
        <v>42559.609027777777</v>
      </c>
      <c r="J98" s="7">
        <v>0</v>
      </c>
      <c r="K98" s="28" t="str">
        <f t="shared" si="47"/>
        <v>4027/4028</v>
      </c>
      <c r="L98" s="28" t="str">
        <f>VLOOKUP(A98,'Trips&amp;Operators'!$C$1:$E$10000,3,FALSE)</f>
        <v>STEWART</v>
      </c>
      <c r="M98" s="6">
        <f t="shared" si="48"/>
        <v>2.6249999995343387E-2</v>
      </c>
      <c r="N98" s="7">
        <f t="shared" si="46"/>
        <v>37.799999993294477</v>
      </c>
      <c r="O98" s="7"/>
      <c r="P98" s="7"/>
      <c r="Q98" s="29"/>
      <c r="R98" s="29"/>
      <c r="S98" s="47">
        <f t="shared" si="32"/>
        <v>1</v>
      </c>
      <c r="T98" s="75" t="str">
        <f t="shared" si="49"/>
        <v>NorthBound</v>
      </c>
      <c r="U98" s="114">
        <f>COUNTIFS(Variables!$M$2:$M$19,IF(T98="NorthBound","&gt;=","&lt;=")&amp;Y98,Variables!$M$2:$M$19,IF(T98="NorthBound","&lt;=","&gt;=")&amp;Z98)</f>
        <v>12</v>
      </c>
      <c r="V9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13:56:44-0600',mode:absolute,to:'2016-07-08 14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8" s="80" t="str">
        <f t="shared" si="51"/>
        <v>N</v>
      </c>
      <c r="X98" s="104">
        <f t="shared" si="55"/>
        <v>1</v>
      </c>
      <c r="Y98" s="101">
        <f t="shared" si="56"/>
        <v>4.6899999999999997E-2</v>
      </c>
      <c r="Z98" s="101">
        <f t="shared" si="58"/>
        <v>23.329699999999999</v>
      </c>
      <c r="AA98" s="101">
        <f t="shared" si="53"/>
        <v>23.282799999999998</v>
      </c>
      <c r="AB98" s="98" t="e">
        <f>VLOOKUP(A98,Enforcements!$C$7:$J$27,8,0)</f>
        <v>#N/A</v>
      </c>
      <c r="AC98" s="94" t="e">
        <f>VLOOKUP(A98,Enforcements!$C$7:$E$27,3,0)</f>
        <v>#N/A</v>
      </c>
      <c r="AD98" s="95" t="str">
        <f t="shared" si="54"/>
        <v>0183-08</v>
      </c>
      <c r="AE98" s="81" t="str">
        <f t="shared" si="5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98" s="81" t="str">
        <f t="shared" si="60"/>
        <v>"C:\Program Files (x86)\AstroGrep\AstroGrep.exe" /spath="C:\Users\stu\Documents\Analysis\2016-02-23 RTDC Observations" /stypes="*4027*20160708*" /stext=" 19:.+((prompt.+disp)|(slice.+state.+chan)|(ment ac)|(system.+state.+chan)|(\|lc)|(penalty)|(\[timeout))" /e /r /s</v>
      </c>
      <c r="AG98" s="1" t="str">
        <f t="shared" si="57"/>
        <v>EC</v>
      </c>
    </row>
    <row r="99" spans="1:33" x14ac:dyDescent="0.25">
      <c r="A99" s="53" t="s">
        <v>506</v>
      </c>
      <c r="B99" s="7">
        <v>4028</v>
      </c>
      <c r="C99" s="28" t="s">
        <v>60</v>
      </c>
      <c r="D99" s="28" t="s">
        <v>559</v>
      </c>
      <c r="E99" s="17">
        <v>42559.61515046296</v>
      </c>
      <c r="F99" s="17">
        <v>42559.616481481484</v>
      </c>
      <c r="G99" s="7">
        <v>1</v>
      </c>
      <c r="H99" s="17" t="s">
        <v>248</v>
      </c>
      <c r="I99" s="17">
        <v>42559.648553240739</v>
      </c>
      <c r="J99" s="7">
        <v>0</v>
      </c>
      <c r="K99" s="28" t="str">
        <f t="shared" si="47"/>
        <v>4027/4028</v>
      </c>
      <c r="L99" s="28" t="str">
        <f>VLOOKUP(A99,'Trips&amp;Operators'!$C$1:$E$10000,3,FALSE)</f>
        <v>STEWART</v>
      </c>
      <c r="M99" s="6">
        <f t="shared" si="48"/>
        <v>3.2071759254904464E-2</v>
      </c>
      <c r="N99" s="7">
        <f t="shared" si="46"/>
        <v>46.183333327062428</v>
      </c>
      <c r="O99" s="7"/>
      <c r="P99" s="7"/>
      <c r="Q99" s="29"/>
      <c r="R99" s="29"/>
      <c r="S99" s="47">
        <f t="shared" si="32"/>
        <v>1</v>
      </c>
      <c r="T99" s="75" t="str">
        <f t="shared" si="49"/>
        <v>Southbound</v>
      </c>
      <c r="U99" s="114">
        <f>COUNTIFS(Variables!$M$2:$M$19,IF(T99="NorthBound","&gt;=","&lt;=")&amp;Y99,Variables!$M$2:$M$19,IF(T99="NorthBound","&lt;=","&gt;=")&amp;Z99)</f>
        <v>12</v>
      </c>
      <c r="V99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14:44:49-0600',mode:absolute,to:'2016-07-08 15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9" s="80" t="str">
        <f t="shared" si="51"/>
        <v>N</v>
      </c>
      <c r="X99" s="104">
        <f t="shared" si="55"/>
        <v>1</v>
      </c>
      <c r="Y99" s="101">
        <f t="shared" si="56"/>
        <v>23.297599999999999</v>
      </c>
      <c r="Z99" s="101">
        <f t="shared" si="58"/>
        <v>1.6E-2</v>
      </c>
      <c r="AA99" s="101">
        <f t="shared" si="53"/>
        <v>23.281600000000001</v>
      </c>
      <c r="AB99" s="98" t="e">
        <f>VLOOKUP(A99,Enforcements!$C$7:$J$27,8,0)</f>
        <v>#N/A</v>
      </c>
      <c r="AC99" s="94" t="e">
        <f>VLOOKUP(A99,Enforcements!$C$7:$E$27,3,0)</f>
        <v>#N/A</v>
      </c>
      <c r="AD99" s="95" t="str">
        <f t="shared" si="54"/>
        <v>0184-08</v>
      </c>
      <c r="AE99" s="81" t="str">
        <f t="shared" si="5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99" s="81" t="str">
        <f t="shared" si="60"/>
        <v>"C:\Program Files (x86)\AstroGrep\AstroGrep.exe" /spath="C:\Users\stu\Documents\Analysis\2016-02-23 RTDC Observations" /stypes="*4028*20160708*" /stext=" 20:.+((prompt.+disp)|(slice.+state.+chan)|(ment ac)|(system.+state.+chan)|(\|lc)|(penalty)|(\[timeout))" /e /r /s</v>
      </c>
      <c r="AG99" s="1" t="str">
        <f t="shared" si="57"/>
        <v>EC</v>
      </c>
    </row>
    <row r="100" spans="1:33" x14ac:dyDescent="0.25">
      <c r="A100" s="53" t="s">
        <v>494</v>
      </c>
      <c r="B100" s="7">
        <v>4016</v>
      </c>
      <c r="C100" s="28" t="s">
        <v>60</v>
      </c>
      <c r="D100" s="28" t="s">
        <v>243</v>
      </c>
      <c r="E100" s="17">
        <v>42559.590729166666</v>
      </c>
      <c r="F100" s="17">
        <v>42559.591574074075</v>
      </c>
      <c r="G100" s="7">
        <v>1</v>
      </c>
      <c r="H100" s="17" t="s">
        <v>175</v>
      </c>
      <c r="I100" s="17">
        <v>42559.618020833332</v>
      </c>
      <c r="J100" s="7">
        <v>1</v>
      </c>
      <c r="K100" s="28" t="str">
        <f t="shared" si="47"/>
        <v>4015/4016</v>
      </c>
      <c r="L100" s="28" t="str">
        <f>VLOOKUP(A100,'Trips&amp;Operators'!$C$1:$E$10000,3,FALSE)</f>
        <v>ROCHA</v>
      </c>
      <c r="M100" s="6">
        <f t="shared" si="48"/>
        <v>2.6446759256941732E-2</v>
      </c>
      <c r="N100" s="7">
        <f t="shared" si="46"/>
        <v>38.083333329996094</v>
      </c>
      <c r="O100" s="7"/>
      <c r="P100" s="7"/>
      <c r="Q100" s="29"/>
      <c r="R100" s="29"/>
      <c r="S100" s="47">
        <f t="shared" si="32"/>
        <v>1</v>
      </c>
      <c r="T100" s="75" t="str">
        <f t="shared" si="49"/>
        <v>NorthBound</v>
      </c>
      <c r="U100" s="114">
        <f>COUNTIFS(Variables!$M$2:$M$19,IF(T100="NorthBound","&gt;=","&lt;=")&amp;Y100,Variables!$M$2:$M$19,IF(T100="NorthBound","&lt;=","&gt;=")&amp;Z100)</f>
        <v>12</v>
      </c>
      <c r="V100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14:09:39-0600',mode:absolute,to:'2016-07-08 14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0" s="80" t="str">
        <f t="shared" si="51"/>
        <v>N</v>
      </c>
      <c r="X100" s="104">
        <f t="shared" si="55"/>
        <v>1</v>
      </c>
      <c r="Y100" s="101">
        <f t="shared" si="56"/>
        <v>4.6699999999999998E-2</v>
      </c>
      <c r="Z100" s="101">
        <f t="shared" si="58"/>
        <v>23.328900000000001</v>
      </c>
      <c r="AA100" s="101">
        <f t="shared" si="53"/>
        <v>23.2822</v>
      </c>
      <c r="AB100" s="98" t="e">
        <f>VLOOKUP(A100,Enforcements!$C$7:$J$27,8,0)</f>
        <v>#N/A</v>
      </c>
      <c r="AC100" s="94" t="e">
        <f>VLOOKUP(A100,Enforcements!$C$7:$E$27,3,0)</f>
        <v>#N/A</v>
      </c>
      <c r="AD100" s="95" t="str">
        <f t="shared" si="54"/>
        <v>0185-08</v>
      </c>
      <c r="AE100" s="81" t="str">
        <f t="shared" si="5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100" s="81" t="str">
        <f t="shared" si="60"/>
        <v>"C:\Program Files (x86)\AstroGrep\AstroGrep.exe" /spath="C:\Users\stu\Documents\Analysis\2016-02-23 RTDC Observations" /stypes="*4016*20160708*" /stext=" 20:.+((prompt.+disp)|(slice.+state.+chan)|(ment ac)|(system.+state.+chan)|(\|lc)|(penalty)|(\[timeout))" /e /r /s</v>
      </c>
      <c r="AG100" s="1" t="str">
        <f t="shared" si="57"/>
        <v>EC</v>
      </c>
    </row>
    <row r="101" spans="1:33" x14ac:dyDescent="0.25">
      <c r="A101" s="53" t="s">
        <v>528</v>
      </c>
      <c r="B101" s="7">
        <v>4015</v>
      </c>
      <c r="C101" s="28" t="s">
        <v>60</v>
      </c>
      <c r="D101" s="28" t="s">
        <v>431</v>
      </c>
      <c r="E101" s="17">
        <v>42559.630914351852</v>
      </c>
      <c r="F101" s="17">
        <v>42559.631979166668</v>
      </c>
      <c r="G101" s="7">
        <v>1</v>
      </c>
      <c r="H101" s="17" t="s">
        <v>83</v>
      </c>
      <c r="I101" s="17">
        <v>42559.658275462964</v>
      </c>
      <c r="J101" s="7">
        <v>0</v>
      </c>
      <c r="K101" s="28" t="str">
        <f t="shared" si="47"/>
        <v>4015/4016</v>
      </c>
      <c r="L101" s="28" t="str">
        <f>VLOOKUP(A101,'Trips&amp;Operators'!$C$1:$E$10000,3,FALSE)</f>
        <v>ROCHA</v>
      </c>
      <c r="M101" s="6">
        <f t="shared" si="48"/>
        <v>2.6296296295186039E-2</v>
      </c>
      <c r="N101" s="7">
        <f t="shared" si="46"/>
        <v>37.866666665067896</v>
      </c>
      <c r="O101" s="7"/>
      <c r="P101" s="7"/>
      <c r="Q101" s="29"/>
      <c r="R101" s="29"/>
      <c r="S101" s="47">
        <f t="shared" si="32"/>
        <v>1</v>
      </c>
      <c r="T101" s="75" t="str">
        <f t="shared" si="49"/>
        <v>Southbound</v>
      </c>
      <c r="U101" s="114">
        <f>COUNTIFS(Variables!$M$2:$M$19,IF(T101="NorthBound","&gt;=","&lt;=")&amp;Y101,Variables!$M$2:$M$19,IF(T101="NorthBound","&lt;=","&gt;=")&amp;Z101)</f>
        <v>12</v>
      </c>
      <c r="V101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15:07:31-0600',mode:absolute,to:'2016-07-08 15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1" s="80" t="str">
        <f t="shared" si="51"/>
        <v>N</v>
      </c>
      <c r="X101" s="104">
        <f t="shared" si="55"/>
        <v>1</v>
      </c>
      <c r="Y101" s="101">
        <f t="shared" si="56"/>
        <v>23.296500000000002</v>
      </c>
      <c r="Z101" s="101">
        <f t="shared" si="58"/>
        <v>1.5800000000000002E-2</v>
      </c>
      <c r="AA101" s="101">
        <f t="shared" si="53"/>
        <v>23.280700000000003</v>
      </c>
      <c r="AB101" s="98" t="e">
        <f>VLOOKUP(A101,Enforcements!$C$7:$J$27,8,0)</f>
        <v>#N/A</v>
      </c>
      <c r="AC101" s="94" t="e">
        <f>VLOOKUP(A101,Enforcements!$C$7:$E$27,3,0)</f>
        <v>#N/A</v>
      </c>
      <c r="AD101" s="95" t="str">
        <f t="shared" si="54"/>
        <v>0186-08</v>
      </c>
      <c r="AE101" s="81" t="str">
        <f t="shared" si="5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101" s="81" t="str">
        <f t="shared" si="60"/>
        <v>"C:\Program Files (x86)\AstroGrep\AstroGrep.exe" /spath="C:\Users\stu\Documents\Analysis\2016-02-23 RTDC Observations" /stypes="*4015*20160708*" /stext=" 21:.+((prompt.+disp)|(slice.+state.+chan)|(ment ac)|(system.+state.+chan)|(\|lc)|(penalty)|(\[timeout))" /e /r /s</v>
      </c>
      <c r="AG101" s="1" t="str">
        <f t="shared" si="57"/>
        <v>EC</v>
      </c>
    </row>
    <row r="102" spans="1:33" x14ac:dyDescent="0.25">
      <c r="A102" s="53" t="s">
        <v>503</v>
      </c>
      <c r="B102" s="7">
        <v>4025</v>
      </c>
      <c r="C102" s="28" t="s">
        <v>60</v>
      </c>
      <c r="D102" s="28" t="s">
        <v>275</v>
      </c>
      <c r="E102" s="17">
        <v>42559.599108796298</v>
      </c>
      <c r="F102" s="17">
        <v>42559.600092592591</v>
      </c>
      <c r="G102" s="7">
        <v>1</v>
      </c>
      <c r="H102" s="17" t="s">
        <v>553</v>
      </c>
      <c r="I102" s="17">
        <v>42559.629780092589</v>
      </c>
      <c r="J102" s="7">
        <v>0</v>
      </c>
      <c r="K102" s="28" t="str">
        <f t="shared" si="47"/>
        <v>4025/4026</v>
      </c>
      <c r="L102" s="28" t="str">
        <f>VLOOKUP(A102,'Trips&amp;Operators'!$C$1:$E$10000,3,FALSE)</f>
        <v>WEBSTER</v>
      </c>
      <c r="M102" s="6">
        <f t="shared" si="48"/>
        <v>2.9687499998544808E-2</v>
      </c>
      <c r="N102" s="7">
        <f t="shared" si="46"/>
        <v>42.749999997904524</v>
      </c>
      <c r="O102" s="7"/>
      <c r="P102" s="7"/>
      <c r="Q102" s="29"/>
      <c r="R102" s="29"/>
      <c r="S102" s="47">
        <f t="shared" si="32"/>
        <v>1</v>
      </c>
      <c r="T102" s="75" t="str">
        <f t="shared" si="49"/>
        <v>NorthBound</v>
      </c>
      <c r="U102" s="114">
        <f>COUNTIFS(Variables!$M$2:$M$19,IF(T102="NorthBound","&gt;=","&lt;=")&amp;Y102,Variables!$M$2:$M$19,IF(T102="NorthBound","&lt;=","&gt;=")&amp;Z102)</f>
        <v>12</v>
      </c>
      <c r="V102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14:21:43-0600',mode:absolute,to:'2016-07-08 15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2" s="80" t="str">
        <f t="shared" si="51"/>
        <v>N</v>
      </c>
      <c r="X102" s="104">
        <f t="shared" si="55"/>
        <v>1</v>
      </c>
      <c r="Y102" s="101">
        <f t="shared" si="56"/>
        <v>4.4699999999999997E-2</v>
      </c>
      <c r="Z102" s="101">
        <f t="shared" si="58"/>
        <v>23.329499999999999</v>
      </c>
      <c r="AA102" s="101">
        <f t="shared" si="53"/>
        <v>23.284800000000001</v>
      </c>
      <c r="AB102" s="98" t="e">
        <f>VLOOKUP(A102,Enforcements!$C$7:$J$27,8,0)</f>
        <v>#N/A</v>
      </c>
      <c r="AC102" s="94" t="e">
        <f>VLOOKUP(A102,Enforcements!$C$7:$E$27,3,0)</f>
        <v>#N/A</v>
      </c>
      <c r="AD102" s="95" t="str">
        <f t="shared" si="54"/>
        <v>0187-08</v>
      </c>
      <c r="AE102" s="81" t="str">
        <f t="shared" si="5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102" s="81" t="str">
        <f t="shared" si="60"/>
        <v>"C:\Program Files (x86)\AstroGrep\AstroGrep.exe" /spath="C:\Users\stu\Documents\Analysis\2016-02-23 RTDC Observations" /stypes="*4025*20160708*" /stext=" 20:.+((prompt.+disp)|(slice.+state.+chan)|(ment ac)|(system.+state.+chan)|(\|lc)|(penalty)|(\[timeout))" /e /r /s</v>
      </c>
      <c r="AG102" s="1" t="str">
        <f t="shared" si="57"/>
        <v>EC</v>
      </c>
    </row>
    <row r="103" spans="1:33" x14ac:dyDescent="0.25">
      <c r="A103" s="53" t="s">
        <v>496</v>
      </c>
      <c r="B103" s="7">
        <v>4026</v>
      </c>
      <c r="C103" s="28" t="s">
        <v>60</v>
      </c>
      <c r="D103" s="28" t="s">
        <v>296</v>
      </c>
      <c r="E103" s="17">
        <v>42559.637986111113</v>
      </c>
      <c r="F103" s="17">
        <v>42559.638969907406</v>
      </c>
      <c r="G103" s="7">
        <v>1</v>
      </c>
      <c r="H103" s="17" t="s">
        <v>560</v>
      </c>
      <c r="I103" s="17">
        <v>42559.669745370367</v>
      </c>
      <c r="J103" s="7">
        <v>1</v>
      </c>
      <c r="K103" s="28" t="str">
        <f t="shared" si="47"/>
        <v>4025/4026</v>
      </c>
      <c r="L103" s="28" t="str">
        <f>VLOOKUP(A103,'Trips&amp;Operators'!$C$1:$E$10000,3,FALSE)</f>
        <v>WEBSTER</v>
      </c>
      <c r="M103" s="6">
        <f t="shared" si="48"/>
        <v>3.0775462961173616E-2</v>
      </c>
      <c r="N103" s="7">
        <f t="shared" si="46"/>
        <v>44.316666664090008</v>
      </c>
      <c r="O103" s="7"/>
      <c r="P103" s="7"/>
      <c r="Q103" s="29"/>
      <c r="R103" s="29"/>
      <c r="S103" s="47">
        <f t="shared" si="32"/>
        <v>1</v>
      </c>
      <c r="T103" s="75" t="str">
        <f t="shared" si="49"/>
        <v>Southbound</v>
      </c>
      <c r="U103" s="114">
        <f>COUNTIFS(Variables!$M$2:$M$19,IF(T103="NorthBound","&gt;=","&lt;=")&amp;Y103,Variables!$M$2:$M$19,IF(T103="NorthBound","&lt;=","&gt;=")&amp;Z103)</f>
        <v>12</v>
      </c>
      <c r="V103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15:17:42-0600',mode:absolute,to:'2016-07-08 16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3" s="80" t="str">
        <f t="shared" si="51"/>
        <v>N</v>
      </c>
      <c r="X103" s="104">
        <f t="shared" si="55"/>
        <v>1</v>
      </c>
      <c r="Y103" s="101">
        <f t="shared" si="56"/>
        <v>23.298500000000001</v>
      </c>
      <c r="Z103" s="101">
        <f t="shared" si="58"/>
        <v>1.3899999999999999E-2</v>
      </c>
      <c r="AA103" s="101">
        <f t="shared" si="53"/>
        <v>23.284600000000001</v>
      </c>
      <c r="AB103" s="98" t="e">
        <f>VLOOKUP(A103,Enforcements!$C$7:$J$27,8,0)</f>
        <v>#N/A</v>
      </c>
      <c r="AC103" s="94" t="e">
        <f>VLOOKUP(A103,Enforcements!$C$7:$E$27,3,0)</f>
        <v>#N/A</v>
      </c>
      <c r="AD103" s="95" t="str">
        <f t="shared" si="54"/>
        <v>0188-08</v>
      </c>
      <c r="AE103" s="81" t="str">
        <f t="shared" si="5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03" s="81" t="str">
        <f t="shared" si="60"/>
        <v>"C:\Program Files (x86)\AstroGrep\AstroGrep.exe" /spath="C:\Users\stu\Documents\Analysis\2016-02-23 RTDC Observations" /stypes="*4026*20160708*" /stext=" 21:.+((prompt.+disp)|(slice.+state.+chan)|(ment ac)|(system.+state.+chan)|(\|lc)|(penalty)|(\[timeout))" /e /r /s</v>
      </c>
      <c r="AG103" s="1" t="str">
        <f t="shared" si="57"/>
        <v>EC</v>
      </c>
    </row>
    <row r="104" spans="1:33" x14ac:dyDescent="0.25">
      <c r="A104" s="53" t="s">
        <v>500</v>
      </c>
      <c r="B104" s="7">
        <v>4044</v>
      </c>
      <c r="C104" s="28" t="s">
        <v>60</v>
      </c>
      <c r="D104" s="28" t="s">
        <v>247</v>
      </c>
      <c r="E104" s="17">
        <v>42559.609189814815</v>
      </c>
      <c r="F104" s="17">
        <v>42559.610243055555</v>
      </c>
      <c r="G104" s="7">
        <v>1</v>
      </c>
      <c r="H104" s="17" t="s">
        <v>561</v>
      </c>
      <c r="I104" s="17">
        <v>42559.63894675926</v>
      </c>
      <c r="J104" s="7">
        <v>0</v>
      </c>
      <c r="K104" s="28" t="str">
        <f t="shared" si="47"/>
        <v>4043/4044</v>
      </c>
      <c r="L104" s="28" t="str">
        <f>VLOOKUP(A104,'Trips&amp;Operators'!$C$1:$E$10000,3,FALSE)</f>
        <v>SPECTOR</v>
      </c>
      <c r="M104" s="6">
        <f t="shared" si="48"/>
        <v>2.8703703705104999E-2</v>
      </c>
      <c r="N104" s="7">
        <f t="shared" si="46"/>
        <v>41.333333335351199</v>
      </c>
      <c r="O104" s="7"/>
      <c r="P104" s="7"/>
      <c r="Q104" s="29"/>
      <c r="R104" s="29"/>
      <c r="S104" s="47">
        <f t="shared" si="32"/>
        <v>1</v>
      </c>
      <c r="T104" s="75" t="str">
        <f t="shared" si="49"/>
        <v>NorthBound</v>
      </c>
      <c r="U104" s="114">
        <f>COUNTIFS(Variables!$M$2:$M$19,IF(T104="NorthBound","&gt;=","&lt;=")&amp;Y104,Variables!$M$2:$M$19,IF(T104="NorthBound","&lt;=","&gt;=")&amp;Z104)</f>
        <v>12</v>
      </c>
      <c r="V104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14:36:14-0600',mode:absolute,to:'2016-07-08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4" s="80" t="str">
        <f t="shared" si="51"/>
        <v>N</v>
      </c>
      <c r="X104" s="104">
        <f t="shared" si="55"/>
        <v>1</v>
      </c>
      <c r="Y104" s="101">
        <f t="shared" si="56"/>
        <v>4.4200000000000003E-2</v>
      </c>
      <c r="Z104" s="101">
        <f t="shared" si="58"/>
        <v>23.331600000000002</v>
      </c>
      <c r="AA104" s="101">
        <f t="shared" si="53"/>
        <v>23.287400000000002</v>
      </c>
      <c r="AB104" s="98" t="e">
        <f>VLOOKUP(A104,Enforcements!$C$7:$J$27,8,0)</f>
        <v>#N/A</v>
      </c>
      <c r="AC104" s="94" t="e">
        <f>VLOOKUP(A104,Enforcements!$C$7:$E$27,3,0)</f>
        <v>#N/A</v>
      </c>
      <c r="AD104" s="95" t="str">
        <f t="shared" si="54"/>
        <v>0189-08</v>
      </c>
      <c r="AE104" s="81" t="str">
        <f t="shared" si="5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04" s="81" t="str">
        <f t="shared" si="60"/>
        <v>"C:\Program Files (x86)\AstroGrep\AstroGrep.exe" /spath="C:\Users\stu\Documents\Analysis\2016-02-23 RTDC Observations" /stypes="*4044*20160708*" /stext=" 20:.+((prompt.+disp)|(slice.+state.+chan)|(ment ac)|(system.+state.+chan)|(\|lc)|(penalty)|(\[timeout))" /e /r /s</v>
      </c>
      <c r="AG104" s="1" t="str">
        <f t="shared" si="57"/>
        <v>EC</v>
      </c>
    </row>
    <row r="105" spans="1:33" x14ac:dyDescent="0.25">
      <c r="A105" s="53" t="s">
        <v>495</v>
      </c>
      <c r="B105" s="7">
        <v>4043</v>
      </c>
      <c r="C105" s="28" t="s">
        <v>60</v>
      </c>
      <c r="D105" s="28" t="s">
        <v>562</v>
      </c>
      <c r="E105" s="17">
        <v>42559.664317129631</v>
      </c>
      <c r="F105" s="17">
        <v>42559.665219907409</v>
      </c>
      <c r="G105" s="7">
        <v>1</v>
      </c>
      <c r="H105" s="17" t="s">
        <v>563</v>
      </c>
      <c r="I105" s="17">
        <v>42559.696400462963</v>
      </c>
      <c r="J105" s="7">
        <v>1</v>
      </c>
      <c r="K105" s="28" t="str">
        <f t="shared" si="47"/>
        <v>4043/4044</v>
      </c>
      <c r="L105" s="28" t="str">
        <f>VLOOKUP(A105,'Trips&amp;Operators'!$C$1:$E$10000,3,FALSE)</f>
        <v>SPECTOR</v>
      </c>
      <c r="M105" s="6">
        <f t="shared" si="48"/>
        <v>3.1180555553874001E-2</v>
      </c>
      <c r="N105" s="7"/>
      <c r="O105" s="7"/>
      <c r="P105" s="7">
        <f>24*60*SUM($M105:$M106)</f>
        <v>54.516666670097038</v>
      </c>
      <c r="Q105" s="29"/>
      <c r="R105" s="29" t="s">
        <v>136</v>
      </c>
      <c r="S105" s="47">
        <f t="shared" si="32"/>
        <v>1</v>
      </c>
      <c r="T105" s="75" t="str">
        <f t="shared" si="49"/>
        <v>Southbound</v>
      </c>
      <c r="U105" s="114">
        <f>COUNTIFS(Variables!$M$2:$M$19,IF(T105="NorthBound","&gt;=","&lt;=")&amp;Y105,Variables!$M$2:$M$19,IF(T105="NorthBound","&lt;=","&gt;=")&amp;Z105)</f>
        <v>12</v>
      </c>
      <c r="V105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5" s="80" t="str">
        <f t="shared" si="51"/>
        <v>Y</v>
      </c>
      <c r="X105" s="104">
        <f t="shared" si="55"/>
        <v>1</v>
      </c>
      <c r="Y105" s="101">
        <f t="shared" si="56"/>
        <v>15.3988</v>
      </c>
      <c r="Z105" s="101">
        <f t="shared" si="58"/>
        <v>1.6899999999999998E-2</v>
      </c>
      <c r="AA105" s="101">
        <f t="shared" si="53"/>
        <v>15.3819</v>
      </c>
      <c r="AB105" s="98">
        <f>VLOOKUP(A105,Enforcements!$C$7:$J$27,8,0)</f>
        <v>53277</v>
      </c>
      <c r="AC105" s="94" t="str">
        <f>VLOOKUP(A105,Enforcements!$C$7:$E$27,3,0)</f>
        <v>GRADE CROSSING</v>
      </c>
      <c r="AD105" s="95" t="str">
        <f t="shared" si="54"/>
        <v>0190-08</v>
      </c>
      <c r="AE105" s="81" t="str">
        <f t="shared" ref="AE105:AE119" si="61">"aws s3 cp "&amp;s3_bucket&amp;"/RTDC"&amp;B105&amp;"/"&amp;TEXT(F105,"YYYY-MM-DD")&amp;"/ "&amp;search_path&amp;"\RTDC"&amp;B105&amp;"\"&amp;TEXT(F105,"YYYY-MM-DD")&amp;" --recursive &amp; """&amp;walkandungz&amp;""" "&amp;search_path&amp;"\RTDC"&amp;B105&amp;"\"&amp;TEXT(F105,"YYYY-MM-DD")
&amp;" &amp; "&amp;"aws s3 cp "&amp;s3_bucket&amp;"/RTDC"&amp;B105&amp;"/"&amp;TEXT(F105+1,"YYYY-MM-DD")&amp;"/ "&amp;search_path&amp;"\RTDC"&amp;B105&amp;"\"&amp;TEXT(F105+1,"YYYY-MM-DD")&amp;" --recursive &amp; """&amp;walkandungz&amp;""" "&amp;search_path&amp;"\RTDC"&amp;B105&amp;"\"&amp;TEXT(F105+1,"YYYY-MM-DD")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05" s="81" t="str">
        <f t="shared" ref="AF105:AF119" si="62">astrogrep_path&amp;" /spath="&amp;search_path&amp;" /stypes=""*"&amp;B105&amp;"*"&amp;TEXT(F105-utc_offset/24,"YYYYMMDD")&amp;"*"" /stext="" "&amp;TEXT(F105-utc_offset/24,"HH")&amp;search_regexp&amp;""" /e /r /s"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AG105" s="1" t="str">
        <f t="shared" si="57"/>
        <v>EC</v>
      </c>
    </row>
    <row r="106" spans="1:33" x14ac:dyDescent="0.25">
      <c r="A106" s="53" t="s">
        <v>495</v>
      </c>
      <c r="B106" s="7">
        <v>4043</v>
      </c>
      <c r="C106" s="28" t="s">
        <v>60</v>
      </c>
      <c r="D106" s="28" t="s">
        <v>564</v>
      </c>
      <c r="E106" s="17">
        <v>42559.648576388892</v>
      </c>
      <c r="F106" s="17">
        <v>42559.649548611109</v>
      </c>
      <c r="G106" s="7">
        <v>1</v>
      </c>
      <c r="H106" s="17" t="s">
        <v>565</v>
      </c>
      <c r="I106" s="17">
        <v>42559.656226851854</v>
      </c>
      <c r="J106" s="7">
        <v>0</v>
      </c>
      <c r="K106" s="28" t="str">
        <f t="shared" si="47"/>
        <v>4043/4044</v>
      </c>
      <c r="L106" s="28" t="str">
        <f>VLOOKUP(A106,'Trips&amp;Operators'!$C$1:$E$10000,3,FALSE)</f>
        <v>SPECTOR</v>
      </c>
      <c r="M106" s="6">
        <f t="shared" si="48"/>
        <v>6.6782407448044978E-3</v>
      </c>
      <c r="N106" s="7"/>
      <c r="O106" s="7"/>
      <c r="P106" s="7"/>
      <c r="Q106" s="29"/>
      <c r="R106" s="29"/>
      <c r="S106" s="47"/>
      <c r="T106" s="75" t="str">
        <f t="shared" si="49"/>
        <v>Southbound</v>
      </c>
      <c r="U106" s="114">
        <f>COUNTIFS(Variables!$M$2:$M$19,IF(T106="NorthBound","&gt;=","&lt;=")&amp;Y106,Variables!$M$2:$M$19,IF(T106="NorthBound","&lt;=","&gt;=")&amp;Z106)</f>
        <v>0</v>
      </c>
      <c r="V106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15:32:57-0600',mode:absolute,to:'2016-07-08 15:45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6" s="80" t="str">
        <f t="shared" si="51"/>
        <v>Y</v>
      </c>
      <c r="X106" s="104">
        <f t="shared" si="55"/>
        <v>0</v>
      </c>
      <c r="Y106" s="101">
        <f t="shared" si="56"/>
        <v>23.2986</v>
      </c>
      <c r="Z106" s="101">
        <f t="shared" si="58"/>
        <v>23.276</v>
      </c>
      <c r="AA106" s="101">
        <f t="shared" si="53"/>
        <v>2.260000000000062E-2</v>
      </c>
      <c r="AB106" s="98">
        <f>VLOOKUP(A106,Enforcements!$C$7:$J$27,8,0)</f>
        <v>53277</v>
      </c>
      <c r="AC106" s="94" t="str">
        <f>VLOOKUP(A106,Enforcements!$C$7:$E$27,3,0)</f>
        <v>GRADE CROSSING</v>
      </c>
      <c r="AD106" s="95" t="str">
        <f t="shared" si="54"/>
        <v>0190-08</v>
      </c>
      <c r="AE106" s="81" t="str">
        <f t="shared" si="61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06" s="81" t="str">
        <f t="shared" si="62"/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AG106" s="1" t="str">
        <f t="shared" si="57"/>
        <v>EC</v>
      </c>
    </row>
    <row r="107" spans="1:33" x14ac:dyDescent="0.25">
      <c r="A107" s="53" t="s">
        <v>512</v>
      </c>
      <c r="B107" s="7">
        <v>4040</v>
      </c>
      <c r="C107" s="28" t="s">
        <v>60</v>
      </c>
      <c r="D107" s="28" t="s">
        <v>566</v>
      </c>
      <c r="E107" s="17">
        <v>42559.620636574073</v>
      </c>
      <c r="F107" s="17">
        <v>42559.621712962966</v>
      </c>
      <c r="G107" s="7">
        <v>1</v>
      </c>
      <c r="H107" s="17" t="s">
        <v>567</v>
      </c>
      <c r="I107" s="17">
        <v>42559.649629629632</v>
      </c>
      <c r="J107" s="7">
        <v>0</v>
      </c>
      <c r="K107" s="28" t="str">
        <f t="shared" si="47"/>
        <v>4039/4040</v>
      </c>
      <c r="L107" s="28" t="str">
        <f>VLOOKUP(A107,'Trips&amp;Operators'!$C$1:$E$10000,3,FALSE)</f>
        <v>LOZA</v>
      </c>
      <c r="M107" s="6">
        <f t="shared" si="48"/>
        <v>2.7916666665987577E-2</v>
      </c>
      <c r="N107" s="7">
        <f t="shared" si="46"/>
        <v>40.199999999022111</v>
      </c>
      <c r="O107" s="7"/>
      <c r="P107" s="7"/>
      <c r="Q107" s="29"/>
      <c r="R107" s="29"/>
      <c r="S107" s="47">
        <f t="shared" ref="S107:S138" si="63">SUM(U107:U107)/12</f>
        <v>1</v>
      </c>
      <c r="T107" s="75" t="str">
        <f t="shared" si="49"/>
        <v>NorthBound</v>
      </c>
      <c r="U107" s="114">
        <f>COUNTIFS(Variables!$M$2:$M$19,IF(T107="NorthBound","&gt;=","&lt;=")&amp;Y107,Variables!$M$2:$M$19,IF(T107="NorthBound","&lt;=","&gt;=")&amp;Z107)</f>
        <v>12</v>
      </c>
      <c r="V107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14:52:43-0600',mode:absolute,to:'2016-07-08 15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7" s="80" t="str">
        <f t="shared" si="51"/>
        <v>N</v>
      </c>
      <c r="X107" s="104">
        <f t="shared" si="55"/>
        <v>1</v>
      </c>
      <c r="Y107" s="101">
        <f t="shared" si="56"/>
        <v>4.6199999999999998E-2</v>
      </c>
      <c r="Z107" s="101">
        <f t="shared" si="58"/>
        <v>23.330400000000001</v>
      </c>
      <c r="AA107" s="101">
        <f t="shared" si="53"/>
        <v>23.284200000000002</v>
      </c>
      <c r="AB107" s="98" t="e">
        <f>VLOOKUP(A107,Enforcements!$C$7:$J$27,8,0)</f>
        <v>#N/A</v>
      </c>
      <c r="AC107" s="94" t="e">
        <f>VLOOKUP(A107,Enforcements!$C$7:$E$27,3,0)</f>
        <v>#N/A</v>
      </c>
      <c r="AD107" s="95" t="str">
        <f t="shared" si="54"/>
        <v>0191-08</v>
      </c>
      <c r="AE107" s="81" t="str">
        <f t="shared" si="61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07" s="81" t="str">
        <f t="shared" si="62"/>
        <v>"C:\Program Files (x86)\AstroGrep\AstroGrep.exe" /spath="C:\Users\stu\Documents\Analysis\2016-02-23 RTDC Observations" /stypes="*4040*20160708*" /stext=" 20:.+((prompt.+disp)|(slice.+state.+chan)|(ment ac)|(system.+state.+chan)|(\|lc)|(penalty)|(\[timeout))" /e /r /s</v>
      </c>
      <c r="AG107" s="1" t="str">
        <f t="shared" si="57"/>
        <v>EC</v>
      </c>
    </row>
    <row r="108" spans="1:33" x14ac:dyDescent="0.25">
      <c r="A108" s="53" t="s">
        <v>527</v>
      </c>
      <c r="B108" s="7">
        <v>4039</v>
      </c>
      <c r="C108" s="28" t="s">
        <v>60</v>
      </c>
      <c r="D108" s="28" t="s">
        <v>568</v>
      </c>
      <c r="E108" s="17">
        <v>42559.659687500003</v>
      </c>
      <c r="F108" s="17">
        <v>42559.660879629628</v>
      </c>
      <c r="G108" s="7">
        <v>1</v>
      </c>
      <c r="H108" s="17" t="s">
        <v>112</v>
      </c>
      <c r="I108" s="17">
        <v>42559.70107638889</v>
      </c>
      <c r="J108" s="7">
        <v>0</v>
      </c>
      <c r="K108" s="28" t="str">
        <f t="shared" si="47"/>
        <v>4039/4040</v>
      </c>
      <c r="L108" s="28" t="str">
        <f>VLOOKUP(A108,'Trips&amp;Operators'!$C$1:$E$10000,3,FALSE)</f>
        <v>LOZA</v>
      </c>
      <c r="M108" s="6">
        <f t="shared" si="48"/>
        <v>4.019675926247146E-2</v>
      </c>
      <c r="N108" s="7">
        <f t="shared" si="46"/>
        <v>57.883333337958902</v>
      </c>
      <c r="O108" s="7"/>
      <c r="P108" s="7"/>
      <c r="Q108" s="29"/>
      <c r="R108" s="29"/>
      <c r="S108" s="47">
        <f t="shared" si="63"/>
        <v>1</v>
      </c>
      <c r="T108" s="75" t="str">
        <f t="shared" si="49"/>
        <v>Southbound</v>
      </c>
      <c r="U108" s="114">
        <f>COUNTIFS(Variables!$M$2:$M$19,IF(T108="NorthBound","&gt;=","&lt;=")&amp;Y108,Variables!$M$2:$M$19,IF(T108="NorthBound","&lt;=","&gt;=")&amp;Z108)</f>
        <v>12</v>
      </c>
      <c r="V10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15:48:57-0600',mode:absolute,to:'2016-07-08 16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8" s="80" t="str">
        <f t="shared" si="51"/>
        <v>N</v>
      </c>
      <c r="X108" s="104">
        <f t="shared" si="55"/>
        <v>1</v>
      </c>
      <c r="Y108" s="101">
        <f t="shared" si="56"/>
        <v>23.299099999999999</v>
      </c>
      <c r="Z108" s="101">
        <f t="shared" si="58"/>
        <v>1.43E-2</v>
      </c>
      <c r="AA108" s="101">
        <f t="shared" si="53"/>
        <v>23.284800000000001</v>
      </c>
      <c r="AB108" s="98" t="e">
        <f>VLOOKUP(A108,Enforcements!$C$7:$J$27,8,0)</f>
        <v>#N/A</v>
      </c>
      <c r="AC108" s="94" t="e">
        <f>VLOOKUP(A108,Enforcements!$C$7:$E$27,3,0)</f>
        <v>#N/A</v>
      </c>
      <c r="AD108" s="95" t="str">
        <f t="shared" si="54"/>
        <v>0192-08</v>
      </c>
      <c r="AE108" s="81" t="str">
        <f t="shared" si="61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108" s="81" t="str">
        <f t="shared" si="62"/>
        <v>"C:\Program Files (x86)\AstroGrep\AstroGrep.exe" /spath="C:\Users\stu\Documents\Analysis\2016-02-23 RTDC Observations" /stypes="*4039*20160708*" /stext=" 21:.+((prompt.+disp)|(slice.+state.+chan)|(ment ac)|(system.+state.+chan)|(\|lc)|(penalty)|(\[timeout))" /e /r /s</v>
      </c>
      <c r="AG108" s="1" t="str">
        <f t="shared" si="57"/>
        <v>EC</v>
      </c>
    </row>
    <row r="109" spans="1:33" x14ac:dyDescent="0.25">
      <c r="A109" s="53" t="s">
        <v>504</v>
      </c>
      <c r="B109" s="7">
        <v>4014</v>
      </c>
      <c r="C109" s="28" t="s">
        <v>60</v>
      </c>
      <c r="D109" s="28" t="s">
        <v>243</v>
      </c>
      <c r="E109" s="17">
        <v>42559.632789351854</v>
      </c>
      <c r="F109" s="17">
        <v>42559.633819444447</v>
      </c>
      <c r="G109" s="7">
        <v>1</v>
      </c>
      <c r="H109" s="17" t="s">
        <v>569</v>
      </c>
      <c r="I109" s="17">
        <v>42559.660462962966</v>
      </c>
      <c r="J109" s="7">
        <v>0</v>
      </c>
      <c r="K109" s="28" t="str">
        <f t="shared" ref="K109:K138" si="64">IF(ISEVEN(B109),(B109-1)&amp;"/"&amp;B109,B109&amp;"/"&amp;(B109+1))</f>
        <v>4013/4014</v>
      </c>
      <c r="L109" s="28" t="str">
        <f>VLOOKUP(A109,'Trips&amp;Operators'!$C$1:$E$10000,3,FALSE)</f>
        <v>LOCKLEAR</v>
      </c>
      <c r="M109" s="6">
        <f t="shared" ref="M109:M138" si="65">I109-F109</f>
        <v>2.6643518518540077E-2</v>
      </c>
      <c r="N109" s="7">
        <f t="shared" si="46"/>
        <v>38.366666666697711</v>
      </c>
      <c r="O109" s="7"/>
      <c r="P109" s="7"/>
      <c r="Q109" s="29"/>
      <c r="R109" s="29"/>
      <c r="S109" s="47">
        <f t="shared" si="63"/>
        <v>1</v>
      </c>
      <c r="T109" s="75" t="str">
        <f t="shared" ref="T109:T138" si="66">IF(ISEVEN(LEFT(A109,3)),"Southbound","NorthBound")</f>
        <v>NorthBound</v>
      </c>
      <c r="U109" s="114">
        <f>COUNTIFS(Variables!$M$2:$M$19,IF(T109="NorthBound","&gt;=","&lt;=")&amp;Y109,Variables!$M$2:$M$19,IF(T109="NorthBound","&lt;=","&gt;=")&amp;Z109)</f>
        <v>12</v>
      </c>
      <c r="V109" s="80" t="str">
        <f t="shared" ref="V109:V138" si="67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https://search-rtdc-monitor-bjffxe2xuh6vdkpspy63sjmuny.us-east-1.es.amazonaws.com/_plugin/kibana/#/discover/Steve-Slow-Train-Analysis-(2080s-and-2083s)?_g=(refreshInterval:(display:Off,section:0,value:0),time:(from:'2016-07-08 15:10:13-0600',mode:absolute,to:'2016-07-08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9" s="80" t="str">
        <f t="shared" ref="W109:W138" si="68">IF(AA109&lt;23,"Y","N")</f>
        <v>N</v>
      </c>
      <c r="X109" s="104">
        <f t="shared" si="55"/>
        <v>1</v>
      </c>
      <c r="Y109" s="101">
        <f t="shared" si="56"/>
        <v>4.6699999999999998E-2</v>
      </c>
      <c r="Z109" s="101">
        <f t="shared" si="58"/>
        <v>23.3339</v>
      </c>
      <c r="AA109" s="101">
        <f t="shared" ref="AA109:AA138" si="69">ABS(Z109-Y109)</f>
        <v>23.287199999999999</v>
      </c>
      <c r="AB109" s="98" t="e">
        <f>VLOOKUP(A109,Enforcements!$C$7:$J$27,8,0)</f>
        <v>#N/A</v>
      </c>
      <c r="AC109" s="94" t="e">
        <f>VLOOKUP(A109,Enforcements!$C$7:$E$27,3,0)</f>
        <v>#N/A</v>
      </c>
      <c r="AD109" s="95" t="str">
        <f t="shared" ref="AD109:AD138" si="70">IF(LEN(A109)=6,"0"&amp;A109,A109)</f>
        <v>0193-08</v>
      </c>
      <c r="AE109" s="81" t="str">
        <f t="shared" si="61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09" s="81" t="str">
        <f t="shared" si="62"/>
        <v>"C:\Program Files (x86)\AstroGrep\AstroGrep.exe" /spath="C:\Users\stu\Documents\Analysis\2016-02-23 RTDC Observations" /stypes="*4014*20160708*" /stext=" 21:.+((prompt.+disp)|(slice.+state.+chan)|(ment ac)|(system.+state.+chan)|(\|lc)|(penalty)|(\[timeout))" /e /r /s</v>
      </c>
      <c r="AG109" s="1" t="str">
        <f t="shared" si="57"/>
        <v>EC</v>
      </c>
    </row>
    <row r="110" spans="1:33" x14ac:dyDescent="0.25">
      <c r="A110" s="53" t="s">
        <v>498</v>
      </c>
      <c r="B110" s="7">
        <v>4013</v>
      </c>
      <c r="C110" s="28" t="s">
        <v>60</v>
      </c>
      <c r="D110" s="28" t="s">
        <v>570</v>
      </c>
      <c r="E110" s="17">
        <v>42559.672673611109</v>
      </c>
      <c r="F110" s="17">
        <v>42559.67454861111</v>
      </c>
      <c r="G110" s="7">
        <v>2</v>
      </c>
      <c r="H110" s="17" t="s">
        <v>443</v>
      </c>
      <c r="I110" s="17">
        <v>42559.710393518515</v>
      </c>
      <c r="J110" s="7">
        <v>2</v>
      </c>
      <c r="K110" s="28" t="str">
        <f t="shared" si="64"/>
        <v>4013/4014</v>
      </c>
      <c r="L110" s="28" t="str">
        <f>VLOOKUP(A110,'Trips&amp;Operators'!$C$1:$E$10000,3,FALSE)</f>
        <v>LOCKLEAR</v>
      </c>
      <c r="M110" s="6">
        <f t="shared" si="65"/>
        <v>3.5844907404680271E-2</v>
      </c>
      <c r="N110" s="7">
        <f t="shared" si="46"/>
        <v>51.61666666273959</v>
      </c>
      <c r="O110" s="7"/>
      <c r="P110" s="7"/>
      <c r="Q110" s="29"/>
      <c r="R110" s="29"/>
      <c r="S110" s="47">
        <f t="shared" si="63"/>
        <v>1</v>
      </c>
      <c r="T110" s="75" t="str">
        <f t="shared" si="66"/>
        <v>Southbound</v>
      </c>
      <c r="U110" s="114">
        <f>COUNTIFS(Variables!$M$2:$M$19,IF(T110="NorthBound","&gt;=","&lt;=")&amp;Y110,Variables!$M$2:$M$19,IF(T110="NorthBound","&lt;=","&gt;=")&amp;Z110)</f>
        <v>12</v>
      </c>
      <c r="V110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16:07:39-0600',mode:absolute,to:'2016-07-08 17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0" s="80" t="str">
        <f t="shared" si="68"/>
        <v>N</v>
      </c>
      <c r="X110" s="104">
        <f t="shared" ref="X110:X137" si="71">VALUE(LEFT(A110,3))-VALUE(LEFT(A109,3))</f>
        <v>1</v>
      </c>
      <c r="Y110" s="101">
        <f t="shared" ref="Y110:Y136" si="72">RIGHT(D110,LEN(D110)-4)/10000</f>
        <v>23.302600000000002</v>
      </c>
      <c r="Z110" s="101">
        <f t="shared" si="58"/>
        <v>4.7500000000000001E-2</v>
      </c>
      <c r="AA110" s="101">
        <f t="shared" si="69"/>
        <v>23.255100000000002</v>
      </c>
      <c r="AB110" s="98">
        <f>VLOOKUP(A110,Enforcements!$C$7:$J$27,8,0)</f>
        <v>127587</v>
      </c>
      <c r="AC110" s="94" t="str">
        <f>VLOOKUP(A110,Enforcements!$C$7:$E$27,3,0)</f>
        <v>SIGNAL</v>
      </c>
      <c r="AD110" s="95" t="str">
        <f t="shared" si="70"/>
        <v>0194-08</v>
      </c>
      <c r="AE110" s="81" t="str">
        <f t="shared" si="61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10" s="81" t="str">
        <f t="shared" si="62"/>
        <v>"C:\Program Files (x86)\AstroGrep\AstroGrep.exe" /spath="C:\Users\stu\Documents\Analysis\2016-02-23 RTDC Observations" /stypes="*4013*20160708*" /stext=" 22:.+((prompt.+disp)|(slice.+state.+chan)|(ment ac)|(system.+state.+chan)|(\|lc)|(penalty)|(\[timeout))" /e /r /s</v>
      </c>
      <c r="AG110" s="1" t="str">
        <f t="shared" si="57"/>
        <v>EC</v>
      </c>
    </row>
    <row r="111" spans="1:33" x14ac:dyDescent="0.25">
      <c r="A111" s="53" t="s">
        <v>530</v>
      </c>
      <c r="B111" s="7">
        <v>4011</v>
      </c>
      <c r="C111" s="28" t="s">
        <v>60</v>
      </c>
      <c r="D111" s="28" t="s">
        <v>275</v>
      </c>
      <c r="E111" s="17">
        <v>42559.640543981484</v>
      </c>
      <c r="F111" s="17">
        <v>42559.64167824074</v>
      </c>
      <c r="G111" s="7">
        <v>1</v>
      </c>
      <c r="H111" s="17" t="s">
        <v>571</v>
      </c>
      <c r="I111" s="17">
        <v>42559.671793981484</v>
      </c>
      <c r="J111" s="7">
        <v>0</v>
      </c>
      <c r="K111" s="28" t="str">
        <f t="shared" si="64"/>
        <v>4011/4012</v>
      </c>
      <c r="L111" s="28" t="str">
        <f>VLOOKUP(A111,'Trips&amp;Operators'!$C$1:$E$10000,3,FALSE)</f>
        <v>YANAI</v>
      </c>
      <c r="M111" s="6">
        <f t="shared" si="65"/>
        <v>3.0115740744804498E-2</v>
      </c>
      <c r="N111" s="7">
        <f t="shared" si="46"/>
        <v>43.366666672518477</v>
      </c>
      <c r="O111" s="7"/>
      <c r="P111" s="7"/>
      <c r="Q111" s="29"/>
      <c r="R111" s="29"/>
      <c r="S111" s="47">
        <f t="shared" si="63"/>
        <v>1</v>
      </c>
      <c r="T111" s="75" t="str">
        <f t="shared" si="66"/>
        <v>NorthBound</v>
      </c>
      <c r="U111" s="114">
        <f>COUNTIFS(Variables!$M$2:$M$19,IF(T111="NorthBound","&gt;=","&lt;=")&amp;Y111,Variables!$M$2:$M$19,IF(T111="NorthBound","&lt;=","&gt;=")&amp;Z111)</f>
        <v>12</v>
      </c>
      <c r="V111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15:21:23-0600',mode:absolute,to:'2016-07-08 16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1" s="80" t="str">
        <f t="shared" si="68"/>
        <v>N</v>
      </c>
      <c r="X111" s="104">
        <f t="shared" si="71"/>
        <v>1</v>
      </c>
      <c r="Y111" s="101">
        <f t="shared" si="72"/>
        <v>4.4699999999999997E-2</v>
      </c>
      <c r="Z111" s="101">
        <f t="shared" si="58"/>
        <v>23.328299999999999</v>
      </c>
      <c r="AA111" s="101">
        <f t="shared" si="69"/>
        <v>23.2836</v>
      </c>
      <c r="AB111" s="98" t="e">
        <f>VLOOKUP(A111,Enforcements!$C$7:$J$27,8,0)</f>
        <v>#N/A</v>
      </c>
      <c r="AC111" s="94" t="e">
        <f>VLOOKUP(A111,Enforcements!$C$7:$E$27,3,0)</f>
        <v>#N/A</v>
      </c>
      <c r="AD111" s="95" t="str">
        <f t="shared" si="70"/>
        <v>0195-08</v>
      </c>
      <c r="AE111" s="81" t="str">
        <f t="shared" si="61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11" s="81" t="str">
        <f t="shared" si="62"/>
        <v>"C:\Program Files (x86)\AstroGrep\AstroGrep.exe" /spath="C:\Users\stu\Documents\Analysis\2016-02-23 RTDC Observations" /stypes="*4011*20160708*" /stext=" 21:.+((prompt.+disp)|(slice.+state.+chan)|(ment ac)|(system.+state.+chan)|(\|lc)|(penalty)|(\[timeout))" /e /r /s</v>
      </c>
      <c r="AG111" s="1" t="str">
        <f t="shared" si="57"/>
        <v>EC</v>
      </c>
    </row>
    <row r="112" spans="1:33" x14ac:dyDescent="0.25">
      <c r="A112" s="53" t="s">
        <v>536</v>
      </c>
      <c r="B112" s="7">
        <v>4012</v>
      </c>
      <c r="C112" s="28" t="s">
        <v>60</v>
      </c>
      <c r="D112" s="28" t="s">
        <v>239</v>
      </c>
      <c r="E112" s="17">
        <v>42559.680092592593</v>
      </c>
      <c r="F112" s="17">
        <v>42559.681562500002</v>
      </c>
      <c r="G112" s="7">
        <v>2</v>
      </c>
      <c r="H112" s="17" t="s">
        <v>83</v>
      </c>
      <c r="I112" s="17">
        <v>42559.715416666666</v>
      </c>
      <c r="J112" s="7">
        <v>0</v>
      </c>
      <c r="K112" s="28" t="str">
        <f t="shared" si="64"/>
        <v>4011/4012</v>
      </c>
      <c r="L112" s="28" t="str">
        <f>VLOOKUP(A112,'Trips&amp;Operators'!$C$1:$E$10000,3,FALSE)</f>
        <v>YANAI</v>
      </c>
      <c r="M112" s="6">
        <f t="shared" si="65"/>
        <v>3.3854166664241347E-2</v>
      </c>
      <c r="N112" s="7">
        <f t="shared" si="46"/>
        <v>48.74999999650754</v>
      </c>
      <c r="O112" s="7"/>
      <c r="P112" s="7"/>
      <c r="Q112" s="29"/>
      <c r="R112" s="29"/>
      <c r="S112" s="47">
        <f t="shared" si="63"/>
        <v>1</v>
      </c>
      <c r="T112" s="75" t="str">
        <f t="shared" si="66"/>
        <v>Southbound</v>
      </c>
      <c r="U112" s="114">
        <f>COUNTIFS(Variables!$M$2:$M$19,IF(T112="NorthBound","&gt;=","&lt;=")&amp;Y112,Variables!$M$2:$M$19,IF(T112="NorthBound","&lt;=","&gt;=")&amp;Z112)</f>
        <v>12</v>
      </c>
      <c r="V112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16:18:20-0600',mode:absolute,to:'2016-07-08 17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2" s="80" t="str">
        <f t="shared" si="68"/>
        <v>N</v>
      </c>
      <c r="X112" s="104">
        <f t="shared" si="71"/>
        <v>1</v>
      </c>
      <c r="Y112" s="101">
        <f t="shared" si="72"/>
        <v>23.297899999999998</v>
      </c>
      <c r="Z112" s="101">
        <f t="shared" si="58"/>
        <v>1.5800000000000002E-2</v>
      </c>
      <c r="AA112" s="101">
        <f t="shared" si="69"/>
        <v>23.2821</v>
      </c>
      <c r="AB112" s="98" t="e">
        <f>VLOOKUP(A112,Enforcements!$C$7:$J$27,8,0)</f>
        <v>#N/A</v>
      </c>
      <c r="AC112" s="94" t="e">
        <f>VLOOKUP(A112,Enforcements!$C$7:$E$27,3,0)</f>
        <v>#N/A</v>
      </c>
      <c r="AD112" s="95" t="str">
        <f t="shared" si="70"/>
        <v>0196-08</v>
      </c>
      <c r="AE112" s="81" t="str">
        <f t="shared" si="61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12" s="81" t="str">
        <f t="shared" si="62"/>
        <v>"C:\Program Files (x86)\AstroGrep\AstroGrep.exe" /spath="C:\Users\stu\Documents\Analysis\2016-02-23 RTDC Observations" /stypes="*4012*20160708*" /stext=" 22:.+((prompt.+disp)|(slice.+state.+chan)|(ment ac)|(system.+state.+chan)|(\|lc)|(penalty)|(\[timeout))" /e /r /s</v>
      </c>
      <c r="AG112" s="1" t="str">
        <f t="shared" si="57"/>
        <v>EC</v>
      </c>
    </row>
    <row r="113" spans="1:33" x14ac:dyDescent="0.25">
      <c r="A113" s="53" t="s">
        <v>497</v>
      </c>
      <c r="B113" s="7">
        <v>4027</v>
      </c>
      <c r="C113" s="28" t="s">
        <v>60</v>
      </c>
      <c r="D113" s="28" t="s">
        <v>243</v>
      </c>
      <c r="E113" s="17">
        <v>42559.651805555557</v>
      </c>
      <c r="F113" s="17">
        <v>42559.652662037035</v>
      </c>
      <c r="G113" s="7">
        <v>1</v>
      </c>
      <c r="H113" s="17" t="s">
        <v>572</v>
      </c>
      <c r="I113" s="17">
        <v>42559.684108796297</v>
      </c>
      <c r="J113" s="7">
        <v>1</v>
      </c>
      <c r="K113" s="28" t="str">
        <f t="shared" si="64"/>
        <v>4027/4028</v>
      </c>
      <c r="L113" s="28" t="str">
        <f>VLOOKUP(A113,'Trips&amp;Operators'!$C$1:$E$10000,3,FALSE)</f>
        <v>STEWART</v>
      </c>
      <c r="M113" s="6">
        <f t="shared" si="65"/>
        <v>3.1446759261598345E-2</v>
      </c>
      <c r="N113" s="7">
        <f t="shared" si="46"/>
        <v>45.283333336701617</v>
      </c>
      <c r="O113" s="7"/>
      <c r="P113" s="7"/>
      <c r="Q113" s="29"/>
      <c r="R113" s="29"/>
      <c r="S113" s="47">
        <f t="shared" si="63"/>
        <v>1</v>
      </c>
      <c r="T113" s="75" t="str">
        <f t="shared" si="66"/>
        <v>NorthBound</v>
      </c>
      <c r="U113" s="114">
        <f>COUNTIFS(Variables!$M$2:$M$19,IF(T113="NorthBound","&gt;=","&lt;=")&amp;Y113,Variables!$M$2:$M$19,IF(T113="NorthBound","&lt;=","&gt;=")&amp;Z113)</f>
        <v>12</v>
      </c>
      <c r="V113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15:37:36-0600',mode:absolute,to:'2016-07-08 16:26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3" s="80" t="str">
        <f t="shared" si="68"/>
        <v>N</v>
      </c>
      <c r="X113" s="104">
        <f t="shared" si="71"/>
        <v>1</v>
      </c>
      <c r="Y113" s="101">
        <f t="shared" si="72"/>
        <v>4.6699999999999998E-2</v>
      </c>
      <c r="Z113" s="101">
        <f t="shared" si="58"/>
        <v>23.325299999999999</v>
      </c>
      <c r="AA113" s="101">
        <f t="shared" si="69"/>
        <v>23.278599999999997</v>
      </c>
      <c r="AB113" s="98" t="e">
        <f>VLOOKUP(A113,Enforcements!$C$7:$J$27,8,0)</f>
        <v>#N/A</v>
      </c>
      <c r="AC113" s="94" t="e">
        <f>VLOOKUP(A113,Enforcements!$C$7:$E$27,3,0)</f>
        <v>#N/A</v>
      </c>
      <c r="AD113" s="95" t="str">
        <f t="shared" si="70"/>
        <v>0197-08</v>
      </c>
      <c r="AE113" s="81" t="str">
        <f t="shared" si="61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113" s="81" t="str">
        <f t="shared" si="62"/>
        <v>"C:\Program Files (x86)\AstroGrep\AstroGrep.exe" /spath="C:\Users\stu\Documents\Analysis\2016-02-23 RTDC Observations" /stypes="*4027*20160708*" /stext=" 21:.+((prompt.+disp)|(slice.+state.+chan)|(ment ac)|(system.+state.+chan)|(\|lc)|(penalty)|(\[timeout))" /e /r /s</v>
      </c>
      <c r="AG113" s="1" t="str">
        <f t="shared" si="57"/>
        <v>EC</v>
      </c>
    </row>
    <row r="114" spans="1:33" x14ac:dyDescent="0.25">
      <c r="A114" s="53" t="s">
        <v>511</v>
      </c>
      <c r="B114" s="7">
        <v>4028</v>
      </c>
      <c r="C114" s="28" t="s">
        <v>60</v>
      </c>
      <c r="D114" s="28" t="s">
        <v>573</v>
      </c>
      <c r="E114" s="17">
        <v>42559.694513888891</v>
      </c>
      <c r="F114" s="17">
        <v>42559.695289351854</v>
      </c>
      <c r="G114" s="7">
        <v>1</v>
      </c>
      <c r="H114" s="17" t="s">
        <v>67</v>
      </c>
      <c r="I114" s="17">
        <v>42559.72755787037</v>
      </c>
      <c r="J114" s="7">
        <v>0</v>
      </c>
      <c r="K114" s="28" t="str">
        <f t="shared" si="64"/>
        <v>4027/4028</v>
      </c>
      <c r="L114" s="28" t="str">
        <f>VLOOKUP(A114,'Trips&amp;Operators'!$C$1:$E$10000,3,FALSE)</f>
        <v>STEWART</v>
      </c>
      <c r="M114" s="6">
        <f t="shared" si="65"/>
        <v>3.2268518516502809E-2</v>
      </c>
      <c r="N114" s="7">
        <f t="shared" si="46"/>
        <v>46.466666663764045</v>
      </c>
      <c r="O114" s="7"/>
      <c r="P114" s="7"/>
      <c r="Q114" s="29"/>
      <c r="R114" s="29"/>
      <c r="S114" s="47">
        <f t="shared" si="63"/>
        <v>1</v>
      </c>
      <c r="T114" s="75" t="str">
        <f t="shared" si="66"/>
        <v>Southbound</v>
      </c>
      <c r="U114" s="114">
        <f>COUNTIFS(Variables!$M$2:$M$19,IF(T114="NorthBound","&gt;=","&lt;=")&amp;Y114,Variables!$M$2:$M$19,IF(T114="NorthBound","&lt;=","&gt;=")&amp;Z114)</f>
        <v>12</v>
      </c>
      <c r="V114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16:39:06-0600',mode:absolute,to:'2016-07-08 17:28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4" s="80" t="str">
        <f t="shared" si="68"/>
        <v>N</v>
      </c>
      <c r="X114" s="104">
        <f t="shared" si="71"/>
        <v>1</v>
      </c>
      <c r="Y114" s="101">
        <f t="shared" si="72"/>
        <v>23.2944</v>
      </c>
      <c r="Z114" s="101">
        <f t="shared" si="58"/>
        <v>4.5999999999999999E-2</v>
      </c>
      <c r="AA114" s="101">
        <f t="shared" si="69"/>
        <v>23.2484</v>
      </c>
      <c r="AB114" s="98" t="e">
        <f>VLOOKUP(A114,Enforcements!$C$7:$J$27,8,0)</f>
        <v>#N/A</v>
      </c>
      <c r="AC114" s="94" t="e">
        <f>VLOOKUP(A114,Enforcements!$C$7:$E$27,3,0)</f>
        <v>#N/A</v>
      </c>
      <c r="AD114" s="95" t="str">
        <f t="shared" si="70"/>
        <v>0198-08</v>
      </c>
      <c r="AE114" s="81" t="str">
        <f t="shared" si="61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14" s="81" t="str">
        <f t="shared" si="62"/>
        <v>"C:\Program Files (x86)\AstroGrep\AstroGrep.exe" /spath="C:\Users\stu\Documents\Analysis\2016-02-23 RTDC Observations" /stypes="*4028*20160708*" /stext=" 22:.+((prompt.+disp)|(slice.+state.+chan)|(ment ac)|(system.+state.+chan)|(\|lc)|(penalty)|(\[timeout))" /e /r /s</v>
      </c>
      <c r="AG114" s="1" t="str">
        <f t="shared" si="57"/>
        <v>EC</v>
      </c>
    </row>
    <row r="115" spans="1:33" x14ac:dyDescent="0.25">
      <c r="A115" s="53" t="s">
        <v>522</v>
      </c>
      <c r="B115" s="7">
        <v>4016</v>
      </c>
      <c r="C115" s="28" t="s">
        <v>60</v>
      </c>
      <c r="D115" s="28" t="s">
        <v>67</v>
      </c>
      <c r="E115" s="17">
        <v>42559.661365740743</v>
      </c>
      <c r="F115" s="17">
        <v>42559.662175925929</v>
      </c>
      <c r="G115" s="7">
        <v>1</v>
      </c>
      <c r="H115" s="17" t="s">
        <v>567</v>
      </c>
      <c r="I115" s="17">
        <v>42559.691354166665</v>
      </c>
      <c r="J115" s="7">
        <v>0</v>
      </c>
      <c r="K115" s="28" t="str">
        <f t="shared" si="64"/>
        <v>4015/4016</v>
      </c>
      <c r="L115" s="28" t="str">
        <f>VLOOKUP(A115,'Trips&amp;Operators'!$C$1:$E$10000,3,FALSE)</f>
        <v>ROCHA</v>
      </c>
      <c r="M115" s="6">
        <f t="shared" si="65"/>
        <v>2.9178240736655425E-2</v>
      </c>
      <c r="N115" s="7">
        <f t="shared" si="46"/>
        <v>42.016666660783812</v>
      </c>
      <c r="O115" s="7"/>
      <c r="P115" s="7"/>
      <c r="Q115" s="29"/>
      <c r="R115" s="29"/>
      <c r="S115" s="47">
        <f t="shared" si="63"/>
        <v>1</v>
      </c>
      <c r="T115" s="75" t="str">
        <f t="shared" si="66"/>
        <v>NorthBound</v>
      </c>
      <c r="U115" s="114">
        <f>COUNTIFS(Variables!$M$2:$M$19,IF(T115="NorthBound","&gt;=","&lt;=")&amp;Y115,Variables!$M$2:$M$19,IF(T115="NorthBound","&lt;=","&gt;=")&amp;Z115)</f>
        <v>12</v>
      </c>
      <c r="V115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15:51:22-0600',mode:absolute,to:'2016-07-08 16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5" s="80" t="str">
        <f t="shared" si="68"/>
        <v>N</v>
      </c>
      <c r="X115" s="104">
        <f t="shared" si="71"/>
        <v>1</v>
      </c>
      <c r="Y115" s="101">
        <f t="shared" si="72"/>
        <v>4.5999999999999999E-2</v>
      </c>
      <c r="Z115" s="101">
        <f t="shared" si="58"/>
        <v>23.330400000000001</v>
      </c>
      <c r="AA115" s="101">
        <f t="shared" si="69"/>
        <v>23.284400000000002</v>
      </c>
      <c r="AB115" s="98" t="e">
        <f>VLOOKUP(A115,Enforcements!$C$7:$J$27,8,0)</f>
        <v>#N/A</v>
      </c>
      <c r="AC115" s="94" t="e">
        <f>VLOOKUP(A115,Enforcements!$C$7:$E$27,3,0)</f>
        <v>#N/A</v>
      </c>
      <c r="AD115" s="95" t="str">
        <f t="shared" si="70"/>
        <v>0199-08</v>
      </c>
      <c r="AE115" s="81" t="str">
        <f t="shared" si="61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115" s="81" t="str">
        <f t="shared" si="62"/>
        <v>"C:\Program Files (x86)\AstroGrep\AstroGrep.exe" /spath="C:\Users\stu\Documents\Analysis\2016-02-23 RTDC Observations" /stypes="*4016*20160708*" /stext=" 21:.+((prompt.+disp)|(slice.+state.+chan)|(ment ac)|(system.+state.+chan)|(\|lc)|(penalty)|(\[timeout))" /e /r /s</v>
      </c>
      <c r="AG115" s="1" t="str">
        <f t="shared" si="57"/>
        <v>EC</v>
      </c>
    </row>
    <row r="116" spans="1:33" x14ac:dyDescent="0.25">
      <c r="A116" s="53" t="s">
        <v>508</v>
      </c>
      <c r="B116" s="7">
        <v>4015</v>
      </c>
      <c r="C116" s="28" t="s">
        <v>60</v>
      </c>
      <c r="D116" s="28" t="s">
        <v>296</v>
      </c>
      <c r="E116" s="17">
        <v>42559.706284722219</v>
      </c>
      <c r="F116" s="17">
        <v>42559.70752314815</v>
      </c>
      <c r="G116" s="7">
        <v>1</v>
      </c>
      <c r="H116" s="17" t="s">
        <v>62</v>
      </c>
      <c r="I116" s="17">
        <v>42559.736226851855</v>
      </c>
      <c r="J116" s="7">
        <v>1</v>
      </c>
      <c r="K116" s="28" t="str">
        <f t="shared" si="64"/>
        <v>4015/4016</v>
      </c>
      <c r="L116" s="28" t="str">
        <f>VLOOKUP(A116,'Trips&amp;Operators'!$C$1:$E$10000,3,FALSE)</f>
        <v>ROCHA</v>
      </c>
      <c r="M116" s="6">
        <f t="shared" si="65"/>
        <v>2.8703703705104999E-2</v>
      </c>
      <c r="N116" s="7">
        <f t="shared" si="46"/>
        <v>41.333333335351199</v>
      </c>
      <c r="O116" s="7"/>
      <c r="P116" s="7"/>
      <c r="Q116" s="29"/>
      <c r="R116" s="29"/>
      <c r="S116" s="47">
        <f t="shared" si="63"/>
        <v>1</v>
      </c>
      <c r="T116" s="75" t="str">
        <f t="shared" si="66"/>
        <v>Southbound</v>
      </c>
      <c r="U116" s="114">
        <f>COUNTIFS(Variables!$M$2:$M$19,IF(T116="NorthBound","&gt;=","&lt;=")&amp;Y116,Variables!$M$2:$M$19,IF(T116="NorthBound","&lt;=","&gt;=")&amp;Z116)</f>
        <v>12</v>
      </c>
      <c r="V116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16:56:03-0600',mode:absolute,to:'2016-07-08 17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6" s="80" t="str">
        <f t="shared" si="68"/>
        <v>N</v>
      </c>
      <c r="X116" s="104">
        <f t="shared" si="71"/>
        <v>1</v>
      </c>
      <c r="Y116" s="101">
        <f t="shared" si="72"/>
        <v>23.298500000000001</v>
      </c>
      <c r="Z116" s="101">
        <f t="shared" si="58"/>
        <v>1.52E-2</v>
      </c>
      <c r="AA116" s="101">
        <f t="shared" si="69"/>
        <v>23.283300000000001</v>
      </c>
      <c r="AB116" s="98" t="e">
        <f>VLOOKUP(A116,Enforcements!$C$7:$J$27,8,0)</f>
        <v>#N/A</v>
      </c>
      <c r="AC116" s="94" t="e">
        <f>VLOOKUP(A116,Enforcements!$C$7:$E$27,3,0)</f>
        <v>#N/A</v>
      </c>
      <c r="AD116" s="95" t="str">
        <f t="shared" si="70"/>
        <v>0200-08</v>
      </c>
      <c r="AE116" s="81" t="str">
        <f t="shared" si="61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116" s="81" t="str">
        <f t="shared" si="62"/>
        <v>"C:\Program Files (x86)\AstroGrep\AstroGrep.exe" /spath="C:\Users\stu\Documents\Analysis\2016-02-23 RTDC Observations" /stypes="*4015*20160708*" /stext=" 22:.+((prompt.+disp)|(slice.+state.+chan)|(ment ac)|(system.+state.+chan)|(\|lc)|(penalty)|(\[timeout))" /e /r /s</v>
      </c>
      <c r="AG116" s="1" t="str">
        <f t="shared" si="57"/>
        <v>EC</v>
      </c>
    </row>
    <row r="117" spans="1:33" x14ac:dyDescent="0.25">
      <c r="A117" s="53" t="s">
        <v>505</v>
      </c>
      <c r="B117" s="7">
        <v>4025</v>
      </c>
      <c r="C117" s="28" t="s">
        <v>60</v>
      </c>
      <c r="D117" s="28" t="s">
        <v>71</v>
      </c>
      <c r="E117" s="17">
        <v>42559.671539351853</v>
      </c>
      <c r="F117" s="17">
        <v>42559.672696759262</v>
      </c>
      <c r="G117" s="7">
        <v>1</v>
      </c>
      <c r="H117" s="17" t="s">
        <v>441</v>
      </c>
      <c r="I117" s="17">
        <v>42559.704699074071</v>
      </c>
      <c r="J117" s="7">
        <v>0</v>
      </c>
      <c r="K117" s="28" t="str">
        <f t="shared" si="64"/>
        <v>4025/4026</v>
      </c>
      <c r="L117" s="28" t="str">
        <f>VLOOKUP(A117,'Trips&amp;Operators'!$C$1:$E$10000,3,FALSE)</f>
        <v>WEBSTER</v>
      </c>
      <c r="M117" s="6">
        <f t="shared" si="65"/>
        <v>3.2002314808778465E-2</v>
      </c>
      <c r="N117" s="7">
        <f t="shared" si="46"/>
        <v>46.083333324640989</v>
      </c>
      <c r="O117" s="7"/>
      <c r="P117" s="7"/>
      <c r="Q117" s="29"/>
      <c r="R117" s="29"/>
      <c r="S117" s="47">
        <f t="shared" si="63"/>
        <v>1</v>
      </c>
      <c r="T117" s="75" t="str">
        <f t="shared" si="66"/>
        <v>NorthBound</v>
      </c>
      <c r="U117" s="114">
        <f>COUNTIFS(Variables!$M$2:$M$19,IF(T117="NorthBound","&gt;=","&lt;=")&amp;Y117,Variables!$M$2:$M$19,IF(T117="NorthBound","&lt;=","&gt;=")&amp;Z117)</f>
        <v>12</v>
      </c>
      <c r="V117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16:06:01-0600',mode:absolute,to:'2016-07-08 16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7" s="80" t="str">
        <f t="shared" si="68"/>
        <v>N</v>
      </c>
      <c r="X117" s="104">
        <f t="shared" si="71"/>
        <v>1</v>
      </c>
      <c r="Y117" s="101">
        <f t="shared" si="72"/>
        <v>4.5699999999999998E-2</v>
      </c>
      <c r="Z117" s="101">
        <f t="shared" si="58"/>
        <v>23.329899999999999</v>
      </c>
      <c r="AA117" s="101">
        <f t="shared" si="69"/>
        <v>23.284199999999998</v>
      </c>
      <c r="AB117" s="98" t="e">
        <f>VLOOKUP(A117,Enforcements!$C$7:$J$27,8,0)</f>
        <v>#N/A</v>
      </c>
      <c r="AC117" s="94" t="e">
        <f>VLOOKUP(A117,Enforcements!$C$7:$E$27,3,0)</f>
        <v>#N/A</v>
      </c>
      <c r="AD117" s="95" t="str">
        <f t="shared" si="70"/>
        <v>0201-08</v>
      </c>
      <c r="AE117" s="81" t="str">
        <f t="shared" si="61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117" s="81" t="str">
        <f t="shared" si="62"/>
        <v>"C:\Program Files (x86)\AstroGrep\AstroGrep.exe" /spath="C:\Users\stu\Documents\Analysis\2016-02-23 RTDC Observations" /stypes="*4025*20160708*" /stext=" 22:.+((prompt.+disp)|(slice.+state.+chan)|(ment ac)|(system.+state.+chan)|(\|lc)|(penalty)|(\[timeout))" /e /r /s</v>
      </c>
      <c r="AG117" s="1" t="str">
        <f t="shared" si="57"/>
        <v>EC</v>
      </c>
    </row>
    <row r="118" spans="1:33" x14ac:dyDescent="0.25">
      <c r="A118" s="53" t="s">
        <v>529</v>
      </c>
      <c r="B118" s="7">
        <v>4026</v>
      </c>
      <c r="C118" s="28" t="s">
        <v>60</v>
      </c>
      <c r="D118" s="28" t="s">
        <v>574</v>
      </c>
      <c r="E118" s="17">
        <v>42559.710509259261</v>
      </c>
      <c r="F118" s="17">
        <v>42559.711944444447</v>
      </c>
      <c r="G118" s="7">
        <v>2</v>
      </c>
      <c r="H118" s="17" t="s">
        <v>575</v>
      </c>
      <c r="I118" s="17">
        <v>42559.744733796295</v>
      </c>
      <c r="J118" s="7">
        <v>0</v>
      </c>
      <c r="K118" s="28" t="str">
        <f t="shared" si="64"/>
        <v>4025/4026</v>
      </c>
      <c r="L118" s="28" t="str">
        <f>VLOOKUP(A118,'Trips&amp;Operators'!$C$1:$E$10000,3,FALSE)</f>
        <v>WEBSTER</v>
      </c>
      <c r="M118" s="6">
        <f t="shared" si="65"/>
        <v>3.2789351847895887E-2</v>
      </c>
      <c r="N118" s="7">
        <f t="shared" si="46"/>
        <v>47.216666660970077</v>
      </c>
      <c r="O118" s="7"/>
      <c r="P118" s="7"/>
      <c r="Q118" s="29"/>
      <c r="R118" s="29"/>
      <c r="S118" s="47">
        <f t="shared" si="63"/>
        <v>1</v>
      </c>
      <c r="T118" s="75" t="str">
        <f t="shared" si="66"/>
        <v>Southbound</v>
      </c>
      <c r="U118" s="114">
        <f>COUNTIFS(Variables!$M$2:$M$19,IF(T118="NorthBound","&gt;=","&lt;=")&amp;Y118,Variables!$M$2:$M$19,IF(T118="NorthBound","&lt;=","&gt;=")&amp;Z118)</f>
        <v>12</v>
      </c>
      <c r="V118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17:02:08-0600',mode:absolute,to:'2016-07-08 17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8" s="80" t="str">
        <f t="shared" si="68"/>
        <v>N</v>
      </c>
      <c r="X118" s="104">
        <f t="shared" si="71"/>
        <v>1</v>
      </c>
      <c r="Y118" s="101">
        <f t="shared" si="72"/>
        <v>23.297999999999998</v>
      </c>
      <c r="Z118" s="101">
        <f t="shared" si="58"/>
        <v>4.9799999999999997E-2</v>
      </c>
      <c r="AA118" s="101">
        <f t="shared" si="69"/>
        <v>23.248199999999997</v>
      </c>
      <c r="AB118" s="98" t="e">
        <f>VLOOKUP(A118,Enforcements!$C$7:$J$27,8,0)</f>
        <v>#N/A</v>
      </c>
      <c r="AC118" s="94" t="e">
        <f>VLOOKUP(A118,Enforcements!$C$7:$E$27,3,0)</f>
        <v>#N/A</v>
      </c>
      <c r="AD118" s="95" t="str">
        <f t="shared" si="70"/>
        <v>0202-08</v>
      </c>
      <c r="AE118" s="81" t="str">
        <f t="shared" si="61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18" s="81" t="str">
        <f t="shared" si="62"/>
        <v>"C:\Program Files (x86)\AstroGrep\AstroGrep.exe" /spath="C:\Users\stu\Documents\Analysis\2016-02-23 RTDC Observations" /stypes="*4026*20160708*" /stext=" 23:.+((prompt.+disp)|(slice.+state.+chan)|(ment ac)|(system.+state.+chan)|(\|lc)|(penalty)|(\[timeout))" /e /r /s</v>
      </c>
      <c r="AG118" s="1" t="str">
        <f t="shared" si="57"/>
        <v>EC</v>
      </c>
    </row>
    <row r="119" spans="1:33" x14ac:dyDescent="0.25">
      <c r="A119" s="53" t="s">
        <v>534</v>
      </c>
      <c r="B119" s="7">
        <v>4020</v>
      </c>
      <c r="C119" s="28" t="s">
        <v>60</v>
      </c>
      <c r="D119" s="28" t="s">
        <v>576</v>
      </c>
      <c r="E119" s="17">
        <v>42559.689884259256</v>
      </c>
      <c r="F119" s="17">
        <v>42559.690960648149</v>
      </c>
      <c r="G119" s="7">
        <v>1</v>
      </c>
      <c r="H119" s="17" t="s">
        <v>160</v>
      </c>
      <c r="I119" s="17">
        <v>42559.718645833331</v>
      </c>
      <c r="J119" s="7">
        <v>0</v>
      </c>
      <c r="K119" s="28" t="str">
        <f t="shared" si="64"/>
        <v>4019/4020</v>
      </c>
      <c r="L119" s="28" t="str">
        <f>VLOOKUP(A119,'Trips&amp;Operators'!$C$1:$E$10000,3,FALSE)</f>
        <v>HELVIE</v>
      </c>
      <c r="M119" s="6">
        <f t="shared" si="65"/>
        <v>2.7685185181326233E-2</v>
      </c>
      <c r="N119" s="7">
        <f t="shared" si="46"/>
        <v>39.866666661109775</v>
      </c>
      <c r="O119" s="7"/>
      <c r="P119" s="7"/>
      <c r="Q119" s="29"/>
      <c r="R119" s="29"/>
      <c r="S119" s="47">
        <f t="shared" si="63"/>
        <v>1</v>
      </c>
      <c r="T119" s="75" t="str">
        <f t="shared" si="66"/>
        <v>NorthBound</v>
      </c>
      <c r="U119" s="114">
        <f>COUNTIFS(Variables!$M$2:$M$19,IF(T119="NorthBound","&gt;=","&lt;=")&amp;Y119,Variables!$M$2:$M$19,IF(T119="NorthBound","&lt;=","&gt;=")&amp;Z119)</f>
        <v>12</v>
      </c>
      <c r="V119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16:32:26-0600',mode:absolute,to:'2016-07-08 17:15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9" s="80" t="str">
        <f t="shared" si="68"/>
        <v>N</v>
      </c>
      <c r="X119" s="104">
        <f t="shared" si="71"/>
        <v>1</v>
      </c>
      <c r="Y119" s="101">
        <f t="shared" si="72"/>
        <v>0.14879999999999999</v>
      </c>
      <c r="Z119" s="101">
        <f t="shared" si="58"/>
        <v>23.33</v>
      </c>
      <c r="AA119" s="101">
        <f t="shared" si="69"/>
        <v>23.181199999999997</v>
      </c>
      <c r="AB119" s="98" t="e">
        <f>VLOOKUP(A119,Enforcements!$C$7:$J$27,8,0)</f>
        <v>#N/A</v>
      </c>
      <c r="AC119" s="94" t="e">
        <f>VLOOKUP(A119,Enforcements!$C$7:$E$27,3,0)</f>
        <v>#N/A</v>
      </c>
      <c r="AD119" s="95" t="str">
        <f t="shared" si="70"/>
        <v>0203-08</v>
      </c>
      <c r="AE119" s="81" t="str">
        <f t="shared" si="61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19" s="81" t="str">
        <f t="shared" si="62"/>
        <v>"C:\Program Files (x86)\AstroGrep\AstroGrep.exe" /spath="C:\Users\stu\Documents\Analysis\2016-02-23 RTDC Observations" /stypes="*4020*20160708*" /stext=" 22:.+((prompt.+disp)|(slice.+state.+chan)|(ment ac)|(system.+state.+chan)|(\|lc)|(penalty)|(\[timeout))" /e /r /s</v>
      </c>
      <c r="AG119" s="1" t="str">
        <f t="shared" si="57"/>
        <v>EC</v>
      </c>
    </row>
    <row r="120" spans="1:33" x14ac:dyDescent="0.25">
      <c r="A120" s="53" t="s">
        <v>499</v>
      </c>
      <c r="B120" s="7">
        <v>4019</v>
      </c>
      <c r="C120" s="28" t="s">
        <v>60</v>
      </c>
      <c r="D120" s="28" t="s">
        <v>296</v>
      </c>
      <c r="E120" s="17">
        <v>42559.724027777775</v>
      </c>
      <c r="F120" s="17">
        <v>42559.725243055553</v>
      </c>
      <c r="G120" s="7">
        <v>1</v>
      </c>
      <c r="H120" s="17" t="s">
        <v>577</v>
      </c>
      <c r="I120" s="17">
        <v>42559.754918981482</v>
      </c>
      <c r="J120" s="7">
        <v>1</v>
      </c>
      <c r="K120" s="28" t="str">
        <f t="shared" si="64"/>
        <v>4019/4020</v>
      </c>
      <c r="L120" s="28" t="str">
        <f>VLOOKUP(A120,'Trips&amp;Operators'!$C$1:$E$10000,3,FALSE)</f>
        <v>HELVIE</v>
      </c>
      <c r="M120" s="6">
        <f t="shared" si="65"/>
        <v>2.9675925929041114E-2</v>
      </c>
      <c r="N120" s="7">
        <f t="shared" si="46"/>
        <v>42.733333337819204</v>
      </c>
      <c r="O120" s="7"/>
      <c r="P120" s="7"/>
      <c r="Q120" s="29"/>
      <c r="R120" s="29"/>
      <c r="S120" s="47">
        <f t="shared" si="63"/>
        <v>1</v>
      </c>
      <c r="T120" s="75" t="str">
        <f t="shared" si="66"/>
        <v>Southbound</v>
      </c>
      <c r="U120" s="114">
        <f>COUNTIFS(Variables!$M$2:$M$19,IF(T120="NorthBound","&gt;=","&lt;=")&amp;Y120,Variables!$M$2:$M$19,IF(T120="NorthBound","&lt;=","&gt;=")&amp;Z120)</f>
        <v>12</v>
      </c>
      <c r="V120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17:21:36-0600',mode:absolute,to:'2016-07-08 18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80" t="str">
        <f t="shared" si="68"/>
        <v>N</v>
      </c>
      <c r="X120" s="104">
        <f t="shared" si="71"/>
        <v>1</v>
      </c>
      <c r="Y120" s="101">
        <f t="shared" si="72"/>
        <v>23.298500000000001</v>
      </c>
      <c r="Z120" s="101">
        <f t="shared" si="58"/>
        <v>0.1182</v>
      </c>
      <c r="AA120" s="101">
        <f t="shared" si="69"/>
        <v>23.180299999999999</v>
      </c>
      <c r="AB120" s="98">
        <f>VLOOKUP(A120,Enforcements!$C$7:$J$27,8,0)</f>
        <v>191108</v>
      </c>
      <c r="AC120" s="94" t="str">
        <f>VLOOKUP(A120,Enforcements!$C$7:$E$27,3,0)</f>
        <v>PERMANENT SPEED RESTRICTION</v>
      </c>
      <c r="AD120" s="95" t="str">
        <f t="shared" si="70"/>
        <v>0204-08</v>
      </c>
      <c r="AE120" s="81" t="str">
        <f t="shared" ref="AE120:AE177" si="73">"aws s3 cp "&amp;s3_bucket&amp;"/RTDC"&amp;B120&amp;"/"&amp;TEXT(F120,"YYYY-MM-DD")&amp;"/ "&amp;search_path&amp;"\RTDC"&amp;B120&amp;"\"&amp;TEXT(F120,"YYYY-MM-DD")&amp;" --recursive &amp; """&amp;walkandungz&amp;""" "&amp;search_path&amp;"\RTDC"&amp;B120&amp;"\"&amp;TEXT(F120,"YYYY-MM-DD")
&amp;" &amp; "&amp;"aws s3 cp "&amp;s3_bucket&amp;"/RTDC"&amp;B120&amp;"/"&amp;TEXT(F120+1,"YYYY-MM-DD")&amp;"/ "&amp;search_path&amp;"\RTDC"&amp;B120&amp;"\"&amp;TEXT(F120+1,"YYYY-MM-DD")&amp;" --recursive &amp; """&amp;walkandungz&amp;""" "&amp;search_path&amp;"\RTDC"&amp;B120&amp;"\"&amp;TEXT(F120+1,"YYYY-MM-DD")</f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20" s="81" t="str">
        <f t="shared" ref="AF120:AF177" si="74">astrogrep_path&amp;" /spath="&amp;search_path&amp;" /stypes=""*"&amp;B120&amp;"*"&amp;TEXT(F120-utc_offset/24,"YYYYMMDD")&amp;"*"" /stext="" "&amp;TEXT(F120-utc_offset/24,"HH")&amp;search_regexp&amp;""" /e /r /s"</f>
        <v>"C:\Program Files (x86)\AstroGrep\AstroGrep.exe" /spath="C:\Users\stu\Documents\Analysis\2016-02-23 RTDC Observations" /stypes="*4019*20160708*" /stext=" 23:.+((prompt.+disp)|(slice.+state.+chan)|(ment ac)|(system.+state.+chan)|(\|lc)|(penalty)|(\[timeout))" /e /r /s</v>
      </c>
      <c r="AG120" s="1" t="str">
        <f t="shared" si="57"/>
        <v>EC</v>
      </c>
    </row>
    <row r="121" spans="1:33" x14ac:dyDescent="0.25">
      <c r="A121" s="53" t="s">
        <v>510</v>
      </c>
      <c r="B121" s="7">
        <v>4044</v>
      </c>
      <c r="C121" s="28" t="s">
        <v>60</v>
      </c>
      <c r="D121" s="28" t="s">
        <v>192</v>
      </c>
      <c r="E121" s="17">
        <v>42559.702037037037</v>
      </c>
      <c r="F121" s="17">
        <v>42559.703217592592</v>
      </c>
      <c r="G121" s="7">
        <v>1</v>
      </c>
      <c r="H121" s="17" t="s">
        <v>552</v>
      </c>
      <c r="I121" s="17">
        <v>42559.706377314818</v>
      </c>
      <c r="J121" s="7">
        <v>0</v>
      </c>
      <c r="K121" s="28" t="str">
        <f t="shared" si="64"/>
        <v>4043/4044</v>
      </c>
      <c r="L121" s="28" t="str">
        <f>VLOOKUP(A121,'Trips&amp;Operators'!$C$1:$E$10000,3,FALSE)</f>
        <v>SPECTOR</v>
      </c>
      <c r="M121" s="6">
        <f t="shared" si="65"/>
        <v>3.1597222259733826E-3</v>
      </c>
      <c r="N121" s="7"/>
      <c r="O121" s="7"/>
      <c r="P121" s="7">
        <f t="shared" si="46"/>
        <v>4.5500000054016709</v>
      </c>
      <c r="Q121" s="29"/>
      <c r="R121" s="29" t="s">
        <v>646</v>
      </c>
      <c r="S121" s="47">
        <f t="shared" si="63"/>
        <v>0</v>
      </c>
      <c r="T121" s="75" t="str">
        <f t="shared" si="66"/>
        <v>NorthBound</v>
      </c>
      <c r="U121" s="114">
        <f>COUNTIFS(Variables!$M$2:$M$19,IF(T121="NorthBound","&gt;=","&lt;=")&amp;Y121,Variables!$M$2:$M$19,IF(T121="NorthBound","&lt;=","&gt;=")&amp;Z121)</f>
        <v>0</v>
      </c>
      <c r="V121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16:49:56-0600',mode:absolute,to:'2016-07-08 16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1" s="80" t="str">
        <f t="shared" si="68"/>
        <v>Y</v>
      </c>
      <c r="X121" s="104">
        <f t="shared" si="71"/>
        <v>1</v>
      </c>
      <c r="Y121" s="101">
        <f t="shared" si="72"/>
        <v>4.58E-2</v>
      </c>
      <c r="Z121" s="101">
        <f t="shared" si="58"/>
        <v>4.3099999999999999E-2</v>
      </c>
      <c r="AA121" s="101">
        <f t="shared" si="69"/>
        <v>2.700000000000001E-3</v>
      </c>
      <c r="AB121" s="98" t="e">
        <f>VLOOKUP(A121,Enforcements!$C$7:$J$27,8,0)</f>
        <v>#N/A</v>
      </c>
      <c r="AC121" s="94" t="e">
        <f>VLOOKUP(A121,Enforcements!$C$7:$E$27,3,0)</f>
        <v>#N/A</v>
      </c>
      <c r="AD121" s="95" t="str">
        <f t="shared" si="70"/>
        <v>0205-08</v>
      </c>
      <c r="AE121" s="81" t="str">
        <f t="shared" si="73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21" s="81" t="str">
        <f t="shared" si="74"/>
        <v>"C:\Program Files (x86)\AstroGrep\AstroGrep.exe" /spath="C:\Users\stu\Documents\Analysis\2016-02-23 RTDC Observations" /stypes="*4044*20160708*" /stext=" 22:.+((prompt.+disp)|(slice.+state.+chan)|(ment ac)|(system.+state.+chan)|(\|lc)|(penalty)|(\[timeout))" /e /r /s</v>
      </c>
      <c r="AG121" s="1" t="str">
        <f t="shared" si="57"/>
        <v>EC</v>
      </c>
    </row>
    <row r="122" spans="1:33" x14ac:dyDescent="0.25">
      <c r="A122" s="53" t="s">
        <v>525</v>
      </c>
      <c r="B122" s="7">
        <v>4040</v>
      </c>
      <c r="C122" s="28" t="s">
        <v>60</v>
      </c>
      <c r="D122" s="28" t="s">
        <v>578</v>
      </c>
      <c r="E122" s="17">
        <v>42559.704560185186</v>
      </c>
      <c r="F122" s="17">
        <v>42559.705949074072</v>
      </c>
      <c r="G122" s="7">
        <v>1</v>
      </c>
      <c r="H122" s="17" t="s">
        <v>441</v>
      </c>
      <c r="I122" s="17">
        <v>42559.734861111108</v>
      </c>
      <c r="J122" s="7">
        <v>1</v>
      </c>
      <c r="K122" s="28" t="str">
        <f t="shared" si="64"/>
        <v>4039/4040</v>
      </c>
      <c r="L122" s="28" t="str">
        <f>VLOOKUP(A122,'Trips&amp;Operators'!$C$1:$E$10000,3,FALSE)</f>
        <v>LOZA</v>
      </c>
      <c r="M122" s="6">
        <f t="shared" si="65"/>
        <v>2.8912037036207039E-2</v>
      </c>
      <c r="N122" s="7">
        <f t="shared" si="46"/>
        <v>41.633333332138136</v>
      </c>
      <c r="O122" s="7"/>
      <c r="P122" s="7"/>
      <c r="Q122" s="29"/>
      <c r="R122" s="29"/>
      <c r="S122" s="47">
        <f t="shared" si="63"/>
        <v>1</v>
      </c>
      <c r="T122" s="75" t="str">
        <f t="shared" si="66"/>
        <v>NorthBound</v>
      </c>
      <c r="U122" s="114">
        <f>COUNTIFS(Variables!$M$2:$M$19,IF(T122="NorthBound","&gt;=","&lt;=")&amp;Y122,Variables!$M$2:$M$19,IF(T122="NorthBound","&lt;=","&gt;=")&amp;Z122)</f>
        <v>12</v>
      </c>
      <c r="V122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16:53:34-0600',mode:absolute,to:'2016-07-08 17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2" s="80" t="str">
        <f t="shared" si="68"/>
        <v>N</v>
      </c>
      <c r="X122" s="104">
        <f t="shared" si="71"/>
        <v>2</v>
      </c>
      <c r="Y122" s="101">
        <f t="shared" si="72"/>
        <v>4.6600000000000003E-2</v>
      </c>
      <c r="Z122" s="101">
        <f t="shared" si="58"/>
        <v>23.329899999999999</v>
      </c>
      <c r="AA122" s="101">
        <f t="shared" si="69"/>
        <v>23.283299999999997</v>
      </c>
      <c r="AB122" s="98" t="e">
        <f>VLOOKUP(A122,Enforcements!$C$7:$J$27,8,0)</f>
        <v>#N/A</v>
      </c>
      <c r="AC122" s="94" t="e">
        <f>VLOOKUP(A122,Enforcements!$C$7:$E$27,3,0)</f>
        <v>#N/A</v>
      </c>
      <c r="AD122" s="95" t="str">
        <f t="shared" si="70"/>
        <v>0207-08</v>
      </c>
      <c r="AE122" s="81" t="str">
        <f t="shared" si="73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22" s="81" t="str">
        <f t="shared" si="74"/>
        <v>"C:\Program Files (x86)\AstroGrep\AstroGrep.exe" /spath="C:\Users\stu\Documents\Analysis\2016-02-23 RTDC Observations" /stypes="*4040*20160708*" /stext=" 22:.+((prompt.+disp)|(slice.+state.+chan)|(ment ac)|(system.+state.+chan)|(\|lc)|(penalty)|(\[timeout))" /e /r /s</v>
      </c>
      <c r="AG122" s="1" t="str">
        <f t="shared" si="57"/>
        <v>EC</v>
      </c>
    </row>
    <row r="123" spans="1:33" x14ac:dyDescent="0.25">
      <c r="A123" s="53" t="s">
        <v>507</v>
      </c>
      <c r="B123" s="7">
        <v>4039</v>
      </c>
      <c r="C123" s="28" t="s">
        <v>60</v>
      </c>
      <c r="D123" s="28" t="s">
        <v>579</v>
      </c>
      <c r="E123" s="17">
        <v>42559.744884259257</v>
      </c>
      <c r="F123" s="17">
        <v>42559.748483796298</v>
      </c>
      <c r="G123" s="7">
        <v>5</v>
      </c>
      <c r="H123" s="17" t="s">
        <v>248</v>
      </c>
      <c r="I123" s="17">
        <v>42559.77542824074</v>
      </c>
      <c r="J123" s="7">
        <v>0</v>
      </c>
      <c r="K123" s="28" t="str">
        <f t="shared" si="64"/>
        <v>4039/4040</v>
      </c>
      <c r="L123" s="28" t="str">
        <f>VLOOKUP(A123,'Trips&amp;Operators'!$C$1:$E$10000,3,FALSE)</f>
        <v>LOZA</v>
      </c>
      <c r="M123" s="6">
        <f t="shared" si="65"/>
        <v>2.6944444442051463E-2</v>
      </c>
      <c r="N123" s="7">
        <f t="shared" si="46"/>
        <v>38.799999996554106</v>
      </c>
      <c r="O123" s="7"/>
      <c r="P123" s="7"/>
      <c r="Q123" s="29"/>
      <c r="R123" s="29"/>
      <c r="S123" s="47">
        <f t="shared" si="63"/>
        <v>1</v>
      </c>
      <c r="T123" s="75" t="str">
        <f t="shared" si="66"/>
        <v>Southbound</v>
      </c>
      <c r="U123" s="114">
        <f>COUNTIFS(Variables!$M$2:$M$19,IF(T123="NorthBound","&gt;=","&lt;=")&amp;Y123,Variables!$M$2:$M$19,IF(T123="NorthBound","&lt;=","&gt;=")&amp;Z123)</f>
        <v>12</v>
      </c>
      <c r="V123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17:51:38-0600',mode:absolute,to:'2016-07-08 18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80" t="str">
        <f t="shared" si="68"/>
        <v>N</v>
      </c>
      <c r="X123" s="104">
        <f t="shared" si="71"/>
        <v>1</v>
      </c>
      <c r="Y123" s="101">
        <f t="shared" si="72"/>
        <v>23.157299999999999</v>
      </c>
      <c r="Z123" s="101">
        <f t="shared" si="58"/>
        <v>1.6E-2</v>
      </c>
      <c r="AA123" s="101">
        <f t="shared" si="69"/>
        <v>23.141300000000001</v>
      </c>
      <c r="AB123" s="98" t="e">
        <f>VLOOKUP(A123,Enforcements!$C$7:$J$27,8,0)</f>
        <v>#N/A</v>
      </c>
      <c r="AC123" s="94" t="e">
        <f>VLOOKUP(A123,Enforcements!$C$7:$E$27,3,0)</f>
        <v>#N/A</v>
      </c>
      <c r="AD123" s="95" t="str">
        <f t="shared" si="70"/>
        <v>0208-08</v>
      </c>
      <c r="AE123" s="81" t="str">
        <f t="shared" si="73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123" s="81" t="str">
        <f t="shared" si="74"/>
        <v>"C:\Program Files (x86)\AstroGrep\AstroGrep.exe" /spath="C:\Users\stu\Documents\Analysis\2016-02-23 RTDC Observations" /stypes="*4039*20160708*" /stext=" 23:.+((prompt.+disp)|(slice.+state.+chan)|(ment ac)|(system.+state.+chan)|(\|lc)|(penalty)|(\[timeout))" /e /r /s</v>
      </c>
      <c r="AG123" s="1" t="str">
        <f t="shared" si="57"/>
        <v>EC</v>
      </c>
    </row>
    <row r="124" spans="1:33" x14ac:dyDescent="0.25">
      <c r="A124" s="53" t="s">
        <v>513</v>
      </c>
      <c r="B124" s="7">
        <v>4014</v>
      </c>
      <c r="C124" s="28" t="s">
        <v>60</v>
      </c>
      <c r="D124" s="28" t="s">
        <v>580</v>
      </c>
      <c r="E124" s="17">
        <v>42559.713576388887</v>
      </c>
      <c r="F124" s="17">
        <v>42559.714594907404</v>
      </c>
      <c r="G124" s="7">
        <v>1</v>
      </c>
      <c r="H124" s="17" t="s">
        <v>581</v>
      </c>
      <c r="I124" s="17">
        <v>42559.743819444448</v>
      </c>
      <c r="J124" s="7">
        <v>0</v>
      </c>
      <c r="K124" s="28" t="str">
        <f t="shared" si="64"/>
        <v>4013/4014</v>
      </c>
      <c r="L124" s="28" t="str">
        <f>VLOOKUP(A124,'Trips&amp;Operators'!$C$1:$E$10000,3,FALSE)</f>
        <v>LOCKLEAR</v>
      </c>
      <c r="M124" s="6">
        <f t="shared" si="65"/>
        <v>2.9224537043774035E-2</v>
      </c>
      <c r="N124" s="7">
        <f t="shared" si="46"/>
        <v>42.08333334303461</v>
      </c>
      <c r="O124" s="7"/>
      <c r="P124" s="7"/>
      <c r="Q124" s="29"/>
      <c r="R124" s="29"/>
      <c r="S124" s="47">
        <f t="shared" si="63"/>
        <v>1</v>
      </c>
      <c r="T124" s="75" t="str">
        <f t="shared" si="66"/>
        <v>NorthBound</v>
      </c>
      <c r="U124" s="114">
        <f>COUNTIFS(Variables!$M$2:$M$19,IF(T124="NorthBound","&gt;=","&lt;=")&amp;Y124,Variables!$M$2:$M$19,IF(T124="NorthBound","&lt;=","&gt;=")&amp;Z124)</f>
        <v>12</v>
      </c>
      <c r="V124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17:06:33-0600',mode:absolute,to:'2016-07-08 17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4" s="80" t="str">
        <f t="shared" si="68"/>
        <v>N</v>
      </c>
      <c r="X124" s="104">
        <f t="shared" si="71"/>
        <v>1</v>
      </c>
      <c r="Y124" s="101">
        <f t="shared" si="72"/>
        <v>7.4999999999999997E-2</v>
      </c>
      <c r="Z124" s="101">
        <f t="shared" si="58"/>
        <v>23.334</v>
      </c>
      <c r="AA124" s="101">
        <f t="shared" si="69"/>
        <v>23.259</v>
      </c>
      <c r="AB124" s="98" t="e">
        <f>VLOOKUP(A124,Enforcements!$C$7:$J$27,8,0)</f>
        <v>#N/A</v>
      </c>
      <c r="AC124" s="94" t="e">
        <f>VLOOKUP(A124,Enforcements!$C$7:$E$27,3,0)</f>
        <v>#N/A</v>
      </c>
      <c r="AD124" s="95" t="str">
        <f t="shared" si="70"/>
        <v>0209-08</v>
      </c>
      <c r="AE124" s="81" t="str">
        <f t="shared" si="73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24" s="81" t="str">
        <f t="shared" si="74"/>
        <v>"C:\Program Files (x86)\AstroGrep\AstroGrep.exe" /spath="C:\Users\stu\Documents\Analysis\2016-02-23 RTDC Observations" /stypes="*4014*20160708*" /stext=" 23:.+((prompt.+disp)|(slice.+state.+chan)|(ment ac)|(system.+state.+chan)|(\|lc)|(penalty)|(\[timeout))" /e /r /s</v>
      </c>
      <c r="AG124" s="1" t="str">
        <f t="shared" si="57"/>
        <v>EC</v>
      </c>
    </row>
    <row r="125" spans="1:33" x14ac:dyDescent="0.25">
      <c r="A125" s="53" t="s">
        <v>582</v>
      </c>
      <c r="B125" s="7">
        <v>4013</v>
      </c>
      <c r="C125" s="28" t="s">
        <v>60</v>
      </c>
      <c r="D125" s="28" t="s">
        <v>583</v>
      </c>
      <c r="E125" s="17">
        <v>42559.754444444443</v>
      </c>
      <c r="F125" s="17">
        <v>42559.75540509259</v>
      </c>
      <c r="G125" s="7">
        <v>1</v>
      </c>
      <c r="H125" s="17" t="s">
        <v>83</v>
      </c>
      <c r="I125" s="17">
        <v>42559.784074074072</v>
      </c>
      <c r="J125" s="7">
        <v>0</v>
      </c>
      <c r="K125" s="28" t="str">
        <f t="shared" si="64"/>
        <v>4013/4014</v>
      </c>
      <c r="L125" s="28" t="str">
        <f>VLOOKUP(A125,'Trips&amp;Operators'!$C$1:$E$10000,3,FALSE)</f>
        <v>LOCKLEAR</v>
      </c>
      <c r="M125" s="6">
        <f t="shared" si="65"/>
        <v>2.8668981482042E-2</v>
      </c>
      <c r="N125" s="7">
        <f t="shared" si="46"/>
        <v>41.28333333414048</v>
      </c>
      <c r="O125" s="7"/>
      <c r="P125" s="7"/>
      <c r="Q125" s="29"/>
      <c r="R125" s="29"/>
      <c r="S125" s="47">
        <f t="shared" si="63"/>
        <v>1</v>
      </c>
      <c r="T125" s="75" t="str">
        <f t="shared" si="66"/>
        <v>Southbound</v>
      </c>
      <c r="U125" s="114">
        <f>COUNTIFS(Variables!$M$2:$M$19,IF(T125="NorthBound","&gt;=","&lt;=")&amp;Y125,Variables!$M$2:$M$19,IF(T125="NorthBound","&lt;=","&gt;=")&amp;Z125)</f>
        <v>12</v>
      </c>
      <c r="V125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18:05:24-0600',mode:absolute,to:'2016-07-08 18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5" s="80" t="str">
        <f t="shared" si="68"/>
        <v>N</v>
      </c>
      <c r="X125" s="104">
        <f t="shared" si="71"/>
        <v>1</v>
      </c>
      <c r="Y125" s="101">
        <f t="shared" si="72"/>
        <v>23.303000000000001</v>
      </c>
      <c r="Z125" s="101">
        <f t="shared" si="58"/>
        <v>1.5800000000000002E-2</v>
      </c>
      <c r="AA125" s="101">
        <f t="shared" si="69"/>
        <v>23.287200000000002</v>
      </c>
      <c r="AB125" s="98" t="e">
        <f>VLOOKUP(A125,Enforcements!$C$7:$J$27,8,0)</f>
        <v>#N/A</v>
      </c>
      <c r="AC125" s="94" t="e">
        <f>VLOOKUP(A125,Enforcements!$C$7:$E$27,3,0)</f>
        <v>#N/A</v>
      </c>
      <c r="AD125" s="95" t="str">
        <f t="shared" si="70"/>
        <v>0210-08</v>
      </c>
      <c r="AE125" s="81" t="str">
        <f t="shared" si="73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25" s="81" t="str">
        <f t="shared" si="74"/>
        <v>"C:\Program Files (x86)\AstroGrep\AstroGrep.exe" /spath="C:\Users\stu\Documents\Analysis\2016-02-23 RTDC Observations" /stypes="*4013*20160709*" /stext=" 00:.+((prompt.+disp)|(slice.+state.+chan)|(ment ac)|(system.+state.+chan)|(\|lc)|(penalty)|(\[timeout))" /e /r /s</v>
      </c>
      <c r="AG125" s="1" t="str">
        <f t="shared" si="57"/>
        <v>EC</v>
      </c>
    </row>
    <row r="126" spans="1:33" x14ac:dyDescent="0.25">
      <c r="A126" s="53" t="s">
        <v>526</v>
      </c>
      <c r="B126" s="7">
        <v>4011</v>
      </c>
      <c r="C126" s="28" t="s">
        <v>60</v>
      </c>
      <c r="D126" s="28" t="s">
        <v>118</v>
      </c>
      <c r="E126" s="17">
        <v>42559.725266203706</v>
      </c>
      <c r="F126" s="17">
        <v>42559.726377314815</v>
      </c>
      <c r="G126" s="7">
        <v>1</v>
      </c>
      <c r="H126" s="17" t="s">
        <v>446</v>
      </c>
      <c r="I126" s="17">
        <v>42559.755046296297</v>
      </c>
      <c r="J126" s="7">
        <v>0</v>
      </c>
      <c r="K126" s="28" t="str">
        <f t="shared" si="64"/>
        <v>4011/4012</v>
      </c>
      <c r="L126" s="28" t="str">
        <f>VLOOKUP(A126,'Trips&amp;Operators'!$C$1:$E$10000,3,FALSE)</f>
        <v>MAELZER</v>
      </c>
      <c r="M126" s="6">
        <f t="shared" si="65"/>
        <v>2.8668981482042E-2</v>
      </c>
      <c r="N126" s="7">
        <f t="shared" si="46"/>
        <v>41.28333333414048</v>
      </c>
      <c r="O126" s="7"/>
      <c r="P126" s="7"/>
      <c r="Q126" s="29"/>
      <c r="R126" s="29"/>
      <c r="S126" s="47">
        <f t="shared" si="63"/>
        <v>1</v>
      </c>
      <c r="T126" s="75" t="str">
        <f t="shared" si="66"/>
        <v>NorthBound</v>
      </c>
      <c r="U126" s="114">
        <f>COUNTIFS(Variables!$M$2:$M$19,IF(T126="NorthBound","&gt;=","&lt;=")&amp;Y126,Variables!$M$2:$M$19,IF(T126="NorthBound","&lt;=","&gt;=")&amp;Z126)</f>
        <v>12</v>
      </c>
      <c r="V126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17:23:23-0600',mode:absolute,to:'2016-07-08 18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6" s="80" t="str">
        <f t="shared" si="68"/>
        <v>N</v>
      </c>
      <c r="X126" s="104">
        <f t="shared" si="71"/>
        <v>1</v>
      </c>
      <c r="Y126" s="101">
        <f t="shared" si="72"/>
        <v>4.4400000000000002E-2</v>
      </c>
      <c r="Z126" s="101">
        <f t="shared" si="58"/>
        <v>23.330100000000002</v>
      </c>
      <c r="AA126" s="101">
        <f t="shared" si="69"/>
        <v>23.285700000000002</v>
      </c>
      <c r="AB126" s="98" t="e">
        <f>VLOOKUP(A126,Enforcements!$C$7:$J$27,8,0)</f>
        <v>#N/A</v>
      </c>
      <c r="AC126" s="94" t="e">
        <f>VLOOKUP(A126,Enforcements!$C$7:$E$27,3,0)</f>
        <v>#N/A</v>
      </c>
      <c r="AD126" s="95" t="str">
        <f t="shared" si="70"/>
        <v>0211-08</v>
      </c>
      <c r="AE126" s="81" t="str">
        <f t="shared" si="73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26" s="81" t="str">
        <f t="shared" si="74"/>
        <v>"C:\Program Files (x86)\AstroGrep\AstroGrep.exe" /spath="C:\Users\stu\Documents\Analysis\2016-02-23 RTDC Observations" /stypes="*4011*20160708*" /stext=" 23:.+((prompt.+disp)|(slice.+state.+chan)|(ment ac)|(system.+state.+chan)|(\|lc)|(penalty)|(\[timeout))" /e /r /s</v>
      </c>
      <c r="AG126" s="1" t="str">
        <f t="shared" si="57"/>
        <v>EC</v>
      </c>
    </row>
    <row r="127" spans="1:33" x14ac:dyDescent="0.25">
      <c r="A127" s="53" t="s">
        <v>584</v>
      </c>
      <c r="B127" s="7">
        <v>4012</v>
      </c>
      <c r="C127" s="28" t="s">
        <v>60</v>
      </c>
      <c r="D127" s="28" t="s">
        <v>205</v>
      </c>
      <c r="E127" s="17">
        <v>42559.766539351855</v>
      </c>
      <c r="F127" s="17">
        <v>42559.76829861111</v>
      </c>
      <c r="G127" s="7">
        <v>2</v>
      </c>
      <c r="H127" s="17" t="s">
        <v>112</v>
      </c>
      <c r="I127" s="17">
        <v>42559.794374999998</v>
      </c>
      <c r="J127" s="7">
        <v>0</v>
      </c>
      <c r="K127" s="28" t="str">
        <f t="shared" si="64"/>
        <v>4011/4012</v>
      </c>
      <c r="L127" s="28" t="str">
        <f>VLOOKUP(A127,'Trips&amp;Operators'!$C$1:$E$10000,3,FALSE)</f>
        <v>MAELZER</v>
      </c>
      <c r="M127" s="6">
        <f t="shared" si="65"/>
        <v>2.6076388887304347E-2</v>
      </c>
      <c r="N127" s="7">
        <f t="shared" si="46"/>
        <v>37.54999999771826</v>
      </c>
      <c r="O127" s="7"/>
      <c r="P127" s="7"/>
      <c r="Q127" s="29"/>
      <c r="R127" s="29"/>
      <c r="S127" s="47">
        <f t="shared" si="63"/>
        <v>1</v>
      </c>
      <c r="T127" s="75" t="str">
        <f t="shared" si="66"/>
        <v>Southbound</v>
      </c>
      <c r="U127" s="114">
        <f>COUNTIFS(Variables!$M$2:$M$19,IF(T127="NorthBound","&gt;=","&lt;=")&amp;Y127,Variables!$M$2:$M$19,IF(T127="NorthBound","&lt;=","&gt;=")&amp;Z127)</f>
        <v>12</v>
      </c>
      <c r="V127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18:22:49-0600',mode:absolute,to:'2016-07-08 19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7" s="80" t="str">
        <f t="shared" si="68"/>
        <v>N</v>
      </c>
      <c r="X127" s="104">
        <f t="shared" si="71"/>
        <v>1</v>
      </c>
      <c r="Y127" s="101">
        <f t="shared" si="72"/>
        <v>23.2971</v>
      </c>
      <c r="Z127" s="101">
        <f t="shared" si="58"/>
        <v>1.43E-2</v>
      </c>
      <c r="AA127" s="101">
        <f t="shared" si="69"/>
        <v>23.282800000000002</v>
      </c>
      <c r="AB127" s="98" t="e">
        <f>VLOOKUP(A127,Enforcements!$C$7:$J$27,8,0)</f>
        <v>#N/A</v>
      </c>
      <c r="AC127" s="94" t="e">
        <f>VLOOKUP(A127,Enforcements!$C$7:$E$27,3,0)</f>
        <v>#N/A</v>
      </c>
      <c r="AD127" s="95" t="str">
        <f t="shared" si="70"/>
        <v>0212-08</v>
      </c>
      <c r="AE127" s="81" t="str">
        <f t="shared" si="73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27" s="81" t="str">
        <f t="shared" si="74"/>
        <v>"C:\Program Files (x86)\AstroGrep\AstroGrep.exe" /spath="C:\Users\stu\Documents\Analysis\2016-02-23 RTDC Observations" /stypes="*4012*20160709*" /stext=" 00:.+((prompt.+disp)|(slice.+state.+chan)|(ment ac)|(system.+state.+chan)|(\|lc)|(penalty)|(\[timeout))" /e /r /s</v>
      </c>
      <c r="AG127" s="1" t="str">
        <f t="shared" si="57"/>
        <v>EC</v>
      </c>
    </row>
    <row r="128" spans="1:33" x14ac:dyDescent="0.25">
      <c r="A128" s="53" t="s">
        <v>515</v>
      </c>
      <c r="B128" s="7">
        <v>4027</v>
      </c>
      <c r="C128" s="28" t="s">
        <v>60</v>
      </c>
      <c r="D128" s="28" t="s">
        <v>585</v>
      </c>
      <c r="E128" s="17">
        <v>42559.732256944444</v>
      </c>
      <c r="F128" s="17">
        <v>42559.73337962963</v>
      </c>
      <c r="G128" s="7">
        <v>1</v>
      </c>
      <c r="H128" s="17" t="s">
        <v>571</v>
      </c>
      <c r="I128" s="17">
        <v>42559.765081018515</v>
      </c>
      <c r="J128" s="7">
        <v>0</v>
      </c>
      <c r="K128" s="28" t="str">
        <f t="shared" si="64"/>
        <v>4027/4028</v>
      </c>
      <c r="L128" s="28" t="str">
        <f>VLOOKUP(A128,'Trips&amp;Operators'!$C$1:$E$10000,3,FALSE)</f>
        <v>LEVERE</v>
      </c>
      <c r="M128" s="6">
        <f t="shared" si="65"/>
        <v>3.1701388885267079E-2</v>
      </c>
      <c r="N128" s="7">
        <f t="shared" si="46"/>
        <v>45.649999994784594</v>
      </c>
      <c r="O128" s="7"/>
      <c r="P128" s="7"/>
      <c r="Q128" s="29"/>
      <c r="R128" s="29"/>
      <c r="S128" s="47">
        <f t="shared" si="63"/>
        <v>1</v>
      </c>
      <c r="T128" s="75" t="str">
        <f t="shared" si="66"/>
        <v>NorthBound</v>
      </c>
      <c r="U128" s="114">
        <f>COUNTIFS(Variables!$M$2:$M$19,IF(T128="NorthBound","&gt;=","&lt;=")&amp;Y128,Variables!$M$2:$M$19,IF(T128="NorthBound","&lt;=","&gt;=")&amp;Z128)</f>
        <v>12</v>
      </c>
      <c r="V128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17:33:27-0600',mode:absolute,to:'2016-07-08 18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8" s="80" t="str">
        <f t="shared" si="68"/>
        <v>N</v>
      </c>
      <c r="X128" s="104">
        <f t="shared" si="71"/>
        <v>1</v>
      </c>
      <c r="Y128" s="101">
        <f t="shared" si="72"/>
        <v>8.0600000000000005E-2</v>
      </c>
      <c r="Z128" s="101">
        <f t="shared" si="58"/>
        <v>23.328299999999999</v>
      </c>
      <c r="AA128" s="101">
        <f t="shared" si="69"/>
        <v>23.247699999999998</v>
      </c>
      <c r="AB128" s="98" t="e">
        <f>VLOOKUP(A128,Enforcements!$C$7:$J$27,8,0)</f>
        <v>#N/A</v>
      </c>
      <c r="AC128" s="94" t="e">
        <f>VLOOKUP(A128,Enforcements!$C$7:$E$27,3,0)</f>
        <v>#N/A</v>
      </c>
      <c r="AD128" s="95" t="str">
        <f t="shared" si="70"/>
        <v>0213-08</v>
      </c>
      <c r="AE128" s="81" t="str">
        <f t="shared" si="73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128" s="81" t="str">
        <f t="shared" si="74"/>
        <v>"C:\Program Files (x86)\AstroGrep\AstroGrep.exe" /spath="C:\Users\stu\Documents\Analysis\2016-02-23 RTDC Observations" /stypes="*4027*20160708*" /stext=" 23:.+((prompt.+disp)|(slice.+state.+chan)|(ment ac)|(system.+state.+chan)|(\|lc)|(penalty)|(\[timeout))" /e /r /s</v>
      </c>
      <c r="AG128" s="1" t="str">
        <f t="shared" si="57"/>
        <v>EC</v>
      </c>
    </row>
    <row r="129" spans="1:33" x14ac:dyDescent="0.25">
      <c r="A129" s="53" t="s">
        <v>586</v>
      </c>
      <c r="B129" s="7">
        <v>4028</v>
      </c>
      <c r="C129" s="28" t="s">
        <v>60</v>
      </c>
      <c r="D129" s="28" t="s">
        <v>587</v>
      </c>
      <c r="E129" s="17">
        <v>42559.772407407407</v>
      </c>
      <c r="F129" s="17">
        <v>42559.773344907408</v>
      </c>
      <c r="G129" s="7">
        <v>1</v>
      </c>
      <c r="H129" s="17" t="s">
        <v>83</v>
      </c>
      <c r="I129" s="17">
        <v>42559.805648148147</v>
      </c>
      <c r="J129" s="7">
        <v>0</v>
      </c>
      <c r="K129" s="28" t="str">
        <f t="shared" si="64"/>
        <v>4027/4028</v>
      </c>
      <c r="L129" s="28" t="str">
        <f>VLOOKUP(A129,'Trips&amp;Operators'!$C$1:$E$10000,3,FALSE)</f>
        <v>LEVERE</v>
      </c>
      <c r="M129" s="6">
        <f t="shared" si="65"/>
        <v>3.2303240739565808E-2</v>
      </c>
      <c r="N129" s="7">
        <f t="shared" si="46"/>
        <v>46.516666664974764</v>
      </c>
      <c r="O129" s="7"/>
      <c r="P129" s="7"/>
      <c r="Q129" s="29"/>
      <c r="R129" s="29"/>
      <c r="S129" s="47">
        <f t="shared" si="63"/>
        <v>1</v>
      </c>
      <c r="T129" s="75" t="str">
        <f t="shared" si="66"/>
        <v>Southbound</v>
      </c>
      <c r="U129" s="114">
        <f>COUNTIFS(Variables!$M$2:$M$19,IF(T129="NorthBound","&gt;=","&lt;=")&amp;Y129,Variables!$M$2:$M$19,IF(T129="NorthBound","&lt;=","&gt;=")&amp;Z129)</f>
        <v>12</v>
      </c>
      <c r="V129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18:31:16-0600',mode:absolute,to:'2016-07-08 19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9" s="80" t="str">
        <f t="shared" si="68"/>
        <v>N</v>
      </c>
      <c r="X129" s="104">
        <f t="shared" si="71"/>
        <v>1</v>
      </c>
      <c r="Y129" s="101">
        <f t="shared" si="72"/>
        <v>23.296399999999998</v>
      </c>
      <c r="Z129" s="101">
        <f t="shared" si="58"/>
        <v>1.5800000000000002E-2</v>
      </c>
      <c r="AA129" s="101">
        <f t="shared" si="69"/>
        <v>23.2806</v>
      </c>
      <c r="AB129" s="98" t="e">
        <f>VLOOKUP(A129,Enforcements!$C$7:$J$27,8,0)</f>
        <v>#N/A</v>
      </c>
      <c r="AC129" s="94" t="e">
        <f>VLOOKUP(A129,Enforcements!$C$7:$E$27,3,0)</f>
        <v>#N/A</v>
      </c>
      <c r="AD129" s="95" t="str">
        <f t="shared" si="70"/>
        <v>0214-08</v>
      </c>
      <c r="AE129" s="81" t="str">
        <f t="shared" si="73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29" s="81" t="str">
        <f t="shared" si="74"/>
        <v>"C:\Program Files (x86)\AstroGrep\AstroGrep.exe" /spath="C:\Users\stu\Documents\Analysis\2016-02-23 RTDC Observations" /stypes="*4028*20160709*" /stext=" 00:.+((prompt.+disp)|(slice.+state.+chan)|(ment ac)|(system.+state.+chan)|(\|lc)|(penalty)|(\[timeout))" /e /r /s</v>
      </c>
      <c r="AG129" s="1" t="str">
        <f t="shared" si="57"/>
        <v>EC</v>
      </c>
    </row>
    <row r="130" spans="1:33" x14ac:dyDescent="0.25">
      <c r="A130" s="53" t="s">
        <v>535</v>
      </c>
      <c r="B130" s="7">
        <v>4025</v>
      </c>
      <c r="C130" s="28" t="s">
        <v>60</v>
      </c>
      <c r="D130" s="28" t="s">
        <v>588</v>
      </c>
      <c r="E130" s="17">
        <v>42559.746400462966</v>
      </c>
      <c r="F130" s="17">
        <v>42559.747418981482</v>
      </c>
      <c r="G130" s="7">
        <v>1</v>
      </c>
      <c r="H130" s="17" t="s">
        <v>589</v>
      </c>
      <c r="I130" s="17">
        <v>42559.775810185187</v>
      </c>
      <c r="J130" s="7">
        <v>1</v>
      </c>
      <c r="K130" s="28" t="str">
        <f t="shared" si="64"/>
        <v>4025/4026</v>
      </c>
      <c r="L130" s="28" t="str">
        <f>VLOOKUP(A130,'Trips&amp;Operators'!$C$1:$E$10000,3,FALSE)</f>
        <v>WEBSTER</v>
      </c>
      <c r="M130" s="6">
        <f t="shared" si="65"/>
        <v>2.8391203704813961E-2</v>
      </c>
      <c r="N130" s="7">
        <f t="shared" si="46"/>
        <v>40.883333334932104</v>
      </c>
      <c r="O130" s="7"/>
      <c r="P130" s="7"/>
      <c r="Q130" s="29"/>
      <c r="R130" s="29"/>
      <c r="S130" s="47">
        <f t="shared" si="63"/>
        <v>1</v>
      </c>
      <c r="T130" s="75" t="str">
        <f t="shared" si="66"/>
        <v>NorthBound</v>
      </c>
      <c r="U130" s="114">
        <f>COUNTIFS(Variables!$M$2:$M$19,IF(T130="NorthBound","&gt;=","&lt;=")&amp;Y130,Variables!$M$2:$M$19,IF(T130="NorthBound","&lt;=","&gt;=")&amp;Z130)</f>
        <v>12</v>
      </c>
      <c r="V130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17:53:49-0600',mode:absolute,to:'2016-07-08 18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80" t="str">
        <f t="shared" si="68"/>
        <v>N</v>
      </c>
      <c r="X130" s="104">
        <f t="shared" si="71"/>
        <v>1</v>
      </c>
      <c r="Y130" s="101">
        <f t="shared" si="72"/>
        <v>7.8600000000000003E-2</v>
      </c>
      <c r="Z130" s="101">
        <f t="shared" si="58"/>
        <v>23.331099999999999</v>
      </c>
      <c r="AA130" s="101">
        <f t="shared" si="69"/>
        <v>23.252499999999998</v>
      </c>
      <c r="AB130" s="98" t="e">
        <f>VLOOKUP(A130,Enforcements!$C$7:$J$27,8,0)</f>
        <v>#N/A</v>
      </c>
      <c r="AC130" s="94" t="e">
        <f>VLOOKUP(A130,Enforcements!$C$7:$E$27,3,0)</f>
        <v>#N/A</v>
      </c>
      <c r="AD130" s="95" t="str">
        <f t="shared" si="70"/>
        <v>0215-08</v>
      </c>
      <c r="AE130" s="81" t="str">
        <f t="shared" si="73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130" s="81" t="str">
        <f t="shared" si="74"/>
        <v>"C:\Program Files (x86)\AstroGrep\AstroGrep.exe" /spath="C:\Users\stu\Documents\Analysis\2016-02-23 RTDC Observations" /stypes="*4025*20160708*" /stext=" 23:.+((prompt.+disp)|(slice.+state.+chan)|(ment ac)|(system.+state.+chan)|(\|lc)|(penalty)|(\[timeout))" /e /r /s</v>
      </c>
      <c r="AG130" s="1" t="str">
        <f t="shared" si="57"/>
        <v>EC</v>
      </c>
    </row>
    <row r="131" spans="1:33" x14ac:dyDescent="0.25">
      <c r="A131" s="53" t="s">
        <v>590</v>
      </c>
      <c r="B131" s="7">
        <v>4026</v>
      </c>
      <c r="C131" s="28" t="s">
        <v>60</v>
      </c>
      <c r="D131" s="28" t="s">
        <v>564</v>
      </c>
      <c r="E131" s="17">
        <v>42559.787905092591</v>
      </c>
      <c r="F131" s="17">
        <v>42559.788923611108</v>
      </c>
      <c r="G131" s="7">
        <v>1</v>
      </c>
      <c r="H131" s="17" t="s">
        <v>591</v>
      </c>
      <c r="I131" s="17">
        <v>42559.81653935185</v>
      </c>
      <c r="J131" s="7">
        <v>0</v>
      </c>
      <c r="K131" s="28" t="str">
        <f t="shared" si="64"/>
        <v>4025/4026</v>
      </c>
      <c r="L131" s="28" t="str">
        <f>VLOOKUP(A131,'Trips&amp;Operators'!$C$1:$E$10000,3,FALSE)</f>
        <v>WEBSTER</v>
      </c>
      <c r="M131" s="6">
        <f t="shared" si="65"/>
        <v>2.7615740742476191E-2</v>
      </c>
      <c r="N131" s="7">
        <f t="shared" si="46"/>
        <v>39.766666669165716</v>
      </c>
      <c r="O131" s="7"/>
      <c r="P131" s="7"/>
      <c r="Q131" s="29"/>
      <c r="R131" s="29"/>
      <c r="S131" s="47">
        <f t="shared" si="63"/>
        <v>1</v>
      </c>
      <c r="T131" s="75" t="str">
        <f t="shared" si="66"/>
        <v>Southbound</v>
      </c>
      <c r="U131" s="114">
        <f>COUNTIFS(Variables!$M$2:$M$19,IF(T131="NorthBound","&gt;=","&lt;=")&amp;Y131,Variables!$M$2:$M$19,IF(T131="NorthBound","&lt;=","&gt;=")&amp;Z131)</f>
        <v>12</v>
      </c>
      <c r="V131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18:53:35-0600',mode:absolute,to:'2016-07-08 19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80" t="str">
        <f t="shared" si="68"/>
        <v>N</v>
      </c>
      <c r="X131" s="104">
        <f t="shared" si="71"/>
        <v>1</v>
      </c>
      <c r="Y131" s="101">
        <f t="shared" si="72"/>
        <v>23.2986</v>
      </c>
      <c r="Z131" s="101">
        <f t="shared" si="58"/>
        <v>1.2699999999999999E-2</v>
      </c>
      <c r="AA131" s="101">
        <f t="shared" si="69"/>
        <v>23.285900000000002</v>
      </c>
      <c r="AB131" s="98" t="e">
        <f>VLOOKUP(A131,Enforcements!$C$7:$J$27,8,0)</f>
        <v>#N/A</v>
      </c>
      <c r="AC131" s="94" t="e">
        <f>VLOOKUP(A131,Enforcements!$C$7:$E$27,3,0)</f>
        <v>#N/A</v>
      </c>
      <c r="AD131" s="95" t="str">
        <f t="shared" si="70"/>
        <v>0216-08</v>
      </c>
      <c r="AE131" s="81" t="str">
        <f t="shared" si="73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31" s="81" t="str">
        <f t="shared" si="74"/>
        <v>"C:\Program Files (x86)\AstroGrep\AstroGrep.exe" /spath="C:\Users\stu\Documents\Analysis\2016-02-23 RTDC Observations" /stypes="*4026*20160709*" /stext=" 00:.+((prompt.+disp)|(slice.+state.+chan)|(ment ac)|(system.+state.+chan)|(\|lc)|(penalty)|(\[timeout))" /e /r /s</v>
      </c>
      <c r="AG131" s="1" t="str">
        <f t="shared" si="57"/>
        <v>EC</v>
      </c>
    </row>
    <row r="132" spans="1:33" x14ac:dyDescent="0.25">
      <c r="A132" s="53" t="s">
        <v>592</v>
      </c>
      <c r="B132" s="7">
        <v>4016</v>
      </c>
      <c r="C132" s="28" t="s">
        <v>60</v>
      </c>
      <c r="D132" s="28" t="s">
        <v>117</v>
      </c>
      <c r="E132" s="17">
        <v>42559.756354166668</v>
      </c>
      <c r="F132" s="17">
        <v>42559.758344907408</v>
      </c>
      <c r="G132" s="7">
        <v>2</v>
      </c>
      <c r="H132" s="17" t="s">
        <v>459</v>
      </c>
      <c r="I132" s="17">
        <v>42559.785995370374</v>
      </c>
      <c r="J132" s="7">
        <v>0</v>
      </c>
      <c r="K132" s="28" t="str">
        <f t="shared" si="64"/>
        <v>4015/4016</v>
      </c>
      <c r="L132" s="28" t="str">
        <f>VLOOKUP(A132,'Trips&amp;Operators'!$C$1:$E$10000,3,FALSE)</f>
        <v>BRUDER</v>
      </c>
      <c r="M132" s="6">
        <f t="shared" si="65"/>
        <v>2.7650462965539191E-2</v>
      </c>
      <c r="N132" s="7">
        <f t="shared" si="46"/>
        <v>39.816666670376435</v>
      </c>
      <c r="O132" s="7"/>
      <c r="P132" s="7"/>
      <c r="Q132" s="29"/>
      <c r="R132" s="29"/>
      <c r="S132" s="47">
        <f t="shared" si="63"/>
        <v>1</v>
      </c>
      <c r="T132" s="75" t="str">
        <f t="shared" si="66"/>
        <v>NorthBound</v>
      </c>
      <c r="U132" s="114">
        <f>COUNTIFS(Variables!$M$2:$M$19,IF(T132="NorthBound","&gt;=","&lt;=")&amp;Y132,Variables!$M$2:$M$19,IF(T132="NorthBound","&lt;=","&gt;=")&amp;Z132)</f>
        <v>12</v>
      </c>
      <c r="V132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18:08:09-0600',mode:absolute,to:'2016-07-08 18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2" s="80" t="str">
        <f t="shared" si="68"/>
        <v>N</v>
      </c>
      <c r="X132" s="104">
        <f t="shared" si="71"/>
        <v>1</v>
      </c>
      <c r="Y132" s="101">
        <f t="shared" si="72"/>
        <v>4.5100000000000001E-2</v>
      </c>
      <c r="Z132" s="101">
        <f t="shared" si="58"/>
        <v>23.328499999999998</v>
      </c>
      <c r="AA132" s="101">
        <f t="shared" si="69"/>
        <v>23.283399999999997</v>
      </c>
      <c r="AB132" s="98" t="e">
        <f>VLOOKUP(A132,Enforcements!$C$7:$J$27,8,0)</f>
        <v>#N/A</v>
      </c>
      <c r="AC132" s="94" t="e">
        <f>VLOOKUP(A132,Enforcements!$C$7:$E$27,3,0)</f>
        <v>#N/A</v>
      </c>
      <c r="AD132" s="95" t="str">
        <f t="shared" si="70"/>
        <v>0217-08</v>
      </c>
      <c r="AE132" s="81" t="str">
        <f t="shared" si="73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132" s="81" t="str">
        <f t="shared" si="74"/>
        <v>"C:\Program Files (x86)\AstroGrep\AstroGrep.exe" /spath="C:\Users\stu\Documents\Analysis\2016-02-23 RTDC Observations" /stypes="*4016*20160709*" /stext=" 00:.+((prompt.+disp)|(slice.+state.+chan)|(ment ac)|(system.+state.+chan)|(\|lc)|(penalty)|(\[timeout))" /e /r /s</v>
      </c>
      <c r="AG132" s="1" t="str">
        <f t="shared" si="57"/>
        <v>EC</v>
      </c>
    </row>
    <row r="133" spans="1:33" x14ac:dyDescent="0.25">
      <c r="A133" s="53" t="s">
        <v>593</v>
      </c>
      <c r="B133" s="7">
        <v>4015</v>
      </c>
      <c r="C133" s="28" t="s">
        <v>60</v>
      </c>
      <c r="D133" s="28" t="s">
        <v>239</v>
      </c>
      <c r="E133" s="17">
        <v>42559.798344907409</v>
      </c>
      <c r="F133" s="17">
        <v>42559.799201388887</v>
      </c>
      <c r="G133" s="7">
        <v>1</v>
      </c>
      <c r="H133" s="17" t="s">
        <v>594</v>
      </c>
      <c r="I133" s="17">
        <v>42559.826782407406</v>
      </c>
      <c r="J133" s="7">
        <v>1</v>
      </c>
      <c r="K133" s="28" t="str">
        <f t="shared" si="64"/>
        <v>4015/4016</v>
      </c>
      <c r="L133" s="28" t="str">
        <f>VLOOKUP(A133,'Trips&amp;Operators'!$C$1:$E$10000,3,FALSE)</f>
        <v>BRUDER</v>
      </c>
      <c r="M133" s="6">
        <f t="shared" si="65"/>
        <v>2.7581018519413192E-2</v>
      </c>
      <c r="N133" s="7">
        <f t="shared" si="46"/>
        <v>39.716666667954996</v>
      </c>
      <c r="O133" s="7"/>
      <c r="P133" s="7"/>
      <c r="Q133" s="29"/>
      <c r="R133" s="29"/>
      <c r="S133" s="47">
        <f t="shared" si="63"/>
        <v>1</v>
      </c>
      <c r="T133" s="75" t="str">
        <f t="shared" si="66"/>
        <v>Southbound</v>
      </c>
      <c r="U133" s="114">
        <f>COUNTIFS(Variables!$M$2:$M$19,IF(T133="NorthBound","&gt;=","&lt;=")&amp;Y133,Variables!$M$2:$M$19,IF(T133="NorthBound","&lt;=","&gt;=")&amp;Z133)</f>
        <v>12</v>
      </c>
      <c r="V133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19:08:37-0600',mode:absolute,to:'2016-07-08 19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3" s="80" t="str">
        <f t="shared" si="68"/>
        <v>N</v>
      </c>
      <c r="X133" s="104">
        <f t="shared" si="71"/>
        <v>1</v>
      </c>
      <c r="Y133" s="101">
        <f t="shared" si="72"/>
        <v>23.297899999999998</v>
      </c>
      <c r="Z133" s="101">
        <f t="shared" si="58"/>
        <v>0.1173</v>
      </c>
      <c r="AA133" s="101">
        <f t="shared" si="69"/>
        <v>23.180599999999998</v>
      </c>
      <c r="AB133" s="98" t="e">
        <f>VLOOKUP(A133,Enforcements!$C$7:$J$27,8,0)</f>
        <v>#N/A</v>
      </c>
      <c r="AC133" s="94" t="e">
        <f>VLOOKUP(A133,Enforcements!$C$7:$E$27,3,0)</f>
        <v>#N/A</v>
      </c>
      <c r="AD133" s="95" t="str">
        <f t="shared" si="70"/>
        <v>0218-08</v>
      </c>
      <c r="AE133" s="81" t="str">
        <f t="shared" si="73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133" s="81" t="str">
        <f t="shared" si="74"/>
        <v>"C:\Program Files (x86)\AstroGrep\AstroGrep.exe" /spath="C:\Users\stu\Documents\Analysis\2016-02-23 RTDC Observations" /stypes="*4015*20160709*" /stext=" 01:.+((prompt.+disp)|(slice.+state.+chan)|(ment ac)|(system.+state.+chan)|(\|lc)|(penalty)|(\[timeout))" /e /r /s</v>
      </c>
      <c r="AG133" s="1" t="str">
        <f t="shared" si="57"/>
        <v>EC</v>
      </c>
    </row>
    <row r="134" spans="1:33" x14ac:dyDescent="0.25">
      <c r="A134" s="53" t="s">
        <v>595</v>
      </c>
      <c r="B134" s="7">
        <v>4044</v>
      </c>
      <c r="C134" s="28" t="s">
        <v>60</v>
      </c>
      <c r="D134" s="28" t="s">
        <v>192</v>
      </c>
      <c r="E134" s="17">
        <v>42559.766377314816</v>
      </c>
      <c r="F134" s="17">
        <v>42559.767754629633</v>
      </c>
      <c r="G134" s="7">
        <v>1</v>
      </c>
      <c r="H134" s="17" t="s">
        <v>204</v>
      </c>
      <c r="I134" s="17">
        <v>42559.796157407407</v>
      </c>
      <c r="J134" s="7">
        <v>0</v>
      </c>
      <c r="K134" s="28" t="str">
        <f t="shared" si="64"/>
        <v>4043/4044</v>
      </c>
      <c r="L134" s="28" t="str">
        <f>VLOOKUP(A134,'Trips&amp;Operators'!$C$1:$E$10000,3,FALSE)</f>
        <v>GRASTON</v>
      </c>
      <c r="M134" s="6">
        <f t="shared" si="65"/>
        <v>2.8402777774317656E-2</v>
      </c>
      <c r="N134" s="7">
        <f t="shared" si="46"/>
        <v>40.899999995017424</v>
      </c>
      <c r="O134" s="7"/>
      <c r="P134" s="7"/>
      <c r="Q134" s="29"/>
      <c r="R134" s="29"/>
      <c r="S134" s="47">
        <f t="shared" si="63"/>
        <v>1</v>
      </c>
      <c r="T134" s="75" t="str">
        <f t="shared" si="66"/>
        <v>NorthBound</v>
      </c>
      <c r="U134" s="114">
        <f>COUNTIFS(Variables!$M$2:$M$19,IF(T134="NorthBound","&gt;=","&lt;=")&amp;Y134,Variables!$M$2:$M$19,IF(T134="NorthBound","&lt;=","&gt;=")&amp;Z134)</f>
        <v>12</v>
      </c>
      <c r="V134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18:22:35-0600',mode:absolute,to:'2016-07-08 19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4" s="80" t="str">
        <f t="shared" si="68"/>
        <v>N</v>
      </c>
      <c r="X134" s="104">
        <f t="shared" si="71"/>
        <v>1</v>
      </c>
      <c r="Y134" s="101">
        <f t="shared" si="72"/>
        <v>4.58E-2</v>
      </c>
      <c r="Z134" s="101">
        <f t="shared" si="58"/>
        <v>23.330500000000001</v>
      </c>
      <c r="AA134" s="101">
        <f t="shared" si="69"/>
        <v>23.284700000000001</v>
      </c>
      <c r="AB134" s="98" t="e">
        <f>VLOOKUP(A134,Enforcements!$C$7:$J$27,8,0)</f>
        <v>#N/A</v>
      </c>
      <c r="AC134" s="94" t="e">
        <f>VLOOKUP(A134,Enforcements!$C$7:$E$27,3,0)</f>
        <v>#N/A</v>
      </c>
      <c r="AD134" s="95" t="str">
        <f t="shared" si="70"/>
        <v>0219-08</v>
      </c>
      <c r="AE134" s="81" t="str">
        <f t="shared" si="73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34" s="81" t="str">
        <f t="shared" si="74"/>
        <v>"C:\Program Files (x86)\AstroGrep\AstroGrep.exe" /spath="C:\Users\stu\Documents\Analysis\2016-02-23 RTDC Observations" /stypes="*4044*20160709*" /stext=" 00:.+((prompt.+disp)|(slice.+state.+chan)|(ment ac)|(system.+state.+chan)|(\|lc)|(penalty)|(\[timeout))" /e /r /s</v>
      </c>
      <c r="AG134" s="1" t="str">
        <f t="shared" si="57"/>
        <v>EC</v>
      </c>
    </row>
    <row r="135" spans="1:33" x14ac:dyDescent="0.25">
      <c r="A135" s="53" t="s">
        <v>596</v>
      </c>
      <c r="B135" s="7">
        <v>4043</v>
      </c>
      <c r="C135" s="28" t="s">
        <v>60</v>
      </c>
      <c r="D135" s="28" t="s">
        <v>241</v>
      </c>
      <c r="E135" s="17">
        <v>42559.807581018518</v>
      </c>
      <c r="F135" s="17">
        <v>42559.808437500003</v>
      </c>
      <c r="G135" s="7">
        <v>1</v>
      </c>
      <c r="H135" s="17" t="s">
        <v>158</v>
      </c>
      <c r="I135" s="17">
        <v>42559.835185185184</v>
      </c>
      <c r="J135" s="7">
        <v>0</v>
      </c>
      <c r="K135" s="28" t="str">
        <f t="shared" si="64"/>
        <v>4043/4044</v>
      </c>
      <c r="L135" s="28" t="str">
        <f>VLOOKUP(A135,'Trips&amp;Operators'!$C$1:$E$10000,3,FALSE)</f>
        <v>GRASTON</v>
      </c>
      <c r="M135" s="6">
        <f t="shared" si="65"/>
        <v>2.6747685180453118E-2</v>
      </c>
      <c r="N135" s="7">
        <f t="shared" si="46"/>
        <v>38.51666665985249</v>
      </c>
      <c r="O135" s="7"/>
      <c r="P135" s="7"/>
      <c r="Q135" s="29"/>
      <c r="R135" s="29"/>
      <c r="S135" s="47">
        <f t="shared" si="63"/>
        <v>1</v>
      </c>
      <c r="T135" s="75" t="str">
        <f t="shared" si="66"/>
        <v>Southbound</v>
      </c>
      <c r="U135" s="114">
        <f>COUNTIFS(Variables!$M$2:$M$19,IF(T135="NorthBound","&gt;=","&lt;=")&amp;Y135,Variables!$M$2:$M$19,IF(T135="NorthBound","&lt;=","&gt;=")&amp;Z135)</f>
        <v>12</v>
      </c>
      <c r="V135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19:21:55-0600',mode:absolute,to:'2016-07-08 20:03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5" s="80" t="str">
        <f t="shared" si="68"/>
        <v>N</v>
      </c>
      <c r="X135" s="104">
        <f t="shared" si="71"/>
        <v>1</v>
      </c>
      <c r="Y135" s="101">
        <f t="shared" si="72"/>
        <v>23.299600000000002</v>
      </c>
      <c r="Z135" s="101">
        <f t="shared" si="58"/>
        <v>1.61E-2</v>
      </c>
      <c r="AA135" s="101">
        <f t="shared" si="69"/>
        <v>23.2835</v>
      </c>
      <c r="AB135" s="98" t="e">
        <f>VLOOKUP(A135,Enforcements!$C$7:$J$27,8,0)</f>
        <v>#N/A</v>
      </c>
      <c r="AC135" s="94" t="e">
        <f>VLOOKUP(A135,Enforcements!$C$7:$E$27,3,0)</f>
        <v>#N/A</v>
      </c>
      <c r="AD135" s="95" t="str">
        <f t="shared" si="70"/>
        <v>0220-08</v>
      </c>
      <c r="AE135" s="81" t="str">
        <f t="shared" si="73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35" s="81" t="str">
        <f t="shared" si="74"/>
        <v>"C:\Program Files (x86)\AstroGrep\AstroGrep.exe" /spath="C:\Users\stu\Documents\Analysis\2016-02-23 RTDC Observations" /stypes="*4043*20160709*" /stext=" 01:.+((prompt.+disp)|(slice.+state.+chan)|(ment ac)|(system.+state.+chan)|(\|lc)|(penalty)|(\[timeout))" /e /r /s</v>
      </c>
      <c r="AG135" s="1" t="str">
        <f t="shared" si="57"/>
        <v>EC</v>
      </c>
    </row>
    <row r="136" spans="1:33" x14ac:dyDescent="0.25">
      <c r="A136" s="53" t="s">
        <v>597</v>
      </c>
      <c r="B136" s="7">
        <v>4014</v>
      </c>
      <c r="C136" s="28" t="s">
        <v>60</v>
      </c>
      <c r="D136" s="28" t="s">
        <v>118</v>
      </c>
      <c r="E136" s="17">
        <v>42559.785497685189</v>
      </c>
      <c r="F136" s="17">
        <v>42559.786759259259</v>
      </c>
      <c r="G136" s="7">
        <v>1</v>
      </c>
      <c r="H136" s="17" t="s">
        <v>153</v>
      </c>
      <c r="I136" s="17">
        <v>42559.817314814813</v>
      </c>
      <c r="J136" s="7">
        <v>0</v>
      </c>
      <c r="K136" s="28" t="str">
        <f t="shared" si="64"/>
        <v>4013/4014</v>
      </c>
      <c r="L136" s="28" t="str">
        <f>VLOOKUP(A136,'Trips&amp;Operators'!$C$1:$E$10000,3,FALSE)</f>
        <v>HELVIE</v>
      </c>
      <c r="M136" s="6">
        <f t="shared" si="65"/>
        <v>3.0555555553291924E-2</v>
      </c>
      <c r="N136" s="7">
        <f t="shared" si="46"/>
        <v>43.999999996740371</v>
      </c>
      <c r="O136" s="7"/>
      <c r="P136" s="7"/>
      <c r="Q136" s="29"/>
      <c r="R136" s="29"/>
      <c r="S136" s="47">
        <f t="shared" si="63"/>
        <v>1</v>
      </c>
      <c r="T136" s="75" t="str">
        <f t="shared" si="66"/>
        <v>NorthBound</v>
      </c>
      <c r="U136" s="114">
        <f>COUNTIFS(Variables!$M$2:$M$19,IF(T136="NorthBound","&gt;=","&lt;=")&amp;Y136,Variables!$M$2:$M$19,IF(T136="NorthBound","&lt;=","&gt;=")&amp;Z136)</f>
        <v>12</v>
      </c>
      <c r="V136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18:50:07-0600',mode:absolute,to:'2016-07-08 19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6" s="80" t="str">
        <f t="shared" si="68"/>
        <v>N</v>
      </c>
      <c r="X136" s="104">
        <f t="shared" si="71"/>
        <v>1</v>
      </c>
      <c r="Y136" s="101">
        <f t="shared" si="72"/>
        <v>4.4400000000000002E-2</v>
      </c>
      <c r="Z136" s="101">
        <f t="shared" si="58"/>
        <v>23.328600000000002</v>
      </c>
      <c r="AA136" s="101">
        <f t="shared" si="69"/>
        <v>23.284200000000002</v>
      </c>
      <c r="AB136" s="98" t="e">
        <f>VLOOKUP(A136,Enforcements!$C$7:$J$27,8,0)</f>
        <v>#N/A</v>
      </c>
      <c r="AC136" s="94" t="e">
        <f>VLOOKUP(A136,Enforcements!$C$7:$E$27,3,0)</f>
        <v>#N/A</v>
      </c>
      <c r="AD136" s="95" t="str">
        <f t="shared" si="70"/>
        <v>0221-08</v>
      </c>
      <c r="AE136" s="81" t="str">
        <f t="shared" si="73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36" s="81" t="str">
        <f t="shared" si="74"/>
        <v>"C:\Program Files (x86)\AstroGrep\AstroGrep.exe" /spath="C:\Users\stu\Documents\Analysis\2016-02-23 RTDC Observations" /stypes="*4014*20160709*" /stext=" 00:.+((prompt.+disp)|(slice.+state.+chan)|(ment ac)|(system.+state.+chan)|(\|lc)|(penalty)|(\[timeout))" /e /r /s</v>
      </c>
      <c r="AG136" s="1" t="str">
        <f t="shared" si="57"/>
        <v>EC</v>
      </c>
    </row>
    <row r="137" spans="1:33" s="27" customFormat="1" x14ac:dyDescent="0.25">
      <c r="A137" s="53" t="s">
        <v>642</v>
      </c>
      <c r="B137" s="7">
        <v>4013</v>
      </c>
      <c r="C137" s="28" t="s">
        <v>60</v>
      </c>
      <c r="D137" s="28" t="s">
        <v>118</v>
      </c>
      <c r="E137" s="17">
        <v>42559.785497685189</v>
      </c>
      <c r="F137" s="17">
        <v>42559.826238425929</v>
      </c>
      <c r="G137" s="7">
        <v>1</v>
      </c>
      <c r="H137" s="17" t="s">
        <v>153</v>
      </c>
      <c r="I137" s="17">
        <v>42559.856122685182</v>
      </c>
      <c r="J137" s="7">
        <v>0</v>
      </c>
      <c r="K137" s="28" t="str">
        <f t="shared" si="64"/>
        <v>4013/4014</v>
      </c>
      <c r="L137" s="28" t="str">
        <f>VLOOKUP(A137,'Trips&amp;Operators'!$C$1:$E$10000,3,FALSE)</f>
        <v>HELVIE</v>
      </c>
      <c r="M137" s="6">
        <f t="shared" si="65"/>
        <v>2.9884259252867196E-2</v>
      </c>
      <c r="N137" s="7">
        <f t="shared" si="46"/>
        <v>43.033333324128762</v>
      </c>
      <c r="O137" s="7"/>
      <c r="P137" s="7"/>
      <c r="Q137" s="29"/>
      <c r="R137" s="29"/>
      <c r="S137" s="47">
        <f t="shared" si="63"/>
        <v>1</v>
      </c>
      <c r="T137" s="75" t="str">
        <f t="shared" si="66"/>
        <v>Southbound</v>
      </c>
      <c r="U137" s="114">
        <f>COUNTIFS(Variables!$M$2:$M$19,IF(T137="NorthBound","&gt;=","&lt;=")&amp;Y137,Variables!$M$2:$M$19,IF(T137="NorthBound","&lt;=","&gt;=")&amp;Z137)</f>
        <v>12</v>
      </c>
      <c r="V137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18:50:07-0600',mode:absolute,to:'2016-07-08 20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7" s="80" t="str">
        <f t="shared" si="68"/>
        <v>N</v>
      </c>
      <c r="X137" s="104">
        <f t="shared" si="71"/>
        <v>1</v>
      </c>
      <c r="Y137" s="101">
        <v>23.299600000000002</v>
      </c>
      <c r="Z137" s="101">
        <v>1.61E-2</v>
      </c>
      <c r="AA137" s="101">
        <f t="shared" si="69"/>
        <v>23.2835</v>
      </c>
      <c r="AB137" s="98" t="e">
        <f>VLOOKUP(A137,Enforcements!$C$7:$J$27,8,0)</f>
        <v>#N/A</v>
      </c>
      <c r="AC137" s="94" t="e">
        <f>VLOOKUP(A137,Enforcements!$C$7:$E$27,3,0)</f>
        <v>#N/A</v>
      </c>
      <c r="AD137" s="95" t="str">
        <f t="shared" si="70"/>
        <v>0222-08</v>
      </c>
      <c r="AE137" s="81" t="str">
        <f t="shared" ref="AE137" si="75">"aws s3 cp "&amp;s3_bucket&amp;"/RTDC"&amp;B137&amp;"/"&amp;TEXT(F137,"YYYY-MM-DD")&amp;"/ "&amp;search_path&amp;"\RTDC"&amp;B137&amp;"\"&amp;TEXT(F137,"YYYY-MM-DD")&amp;" --recursive &amp; """&amp;walkandungz&amp;""" "&amp;search_path&amp;"\RTDC"&amp;B137&amp;"\"&amp;TEXT(F137,"YYYY-MM-DD")
&amp;" &amp; "&amp;"aws s3 cp "&amp;s3_bucket&amp;"/RTDC"&amp;B137&amp;"/"&amp;TEXT(F137+1,"YYYY-MM-DD")&amp;"/ "&amp;search_path&amp;"\RTDC"&amp;B137&amp;"\"&amp;TEXT(F137+1,"YYYY-MM-DD")&amp;" --recursive &amp; """&amp;walkandungz&amp;""" "&amp;search_path&amp;"\RTDC"&amp;B137&amp;"\"&amp;TEXT(F137+1,"YYYY-MM-DD")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37" s="81" t="str">
        <f t="shared" ref="AF137" si="76">astrogrep_path&amp;" /spath="&amp;search_path&amp;" /stypes=""*"&amp;B137&amp;"*"&amp;TEXT(F137-utc_offset/24,"YYYYMMDD")&amp;"*"" /stext="" "&amp;TEXT(F137-utc_offset/24,"HH")&amp;search_regexp&amp;""" /e /r /s"</f>
        <v>"C:\Program Files (x86)\AstroGrep\AstroGrep.exe" /spath="C:\Users\stu\Documents\Analysis\2016-02-23 RTDC Observations" /stypes="*4013*20160709*" /stext=" 01:.+((prompt.+disp)|(slice.+state.+chan)|(ment ac)|(system.+state.+chan)|(\|lc)|(penalty)|(\[timeout))" /e /r /s</v>
      </c>
      <c r="AG137" s="1" t="str">
        <f t="shared" ref="AG137" si="77">IF(VALUE(LEFT(A137,3))&lt;300,"EC","NWGL")</f>
        <v>EC</v>
      </c>
    </row>
    <row r="138" spans="1:33" x14ac:dyDescent="0.25">
      <c r="A138" s="53" t="s">
        <v>598</v>
      </c>
      <c r="B138" s="7">
        <v>4011</v>
      </c>
      <c r="C138" s="28" t="s">
        <v>60</v>
      </c>
      <c r="D138" s="28" t="s">
        <v>117</v>
      </c>
      <c r="E138" s="17">
        <v>42559.809641203705</v>
      </c>
      <c r="F138" s="17">
        <v>42559.810624999998</v>
      </c>
      <c r="G138" s="7">
        <v>1</v>
      </c>
      <c r="H138" s="17" t="s">
        <v>599</v>
      </c>
      <c r="I138" s="17">
        <v>42559.838194444441</v>
      </c>
      <c r="J138" s="7">
        <v>1</v>
      </c>
      <c r="K138" s="28" t="str">
        <f t="shared" si="64"/>
        <v>4011/4012</v>
      </c>
      <c r="L138" s="28" t="str">
        <f>VLOOKUP(A138,'Trips&amp;Operators'!$C$1:$E$10000,3,FALSE)</f>
        <v>LEVERE</v>
      </c>
      <c r="M138" s="6">
        <f t="shared" si="65"/>
        <v>2.7569444442633539E-2</v>
      </c>
      <c r="N138" s="7">
        <f t="shared" si="46"/>
        <v>39.699999997392297</v>
      </c>
      <c r="O138" s="7"/>
      <c r="P138" s="7"/>
      <c r="Q138" s="29"/>
      <c r="R138" s="29"/>
      <c r="S138" s="47">
        <f t="shared" si="63"/>
        <v>1</v>
      </c>
      <c r="T138" s="75" t="str">
        <f t="shared" si="66"/>
        <v>NorthBound</v>
      </c>
      <c r="U138" s="114">
        <f>COUNTIFS(Variables!$M$2:$M$19,IF(T138="NorthBound","&gt;=","&lt;=")&amp;Y138,Variables!$M$2:$M$19,IF(T138="NorthBound","&lt;=","&gt;=")&amp;Z138)</f>
        <v>12</v>
      </c>
      <c r="V138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19:24:53-0600',mode:absolute,to:'2016-07-08 20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8" s="80" t="str">
        <f t="shared" si="68"/>
        <v>N</v>
      </c>
      <c r="X138" s="104">
        <f t="shared" ref="X138:X140" si="78">VALUE(LEFT(A138,3))-VALUE(LEFT(A137,3))</f>
        <v>1</v>
      </c>
      <c r="Y138" s="101">
        <f>RIGHT(D138,LEN(D138)-4)/10000</f>
        <v>4.5100000000000001E-2</v>
      </c>
      <c r="Z138" s="101">
        <f>RIGHT(H138,LEN(H138)-4)/10000</f>
        <v>23.3264</v>
      </c>
      <c r="AA138" s="101">
        <f t="shared" si="69"/>
        <v>23.281299999999998</v>
      </c>
      <c r="AB138" s="98">
        <f>VLOOKUP(A138,Enforcements!$C$7:$J$27,8,0)</f>
        <v>222090</v>
      </c>
      <c r="AC138" s="94" t="str">
        <f>VLOOKUP(A138,Enforcements!$C$7:$E$27,3,0)</f>
        <v>PERMANENT SPEED RESTRICTION</v>
      </c>
      <c r="AD138" s="95" t="str">
        <f t="shared" si="70"/>
        <v>0223-08</v>
      </c>
      <c r="AE138" s="81" t="str">
        <f t="shared" si="73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38" s="81" t="str">
        <f t="shared" si="74"/>
        <v>"C:\Program Files (x86)\AstroGrep\AstroGrep.exe" /spath="C:\Users\stu\Documents\Analysis\2016-02-23 RTDC Observations" /stypes="*4011*20160709*" /stext=" 01:.+((prompt.+disp)|(slice.+state.+chan)|(ment ac)|(system.+state.+chan)|(\|lc)|(penalty)|(\[timeout))" /e /r /s</v>
      </c>
      <c r="AG138" s="1" t="str">
        <f t="shared" si="57"/>
        <v>EC</v>
      </c>
    </row>
    <row r="139" spans="1:33" s="27" customFormat="1" x14ac:dyDescent="0.25">
      <c r="A139" s="53" t="s">
        <v>606</v>
      </c>
      <c r="B139" s="7">
        <v>4012</v>
      </c>
      <c r="C139" s="28" t="s">
        <v>60</v>
      </c>
      <c r="D139" s="28" t="s">
        <v>607</v>
      </c>
      <c r="E139" s="17">
        <v>42559.843321759261</v>
      </c>
      <c r="F139" s="17">
        <v>42559.844467592593</v>
      </c>
      <c r="G139" s="7">
        <v>1</v>
      </c>
      <c r="H139" s="17" t="s">
        <v>608</v>
      </c>
      <c r="I139" s="17">
        <v>42559.878275462965</v>
      </c>
      <c r="J139" s="7">
        <v>0</v>
      </c>
      <c r="K139" s="28" t="str">
        <f t="shared" ref="K139:K159" si="79">IF(ISEVEN(B139),(B139-1)&amp;"/"&amp;B139,B139&amp;"/"&amp;(B139+1))</f>
        <v>4011/4012</v>
      </c>
      <c r="L139" s="28" t="str">
        <f>VLOOKUP(A139,'Trips&amp;Operators'!$C$1:$E$10000,3,FALSE)</f>
        <v>LEVERE</v>
      </c>
      <c r="M139" s="6">
        <f t="shared" ref="M139:M159" si="80">I139-F139</f>
        <v>3.3807870371674653E-2</v>
      </c>
      <c r="N139" s="7">
        <f t="shared" si="46"/>
        <v>48.683333335211501</v>
      </c>
      <c r="O139" s="7"/>
      <c r="P139" s="7"/>
      <c r="Q139" s="29"/>
      <c r="R139" s="29"/>
      <c r="S139" s="47">
        <f t="shared" ref="S139:S159" si="81">SUM(U139:U139)/12</f>
        <v>1</v>
      </c>
      <c r="T139" s="75" t="str">
        <f t="shared" ref="T139:T159" si="82">IF(ISEVEN(LEFT(A139,3)),"Southbound","NorthBound")</f>
        <v>Southbound</v>
      </c>
      <c r="U139" s="114">
        <f>COUNTIFS(Variables!$M$2:$M$19,IF(T139="NorthBound","&gt;=","&lt;=")&amp;Y139,Variables!$M$2:$M$19,IF(T139="NorthBound","&lt;=","&gt;=")&amp;Z139)</f>
        <v>12</v>
      </c>
      <c r="V139" s="80" t="str">
        <f t="shared" ref="V139:V159" si="83"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https://search-rtdc-monitor-bjffxe2xuh6vdkpspy63sjmuny.us-east-1.es.amazonaws.com/_plugin/kibana/#/discover/Steve-Slow-Train-Analysis-(2080s-and-2083s)?_g=(refreshInterval:(display:Off,section:0,value:0),time:(from:'2016-07-08 20:13:23-0600',mode:absolute,to:'2016-07-08 21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9" s="80" t="str">
        <f t="shared" ref="W139:W159" si="84">IF(AA139&lt;23,"Y","N")</f>
        <v>N</v>
      </c>
      <c r="X139" s="104">
        <f t="shared" si="78"/>
        <v>1</v>
      </c>
      <c r="Y139" s="101">
        <f t="shared" ref="Y139:Y159" si="85">RIGHT(D139,LEN(D139)-4)/10000</f>
        <v>23.293600000000001</v>
      </c>
      <c r="Z139" s="101">
        <f t="shared" ref="Z139:Z159" si="86">RIGHT(H139,LEN(H139)-4)/10000</f>
        <v>1.72E-2</v>
      </c>
      <c r="AA139" s="101">
        <f t="shared" ref="AA139:AA159" si="87">ABS(Z139-Y139)</f>
        <v>23.276400000000002</v>
      </c>
      <c r="AB139" s="98" t="e">
        <f>VLOOKUP(A139,Enforcements!$C$7:$J$27,8,0)</f>
        <v>#N/A</v>
      </c>
      <c r="AC139" s="94" t="e">
        <f>VLOOKUP(A139,Enforcements!$C$7:$E$27,3,0)</f>
        <v>#N/A</v>
      </c>
      <c r="AD139" s="95" t="str">
        <f t="shared" ref="AD139:AD159" si="88">IF(LEN(A139)=6,"0"&amp;A139,A139)</f>
        <v>0224-08</v>
      </c>
      <c r="AE139" s="81" t="str">
        <f t="shared" ref="AE139:AE159" si="89">"aws s3 cp "&amp;s3_bucket&amp;"/RTDC"&amp;B139&amp;"/"&amp;TEXT(F139,"YYYY-MM-DD")&amp;"/ "&amp;search_path&amp;"\RTDC"&amp;B139&amp;"\"&amp;TEXT(F139,"YYYY-MM-DD")&amp;" --recursive &amp; """&amp;walkandungz&amp;""" "&amp;search_path&amp;"\RTDC"&amp;B139&amp;"\"&amp;TEXT(F139,"YYYY-MM-DD")
&amp;" &amp; "&amp;"aws s3 cp "&amp;s3_bucket&amp;"/RTDC"&amp;B139&amp;"/"&amp;TEXT(F139+1,"YYYY-MM-DD")&amp;"/ "&amp;search_path&amp;"\RTDC"&amp;B139&amp;"\"&amp;TEXT(F139+1,"YYYY-MM-DD")&amp;" --recursive &amp; """&amp;walkandungz&amp;""" "&amp;search_path&amp;"\RTDC"&amp;B139&amp;"\"&amp;TEXT(F139+1,"YYYY-MM-DD")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39" s="81" t="str">
        <f t="shared" ref="AF139:AF159" si="90">astrogrep_path&amp;" /spath="&amp;search_path&amp;" /stypes=""*"&amp;B139&amp;"*"&amp;TEXT(F139-utc_offset/24,"YYYYMMDD")&amp;"*"" /stext="" "&amp;TEXT(F139-utc_offset/24,"HH")&amp;search_regexp&amp;""" /e /r /s"</f>
        <v>"C:\Program Files (x86)\AstroGrep\AstroGrep.exe" /spath="C:\Users\stu\Documents\Analysis\2016-02-23 RTDC Observations" /stypes="*4012*20160709*" /stext=" 02:.+((prompt.+disp)|(slice.+state.+chan)|(ment ac)|(system.+state.+chan)|(\|lc)|(penalty)|(\[timeout))" /e /r /s</v>
      </c>
      <c r="AG139" s="1" t="str">
        <f t="shared" ref="AG139:AG159" si="91">IF(VALUE(LEFT(A139,3))&lt;300,"EC","NWGL")</f>
        <v>EC</v>
      </c>
    </row>
    <row r="140" spans="1:33" s="27" customFormat="1" x14ac:dyDescent="0.25">
      <c r="A140" s="53" t="s">
        <v>609</v>
      </c>
      <c r="B140" s="7">
        <v>4020</v>
      </c>
      <c r="C140" s="28" t="s">
        <v>60</v>
      </c>
      <c r="D140" s="28" t="s">
        <v>67</v>
      </c>
      <c r="E140" s="17">
        <v>42559.830659722225</v>
      </c>
      <c r="F140" s="17">
        <v>42559.83221064815</v>
      </c>
      <c r="G140" s="7">
        <v>2</v>
      </c>
      <c r="H140" s="17" t="s">
        <v>558</v>
      </c>
      <c r="I140" s="17">
        <v>42559.858055555553</v>
      </c>
      <c r="J140" s="7">
        <v>0</v>
      </c>
      <c r="K140" s="28" t="str">
        <f t="shared" si="79"/>
        <v>4019/4020</v>
      </c>
      <c r="L140" s="28" t="str">
        <f>VLOOKUP(A140,'Trips&amp;Operators'!$C$1:$E$10000,3,FALSE)</f>
        <v>BRUDER</v>
      </c>
      <c r="M140" s="6">
        <f t="shared" si="80"/>
        <v>2.5844907402643003E-2</v>
      </c>
      <c r="N140" s="7">
        <f t="shared" ref="N140:N159" si="92">24*60*SUM($M140:$M140)</f>
        <v>37.216666659805924</v>
      </c>
      <c r="O140" s="7"/>
      <c r="P140" s="7"/>
      <c r="Q140" s="29"/>
      <c r="R140" s="29"/>
      <c r="S140" s="47">
        <f t="shared" si="81"/>
        <v>1</v>
      </c>
      <c r="T140" s="75" t="str">
        <f t="shared" si="82"/>
        <v>NorthBound</v>
      </c>
      <c r="U140" s="114">
        <f>COUNTIFS(Variables!$M$2:$M$19,IF(T140="NorthBound","&gt;=","&lt;=")&amp;Y140,Variables!$M$2:$M$19,IF(T140="NorthBound","&lt;=","&gt;=")&amp;Z140)</f>
        <v>12</v>
      </c>
      <c r="V140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19:55:09-0600',mode:absolute,to:'2016-07-08 20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80" t="str">
        <f t="shared" si="84"/>
        <v>N</v>
      </c>
      <c r="X140" s="104">
        <f t="shared" si="78"/>
        <v>1</v>
      </c>
      <c r="Y140" s="101">
        <f t="shared" si="85"/>
        <v>4.5999999999999999E-2</v>
      </c>
      <c r="Z140" s="101">
        <f t="shared" si="86"/>
        <v>23.329699999999999</v>
      </c>
      <c r="AA140" s="101">
        <f t="shared" si="87"/>
        <v>23.2837</v>
      </c>
      <c r="AB140" s="98" t="e">
        <f>VLOOKUP(A140,Enforcements!$C$7:$J$27,8,0)</f>
        <v>#N/A</v>
      </c>
      <c r="AC140" s="94" t="e">
        <f>VLOOKUP(A140,Enforcements!$C$7:$E$27,3,0)</f>
        <v>#N/A</v>
      </c>
      <c r="AD140" s="95" t="str">
        <f t="shared" si="88"/>
        <v>0225-08</v>
      </c>
      <c r="AE140" s="81" t="str">
        <f t="shared" si="89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40" s="81" t="str">
        <f t="shared" si="90"/>
        <v>"C:\Program Files (x86)\AstroGrep\AstroGrep.exe" /spath="C:\Users\stu\Documents\Analysis\2016-02-23 RTDC Observations" /stypes="*4020*20160709*" /stext=" 01:.+((prompt.+disp)|(slice.+state.+chan)|(ment ac)|(system.+state.+chan)|(\|lc)|(penalty)|(\[timeout))" /e /r /s</v>
      </c>
      <c r="AG140" s="1" t="str">
        <f t="shared" si="91"/>
        <v>EC</v>
      </c>
    </row>
    <row r="141" spans="1:33" s="27" customFormat="1" x14ac:dyDescent="0.25">
      <c r="A141" s="53" t="s">
        <v>610</v>
      </c>
      <c r="B141" s="7">
        <v>4019</v>
      </c>
      <c r="C141" s="28" t="s">
        <v>60</v>
      </c>
      <c r="D141" s="28" t="s">
        <v>611</v>
      </c>
      <c r="E141" s="17">
        <v>42559.86922453704</v>
      </c>
      <c r="F141" s="17">
        <v>42559.870451388888</v>
      </c>
      <c r="G141" s="7">
        <v>1</v>
      </c>
      <c r="H141" s="17" t="s">
        <v>612</v>
      </c>
      <c r="I141" s="17">
        <v>42559.8983912037</v>
      </c>
      <c r="J141" s="7">
        <v>0</v>
      </c>
      <c r="K141" s="28" t="str">
        <f t="shared" si="79"/>
        <v>4019/4020</v>
      </c>
      <c r="L141" s="28" t="str">
        <f>VLOOKUP(A141,'Trips&amp;Operators'!$C$1:$E$10000,3,FALSE)</f>
        <v>BRUDER</v>
      </c>
      <c r="M141" s="6">
        <f t="shared" si="80"/>
        <v>2.7939814812270924E-2</v>
      </c>
      <c r="N141" s="7">
        <f t="shared" si="92"/>
        <v>40.233333329670131</v>
      </c>
      <c r="O141" s="7"/>
      <c r="P141" s="7"/>
      <c r="Q141" s="29"/>
      <c r="R141" s="29"/>
      <c r="S141" s="47">
        <f t="shared" si="81"/>
        <v>1</v>
      </c>
      <c r="T141" s="75" t="str">
        <f t="shared" si="82"/>
        <v>Southbound</v>
      </c>
      <c r="U141" s="114">
        <f>COUNTIFS(Variables!$M$2:$M$19,IF(T141="NorthBound","&gt;=","&lt;=")&amp;Y141,Variables!$M$2:$M$19,IF(T141="NorthBound","&lt;=","&gt;=")&amp;Z141)</f>
        <v>12</v>
      </c>
      <c r="V141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20:50:41-0600',mode:absolute,to:'2016-07-08 21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80" t="str">
        <f t="shared" si="84"/>
        <v>N</v>
      </c>
      <c r="X141" s="104">
        <f t="shared" ref="X141:X159" si="93">VALUE(LEFT(A141,3))-VALUE(LEFT(A140,3))</f>
        <v>1</v>
      </c>
      <c r="Y141" s="101">
        <f t="shared" si="85"/>
        <v>23.295200000000001</v>
      </c>
      <c r="Z141" s="101">
        <f t="shared" si="86"/>
        <v>1.47E-2</v>
      </c>
      <c r="AA141" s="101">
        <f t="shared" si="87"/>
        <v>23.2805</v>
      </c>
      <c r="AB141" s="98" t="e">
        <f>VLOOKUP(A141,Enforcements!$C$7:$J$27,8,0)</f>
        <v>#N/A</v>
      </c>
      <c r="AC141" s="94" t="e">
        <f>VLOOKUP(A141,Enforcements!$C$7:$E$27,3,0)</f>
        <v>#N/A</v>
      </c>
      <c r="AD141" s="95" t="str">
        <f t="shared" si="88"/>
        <v>0226-08</v>
      </c>
      <c r="AE141" s="81" t="str">
        <f t="shared" si="89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41" s="81" t="str">
        <f t="shared" si="90"/>
        <v>"C:\Program Files (x86)\AstroGrep\AstroGrep.exe" /spath="C:\Users\stu\Documents\Analysis\2016-02-23 RTDC Observations" /stypes="*4019*20160709*" /stext=" 02:.+((prompt.+disp)|(slice.+state.+chan)|(ment ac)|(system.+state.+chan)|(\|lc)|(penalty)|(\[timeout))" /e /r /s</v>
      </c>
      <c r="AG141" s="1" t="str">
        <f t="shared" si="91"/>
        <v>EC</v>
      </c>
    </row>
    <row r="142" spans="1:33" s="27" customFormat="1" x14ac:dyDescent="0.25">
      <c r="A142" s="53" t="s">
        <v>613</v>
      </c>
      <c r="B142" s="7">
        <v>4044</v>
      </c>
      <c r="C142" s="28" t="s">
        <v>60</v>
      </c>
      <c r="D142" s="28" t="s">
        <v>247</v>
      </c>
      <c r="E142" s="17">
        <v>42559.850219907406</v>
      </c>
      <c r="F142" s="17">
        <v>42559.851145833331</v>
      </c>
      <c r="G142" s="7">
        <v>1</v>
      </c>
      <c r="H142" s="17" t="s">
        <v>614</v>
      </c>
      <c r="I142" s="17">
        <v>42559.879861111112</v>
      </c>
      <c r="J142" s="7">
        <v>0</v>
      </c>
      <c r="K142" s="28" t="str">
        <f t="shared" si="79"/>
        <v>4043/4044</v>
      </c>
      <c r="L142" s="28" t="str">
        <f>VLOOKUP(A142,'Trips&amp;Operators'!$C$1:$E$10000,3,FALSE)</f>
        <v>GRASTON</v>
      </c>
      <c r="M142" s="6">
        <f t="shared" si="80"/>
        <v>2.8715277781884652E-2</v>
      </c>
      <c r="N142" s="7">
        <f t="shared" si="92"/>
        <v>41.350000005913898</v>
      </c>
      <c r="O142" s="7"/>
      <c r="P142" s="7"/>
      <c r="Q142" s="29"/>
      <c r="R142" s="29"/>
      <c r="S142" s="47">
        <f t="shared" si="81"/>
        <v>1</v>
      </c>
      <c r="T142" s="75" t="str">
        <f t="shared" si="82"/>
        <v>NorthBound</v>
      </c>
      <c r="U142" s="114">
        <f>COUNTIFS(Variables!$M$2:$M$19,IF(T142="NorthBound","&gt;=","&lt;=")&amp;Y142,Variables!$M$2:$M$19,IF(T142="NorthBound","&lt;=","&gt;=")&amp;Z142)</f>
        <v>12</v>
      </c>
      <c r="V142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20:23:19-0600',mode:absolute,to:'2016-07-08 21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2" s="80" t="str">
        <f t="shared" si="84"/>
        <v>N</v>
      </c>
      <c r="X142" s="104">
        <f t="shared" si="93"/>
        <v>1</v>
      </c>
      <c r="Y142" s="101">
        <f t="shared" si="85"/>
        <v>4.4200000000000003E-2</v>
      </c>
      <c r="Z142" s="101">
        <f t="shared" si="86"/>
        <v>23.3309</v>
      </c>
      <c r="AA142" s="101">
        <f t="shared" si="87"/>
        <v>23.2867</v>
      </c>
      <c r="AB142" s="98" t="e">
        <f>VLOOKUP(A142,Enforcements!$C$7:$J$27,8,0)</f>
        <v>#N/A</v>
      </c>
      <c r="AC142" s="94" t="e">
        <f>VLOOKUP(A142,Enforcements!$C$7:$E$27,3,0)</f>
        <v>#N/A</v>
      </c>
      <c r="AD142" s="95" t="str">
        <f t="shared" si="88"/>
        <v>0227-08</v>
      </c>
      <c r="AE142" s="81" t="str">
        <f t="shared" si="8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42" s="81" t="str">
        <f t="shared" si="90"/>
        <v>"C:\Program Files (x86)\AstroGrep\AstroGrep.exe" /spath="C:\Users\stu\Documents\Analysis\2016-02-23 RTDC Observations" /stypes="*4044*20160709*" /stext=" 02:.+((prompt.+disp)|(slice.+state.+chan)|(ment ac)|(system.+state.+chan)|(\|lc)|(penalty)|(\[timeout))" /e /r /s</v>
      </c>
      <c r="AG142" s="1" t="str">
        <f t="shared" si="91"/>
        <v>EC</v>
      </c>
    </row>
    <row r="143" spans="1:33" s="27" customFormat="1" x14ac:dyDescent="0.25">
      <c r="A143" s="53" t="s">
        <v>615</v>
      </c>
      <c r="B143" s="7">
        <v>4043</v>
      </c>
      <c r="C143" s="28" t="s">
        <v>60</v>
      </c>
      <c r="D143" s="28" t="s">
        <v>616</v>
      </c>
      <c r="E143" s="17">
        <v>42559.890590277777</v>
      </c>
      <c r="F143" s="17">
        <v>42559.893043981479</v>
      </c>
      <c r="G143" s="7">
        <v>3</v>
      </c>
      <c r="H143" s="17" t="s">
        <v>62</v>
      </c>
      <c r="I143" s="17">
        <v>42559.919803240744</v>
      </c>
      <c r="J143" s="7">
        <v>0</v>
      </c>
      <c r="K143" s="28" t="str">
        <f t="shared" si="79"/>
        <v>4043/4044</v>
      </c>
      <c r="L143" s="28" t="str">
        <f>VLOOKUP(A143,'Trips&amp;Operators'!$C$1:$E$10000,3,FALSE)</f>
        <v>GRASTON</v>
      </c>
      <c r="M143" s="6">
        <f t="shared" si="80"/>
        <v>2.6759259264508728E-2</v>
      </c>
      <c r="N143" s="7">
        <f t="shared" si="92"/>
        <v>38.533333340892568</v>
      </c>
      <c r="O143" s="7"/>
      <c r="P143" s="7"/>
      <c r="Q143" s="29"/>
      <c r="R143" s="29"/>
      <c r="S143" s="47">
        <f t="shared" si="81"/>
        <v>1</v>
      </c>
      <c r="T143" s="75" t="str">
        <f t="shared" si="82"/>
        <v>Southbound</v>
      </c>
      <c r="U143" s="114">
        <f>COUNTIFS(Variables!$M$2:$M$19,IF(T143="NorthBound","&gt;=","&lt;=")&amp;Y143,Variables!$M$2:$M$19,IF(T143="NorthBound","&lt;=","&gt;=")&amp;Z143)</f>
        <v>12</v>
      </c>
      <c r="V143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21:21:27-0600',mode:absolute,to:'2016-07-08 22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3" s="80" t="str">
        <f t="shared" si="84"/>
        <v>N</v>
      </c>
      <c r="X143" s="104">
        <f t="shared" si="93"/>
        <v>1</v>
      </c>
      <c r="Y143" s="101">
        <f t="shared" si="85"/>
        <v>23.299800000000001</v>
      </c>
      <c r="Z143" s="101">
        <f t="shared" si="86"/>
        <v>1.52E-2</v>
      </c>
      <c r="AA143" s="101">
        <f t="shared" si="87"/>
        <v>23.284600000000001</v>
      </c>
      <c r="AB143" s="98" t="e">
        <f>VLOOKUP(A143,Enforcements!$C$7:$J$27,8,0)</f>
        <v>#N/A</v>
      </c>
      <c r="AC143" s="94" t="e">
        <f>VLOOKUP(A143,Enforcements!$C$7:$E$27,3,0)</f>
        <v>#N/A</v>
      </c>
      <c r="AD143" s="95" t="str">
        <f t="shared" si="88"/>
        <v>0228-08</v>
      </c>
      <c r="AE143" s="81" t="str">
        <f t="shared" si="8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43" s="81" t="str">
        <f t="shared" si="90"/>
        <v>"C:\Program Files (x86)\AstroGrep\AstroGrep.exe" /spath="C:\Users\stu\Documents\Analysis\2016-02-23 RTDC Observations" /stypes="*4043*20160709*" /stext=" 03:.+((prompt.+disp)|(slice.+state.+chan)|(ment ac)|(system.+state.+chan)|(\|lc)|(penalty)|(\[timeout))" /e /r /s</v>
      </c>
      <c r="AG143" s="1" t="str">
        <f t="shared" si="91"/>
        <v>EC</v>
      </c>
    </row>
    <row r="144" spans="1:33" s="27" customFormat="1" x14ac:dyDescent="0.25">
      <c r="A144" s="53" t="s">
        <v>617</v>
      </c>
      <c r="B144" s="7">
        <v>4014</v>
      </c>
      <c r="C144" s="28" t="s">
        <v>60</v>
      </c>
      <c r="D144" s="28" t="s">
        <v>545</v>
      </c>
      <c r="E144" s="17">
        <v>42559.868645833332</v>
      </c>
      <c r="F144" s="17">
        <v>42559.869537037041</v>
      </c>
      <c r="G144" s="7">
        <v>1</v>
      </c>
      <c r="H144" s="17" t="s">
        <v>175</v>
      </c>
      <c r="I144" s="17">
        <v>42559.900462962964</v>
      </c>
      <c r="J144" s="7">
        <v>0</v>
      </c>
      <c r="K144" s="28" t="str">
        <f t="shared" si="79"/>
        <v>4013/4014</v>
      </c>
      <c r="L144" s="28" t="str">
        <f>VLOOKUP(A144,'Trips&amp;Operators'!$C$1:$E$10000,3,FALSE)</f>
        <v>HELVIE</v>
      </c>
      <c r="M144" s="6">
        <f t="shared" si="80"/>
        <v>3.0925925922929309E-2</v>
      </c>
      <c r="N144" s="7">
        <f t="shared" si="92"/>
        <v>44.533333329018205</v>
      </c>
      <c r="O144" s="7"/>
      <c r="P144" s="7"/>
      <c r="Q144" s="29"/>
      <c r="R144" s="29"/>
      <c r="S144" s="47">
        <f t="shared" si="81"/>
        <v>1</v>
      </c>
      <c r="T144" s="75" t="str">
        <f t="shared" si="82"/>
        <v>NorthBound</v>
      </c>
      <c r="U144" s="114">
        <f>COUNTIFS(Variables!$M$2:$M$19,IF(T144="NorthBound","&gt;=","&lt;=")&amp;Y144,Variables!$M$2:$M$19,IF(T144="NorthBound","&lt;=","&gt;=")&amp;Z144)</f>
        <v>12</v>
      </c>
      <c r="V144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20:49:51-0600',mode:absolute,to:'2016-07-08 21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4" s="80" t="str">
        <f t="shared" si="84"/>
        <v>N</v>
      </c>
      <c r="X144" s="104">
        <f t="shared" si="93"/>
        <v>1</v>
      </c>
      <c r="Y144" s="101">
        <f t="shared" si="85"/>
        <v>4.6399999999999997E-2</v>
      </c>
      <c r="Z144" s="101">
        <f t="shared" si="86"/>
        <v>23.328900000000001</v>
      </c>
      <c r="AA144" s="101">
        <f t="shared" si="87"/>
        <v>23.282500000000002</v>
      </c>
      <c r="AB144" s="98" t="e">
        <f>VLOOKUP(A144,Enforcements!$C$7:$J$27,8,0)</f>
        <v>#N/A</v>
      </c>
      <c r="AC144" s="94" t="e">
        <f>VLOOKUP(A144,Enforcements!$C$7:$E$27,3,0)</f>
        <v>#N/A</v>
      </c>
      <c r="AD144" s="95" t="str">
        <f t="shared" si="88"/>
        <v>0229-08</v>
      </c>
      <c r="AE144" s="81" t="str">
        <f t="shared" si="8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44" s="81" t="str">
        <f t="shared" si="90"/>
        <v>"C:\Program Files (x86)\AstroGrep\AstroGrep.exe" /spath="C:\Users\stu\Documents\Analysis\2016-02-23 RTDC Observations" /stypes="*4014*20160709*" /stext=" 02:.+((prompt.+disp)|(slice.+state.+chan)|(ment ac)|(system.+state.+chan)|(\|lc)|(penalty)|(\[timeout))" /e /r /s</v>
      </c>
      <c r="AG144" s="1" t="str">
        <f t="shared" si="91"/>
        <v>EC</v>
      </c>
    </row>
    <row r="145" spans="1:33" s="27" customFormat="1" x14ac:dyDescent="0.25">
      <c r="A145" s="53" t="s">
        <v>618</v>
      </c>
      <c r="B145" s="7">
        <v>4013</v>
      </c>
      <c r="C145" s="28" t="s">
        <v>60</v>
      </c>
      <c r="D145" s="28" t="s">
        <v>554</v>
      </c>
      <c r="E145" s="17">
        <v>42559.908634259256</v>
      </c>
      <c r="F145" s="17">
        <v>42559.91034722222</v>
      </c>
      <c r="G145" s="7">
        <v>2</v>
      </c>
      <c r="H145" s="17" t="s">
        <v>132</v>
      </c>
      <c r="I145" s="17">
        <v>42559.940300925926</v>
      </c>
      <c r="J145" s="7">
        <v>0</v>
      </c>
      <c r="K145" s="28" t="str">
        <f t="shared" si="79"/>
        <v>4013/4014</v>
      </c>
      <c r="L145" s="28" t="str">
        <f>VLOOKUP(A145,'Trips&amp;Operators'!$C$1:$E$10000,3,FALSE)</f>
        <v>HELVIE</v>
      </c>
      <c r="M145" s="6">
        <f t="shared" si="80"/>
        <v>2.9953703706269152E-2</v>
      </c>
      <c r="N145" s="7">
        <f t="shared" si="92"/>
        <v>43.13333333702758</v>
      </c>
      <c r="O145" s="7"/>
      <c r="P145" s="7"/>
      <c r="Q145" s="29"/>
      <c r="R145" s="29"/>
      <c r="S145" s="47">
        <f t="shared" si="81"/>
        <v>1</v>
      </c>
      <c r="T145" s="75" t="str">
        <f t="shared" si="82"/>
        <v>Southbound</v>
      </c>
      <c r="U145" s="114">
        <f>COUNTIFS(Variables!$M$2:$M$19,IF(T145="NorthBound","&gt;=","&lt;=")&amp;Y145,Variables!$M$2:$M$19,IF(T145="NorthBound","&lt;=","&gt;=")&amp;Z145)</f>
        <v>12</v>
      </c>
      <c r="V145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21:47:26-0600',mode:absolute,to:'2016-07-08 22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5" s="80" t="str">
        <f t="shared" si="84"/>
        <v>N</v>
      </c>
      <c r="X145" s="104">
        <f t="shared" si="93"/>
        <v>1</v>
      </c>
      <c r="Y145" s="101">
        <f t="shared" si="85"/>
        <v>23.296900000000001</v>
      </c>
      <c r="Z145" s="101">
        <f t="shared" si="86"/>
        <v>1.5599999999999999E-2</v>
      </c>
      <c r="AA145" s="101">
        <f t="shared" si="87"/>
        <v>23.281300000000002</v>
      </c>
      <c r="AB145" s="98" t="e">
        <f>VLOOKUP(A145,Enforcements!$C$7:$J$27,8,0)</f>
        <v>#N/A</v>
      </c>
      <c r="AC145" s="94" t="e">
        <f>VLOOKUP(A145,Enforcements!$C$7:$E$27,3,0)</f>
        <v>#N/A</v>
      </c>
      <c r="AD145" s="95" t="str">
        <f t="shared" si="88"/>
        <v>0230-08</v>
      </c>
      <c r="AE145" s="81" t="str">
        <f t="shared" si="8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45" s="81" t="str">
        <f t="shared" si="90"/>
        <v>"C:\Program Files (x86)\AstroGrep\AstroGrep.exe" /spath="C:\Users\stu\Documents\Analysis\2016-02-23 RTDC Observations" /stypes="*4013*20160709*" /stext=" 03:.+((prompt.+disp)|(slice.+state.+chan)|(ment ac)|(system.+state.+chan)|(\|lc)|(penalty)|(\[timeout))" /e /r /s</v>
      </c>
      <c r="AG145" s="1" t="str">
        <f t="shared" si="91"/>
        <v>EC</v>
      </c>
    </row>
    <row r="146" spans="1:33" s="27" customFormat="1" x14ac:dyDescent="0.25">
      <c r="A146" s="53" t="s">
        <v>619</v>
      </c>
      <c r="B146" s="7">
        <v>4011</v>
      </c>
      <c r="C146" s="28" t="s">
        <v>60</v>
      </c>
      <c r="D146" s="28" t="s">
        <v>620</v>
      </c>
      <c r="E146" s="17">
        <v>42559.887627314813</v>
      </c>
      <c r="F146" s="17">
        <v>42559.888344907406</v>
      </c>
      <c r="G146" s="7">
        <v>1</v>
      </c>
      <c r="H146" s="17" t="s">
        <v>435</v>
      </c>
      <c r="I146" s="17">
        <v>42559.920798611114</v>
      </c>
      <c r="J146" s="7">
        <v>0</v>
      </c>
      <c r="K146" s="28" t="str">
        <f t="shared" si="79"/>
        <v>4011/4012</v>
      </c>
      <c r="L146" s="28" t="str">
        <f>VLOOKUP(A146,'Trips&amp;Operators'!$C$1:$E$10000,3,FALSE)</f>
        <v>LEVERE</v>
      </c>
      <c r="M146" s="6">
        <f t="shared" si="80"/>
        <v>3.2453703708597459E-2</v>
      </c>
      <c r="N146" s="7">
        <f t="shared" si="92"/>
        <v>46.733333340380341</v>
      </c>
      <c r="O146" s="7"/>
      <c r="P146" s="7"/>
      <c r="Q146" s="29"/>
      <c r="R146" s="29"/>
      <c r="S146" s="47">
        <f t="shared" si="81"/>
        <v>1</v>
      </c>
      <c r="T146" s="75" t="str">
        <f t="shared" si="82"/>
        <v>NorthBound</v>
      </c>
      <c r="U146" s="114">
        <f>COUNTIFS(Variables!$M$2:$M$19,IF(T146="NorthBound","&gt;=","&lt;=")&amp;Y146,Variables!$M$2:$M$19,IF(T146="NorthBound","&lt;=","&gt;=")&amp;Z146)</f>
        <v>12</v>
      </c>
      <c r="V146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21:17:11-0600',mode:absolute,to:'2016-07-08 22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6" s="80" t="str">
        <f t="shared" si="84"/>
        <v>N</v>
      </c>
      <c r="X146" s="104">
        <f t="shared" si="93"/>
        <v>1</v>
      </c>
      <c r="Y146" s="101">
        <f t="shared" si="85"/>
        <v>4.9099999999999998E-2</v>
      </c>
      <c r="Z146" s="101">
        <f t="shared" si="86"/>
        <v>23.328399999999998</v>
      </c>
      <c r="AA146" s="101">
        <f t="shared" si="87"/>
        <v>23.279299999999999</v>
      </c>
      <c r="AB146" s="98" t="e">
        <f>VLOOKUP(A146,Enforcements!$C$7:$J$27,8,0)</f>
        <v>#N/A</v>
      </c>
      <c r="AC146" s="94" t="e">
        <f>VLOOKUP(A146,Enforcements!$C$7:$E$27,3,0)</f>
        <v>#N/A</v>
      </c>
      <c r="AD146" s="95" t="str">
        <f t="shared" si="88"/>
        <v>0231-08</v>
      </c>
      <c r="AE146" s="81" t="str">
        <f t="shared" si="8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46" s="81" t="str">
        <f t="shared" si="90"/>
        <v>"C:\Program Files (x86)\AstroGrep\AstroGrep.exe" /spath="C:\Users\stu\Documents\Analysis\2016-02-23 RTDC Observations" /stypes="*4011*20160709*" /stext=" 03:.+((prompt.+disp)|(slice.+state.+chan)|(ment ac)|(system.+state.+chan)|(\|lc)|(penalty)|(\[timeout))" /e /r /s</v>
      </c>
      <c r="AG146" s="1" t="str">
        <f t="shared" si="91"/>
        <v>EC</v>
      </c>
    </row>
    <row r="147" spans="1:33" s="27" customFormat="1" x14ac:dyDescent="0.25">
      <c r="A147" s="53" t="s">
        <v>621</v>
      </c>
      <c r="B147" s="7">
        <v>4012</v>
      </c>
      <c r="C147" s="28" t="s">
        <v>60</v>
      </c>
      <c r="D147" s="28" t="s">
        <v>622</v>
      </c>
      <c r="E147" s="17">
        <v>42559.925023148149</v>
      </c>
      <c r="F147" s="17">
        <v>42559.925995370373</v>
      </c>
      <c r="G147" s="7">
        <v>1</v>
      </c>
      <c r="H147" s="17" t="s">
        <v>434</v>
      </c>
      <c r="I147" s="17">
        <v>42559.9612037037</v>
      </c>
      <c r="J147" s="7">
        <v>0</v>
      </c>
      <c r="K147" s="28" t="str">
        <f t="shared" si="79"/>
        <v>4011/4012</v>
      </c>
      <c r="L147" s="28" t="str">
        <f>VLOOKUP(A147,'Trips&amp;Operators'!$C$1:$E$10000,3,FALSE)</f>
        <v>LEVERE</v>
      </c>
      <c r="M147" s="6">
        <f t="shared" si="80"/>
        <v>3.5208333327318542E-2</v>
      </c>
      <c r="N147" s="7">
        <f t="shared" si="92"/>
        <v>50.6999999913387</v>
      </c>
      <c r="O147" s="7"/>
      <c r="P147" s="7"/>
      <c r="Q147" s="29"/>
      <c r="R147" s="29"/>
      <c r="S147" s="47">
        <f t="shared" si="81"/>
        <v>1</v>
      </c>
      <c r="T147" s="75" t="str">
        <f t="shared" si="82"/>
        <v>Southbound</v>
      </c>
      <c r="U147" s="114">
        <f>COUNTIFS(Variables!$M$2:$M$19,IF(T147="NorthBound","&gt;=","&lt;=")&amp;Y147,Variables!$M$2:$M$19,IF(T147="NorthBound","&lt;=","&gt;=")&amp;Z147)</f>
        <v>12</v>
      </c>
      <c r="V147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22:11:02-0600',mode:absolute,to:'2016-07-08 23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7" s="80" t="str">
        <f t="shared" si="84"/>
        <v>N</v>
      </c>
      <c r="X147" s="104">
        <f t="shared" si="93"/>
        <v>1</v>
      </c>
      <c r="Y147" s="101">
        <f t="shared" si="85"/>
        <v>23.295500000000001</v>
      </c>
      <c r="Z147" s="101">
        <f t="shared" si="86"/>
        <v>1.6500000000000001E-2</v>
      </c>
      <c r="AA147" s="101">
        <f t="shared" si="87"/>
        <v>23.279</v>
      </c>
      <c r="AB147" s="98" t="e">
        <f>VLOOKUP(A147,Enforcements!$C$7:$J$27,8,0)</f>
        <v>#N/A</v>
      </c>
      <c r="AC147" s="94" t="e">
        <f>VLOOKUP(A147,Enforcements!$C$7:$E$27,3,0)</f>
        <v>#N/A</v>
      </c>
      <c r="AD147" s="95" t="str">
        <f t="shared" si="88"/>
        <v>0232-08</v>
      </c>
      <c r="AE147" s="81" t="str">
        <f t="shared" si="8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47" s="81" t="str">
        <f t="shared" si="90"/>
        <v>"C:\Program Files (x86)\AstroGrep\AstroGrep.exe" /spath="C:\Users\stu\Documents\Analysis\2016-02-23 RTDC Observations" /stypes="*4012*20160709*" /stext=" 04:.+((prompt.+disp)|(slice.+state.+chan)|(ment ac)|(system.+state.+chan)|(\|lc)|(penalty)|(\[timeout))" /e /r /s</v>
      </c>
      <c r="AG147" s="1" t="str">
        <f t="shared" si="91"/>
        <v>EC</v>
      </c>
    </row>
    <row r="148" spans="1:33" s="27" customFormat="1" x14ac:dyDescent="0.25">
      <c r="A148" s="53" t="s">
        <v>600</v>
      </c>
      <c r="B148" s="7">
        <v>4020</v>
      </c>
      <c r="C148" s="28" t="s">
        <v>60</v>
      </c>
      <c r="D148" s="28" t="s">
        <v>202</v>
      </c>
      <c r="E148" s="17">
        <v>42559.913703703707</v>
      </c>
      <c r="F148" s="17">
        <v>42559.914664351854</v>
      </c>
      <c r="G148" s="7">
        <v>1</v>
      </c>
      <c r="H148" s="17" t="s">
        <v>623</v>
      </c>
      <c r="I148" s="17">
        <v>42559.941782407404</v>
      </c>
      <c r="J148" s="7">
        <v>1</v>
      </c>
      <c r="K148" s="28" t="str">
        <f t="shared" si="79"/>
        <v>4019/4020</v>
      </c>
      <c r="L148" s="28" t="str">
        <f>VLOOKUP(A148,'Trips&amp;Operators'!$C$1:$E$10000,3,FALSE)</f>
        <v>BRUDER</v>
      </c>
      <c r="M148" s="6">
        <f t="shared" si="80"/>
        <v>2.7118055550090503E-2</v>
      </c>
      <c r="N148" s="7">
        <f t="shared" si="92"/>
        <v>39.049999992130324</v>
      </c>
      <c r="O148" s="7"/>
      <c r="P148" s="7"/>
      <c r="Q148" s="29"/>
      <c r="R148" s="29"/>
      <c r="S148" s="47">
        <f t="shared" si="81"/>
        <v>1</v>
      </c>
      <c r="T148" s="75" t="str">
        <f t="shared" si="82"/>
        <v>NorthBound</v>
      </c>
      <c r="U148" s="114">
        <f>COUNTIFS(Variables!$M$2:$M$19,IF(T148="NorthBound","&gt;=","&lt;=")&amp;Y148,Variables!$M$2:$M$19,IF(T148="NorthBound","&lt;=","&gt;=")&amp;Z148)</f>
        <v>12</v>
      </c>
      <c r="V148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21:54:44-0600',mode:absolute,to:'2016-07-08 22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8" s="80" t="str">
        <f t="shared" si="84"/>
        <v>N</v>
      </c>
      <c r="X148" s="104">
        <f t="shared" si="93"/>
        <v>1</v>
      </c>
      <c r="Y148" s="101">
        <f t="shared" si="85"/>
        <v>4.82E-2</v>
      </c>
      <c r="Z148" s="101">
        <f t="shared" si="86"/>
        <v>23.331399999999999</v>
      </c>
      <c r="AA148" s="101">
        <f t="shared" si="87"/>
        <v>23.283199999999997</v>
      </c>
      <c r="AB148" s="98" t="e">
        <f>VLOOKUP(A148,Enforcements!$C$7:$J$27,8,0)</f>
        <v>#N/A</v>
      </c>
      <c r="AC148" s="94" t="e">
        <f>VLOOKUP(A148,Enforcements!$C$7:$E$27,3,0)</f>
        <v>#N/A</v>
      </c>
      <c r="AD148" s="95" t="str">
        <f t="shared" si="88"/>
        <v>0233-08</v>
      </c>
      <c r="AE148" s="81" t="str">
        <f t="shared" si="89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48" s="81" t="str">
        <f t="shared" si="90"/>
        <v>"C:\Program Files (x86)\AstroGrep\AstroGrep.exe" /spath="C:\Users\stu\Documents\Analysis\2016-02-23 RTDC Observations" /stypes="*4020*20160709*" /stext=" 03:.+((prompt.+disp)|(slice.+state.+chan)|(ment ac)|(system.+state.+chan)|(\|lc)|(penalty)|(\[timeout))" /e /r /s</v>
      </c>
      <c r="AG148" s="1" t="str">
        <f t="shared" si="91"/>
        <v>EC</v>
      </c>
    </row>
    <row r="149" spans="1:33" s="27" customFormat="1" x14ac:dyDescent="0.25">
      <c r="A149" s="53" t="s">
        <v>624</v>
      </c>
      <c r="B149" s="7">
        <v>4019</v>
      </c>
      <c r="C149" s="28" t="s">
        <v>60</v>
      </c>
      <c r="D149" s="28" t="s">
        <v>436</v>
      </c>
      <c r="E149" s="17">
        <v>42559.952627314815</v>
      </c>
      <c r="F149" s="17">
        <v>42559.953472222223</v>
      </c>
      <c r="G149" s="7">
        <v>1</v>
      </c>
      <c r="H149" s="17" t="s">
        <v>61</v>
      </c>
      <c r="I149" s="17">
        <v>42559.981921296298</v>
      </c>
      <c r="J149" s="7">
        <v>0</v>
      </c>
      <c r="K149" s="28" t="str">
        <f t="shared" si="79"/>
        <v>4019/4020</v>
      </c>
      <c r="L149" s="28" t="str">
        <f>VLOOKUP(A149,'Trips&amp;Operators'!$C$1:$E$10000,3,FALSE)</f>
        <v>BRUDER</v>
      </c>
      <c r="M149" s="6">
        <f t="shared" si="80"/>
        <v>2.8449074074160308E-2</v>
      </c>
      <c r="N149" s="7">
        <f t="shared" si="92"/>
        <v>40.966666666790843</v>
      </c>
      <c r="O149" s="7"/>
      <c r="P149" s="7"/>
      <c r="Q149" s="29"/>
      <c r="R149" s="29"/>
      <c r="S149" s="47">
        <f t="shared" si="81"/>
        <v>1</v>
      </c>
      <c r="T149" s="75" t="str">
        <f t="shared" si="82"/>
        <v>Southbound</v>
      </c>
      <c r="U149" s="114">
        <f>COUNTIFS(Variables!$M$2:$M$19,IF(T149="NorthBound","&gt;=","&lt;=")&amp;Y149,Variables!$M$2:$M$19,IF(T149="NorthBound","&lt;=","&gt;=")&amp;Z149)</f>
        <v>12</v>
      </c>
      <c r="V149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22:50:47-0600',mode:absolute,to:'2016-07-08 23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9" s="80" t="str">
        <f t="shared" si="84"/>
        <v>N</v>
      </c>
      <c r="X149" s="104">
        <f t="shared" si="93"/>
        <v>1</v>
      </c>
      <c r="Y149" s="101">
        <f t="shared" si="85"/>
        <v>23.2959</v>
      </c>
      <c r="Z149" s="101">
        <f t="shared" si="86"/>
        <v>1.4500000000000001E-2</v>
      </c>
      <c r="AA149" s="101">
        <f t="shared" si="87"/>
        <v>23.281399999999998</v>
      </c>
      <c r="AB149" s="98" t="e">
        <f>VLOOKUP(A149,Enforcements!$C$7:$J$27,8,0)</f>
        <v>#N/A</v>
      </c>
      <c r="AC149" s="94" t="e">
        <f>VLOOKUP(A149,Enforcements!$C$7:$E$27,3,0)</f>
        <v>#N/A</v>
      </c>
      <c r="AD149" s="95" t="str">
        <f t="shared" si="88"/>
        <v>0234-08</v>
      </c>
      <c r="AE149" s="81" t="str">
        <f t="shared" si="89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49" s="81" t="str">
        <f t="shared" si="90"/>
        <v>"C:\Program Files (x86)\AstroGrep\AstroGrep.exe" /spath="C:\Users\stu\Documents\Analysis\2016-02-23 RTDC Observations" /stypes="*4019*20160709*" /stext=" 04:.+((prompt.+disp)|(slice.+state.+chan)|(ment ac)|(system.+state.+chan)|(\|lc)|(penalty)|(\[timeout))" /e /r /s</v>
      </c>
      <c r="AG149" s="1" t="str">
        <f t="shared" si="91"/>
        <v>EC</v>
      </c>
    </row>
    <row r="150" spans="1:33" s="27" customFormat="1" x14ac:dyDescent="0.25">
      <c r="A150" s="53" t="s">
        <v>601</v>
      </c>
      <c r="B150" s="7">
        <v>4044</v>
      </c>
      <c r="C150" s="28" t="s">
        <v>60</v>
      </c>
      <c r="D150" s="28" t="s">
        <v>192</v>
      </c>
      <c r="E150" s="17">
        <v>42559.933506944442</v>
      </c>
      <c r="F150" s="17">
        <v>42559.934594907405</v>
      </c>
      <c r="G150" s="7">
        <v>1</v>
      </c>
      <c r="H150" s="17" t="s">
        <v>558</v>
      </c>
      <c r="I150" s="17">
        <v>42559.961909722224</v>
      </c>
      <c r="J150" s="7">
        <v>0</v>
      </c>
      <c r="K150" s="28" t="str">
        <f t="shared" si="79"/>
        <v>4043/4044</v>
      </c>
      <c r="L150" s="28" t="str">
        <f>VLOOKUP(A150,'Trips&amp;Operators'!$C$1:$E$10000,3,FALSE)</f>
        <v>GRASTON</v>
      </c>
      <c r="M150" s="6">
        <f t="shared" si="80"/>
        <v>2.7314814818964805E-2</v>
      </c>
      <c r="N150" s="7">
        <f t="shared" si="92"/>
        <v>39.33333333930932</v>
      </c>
      <c r="O150" s="7"/>
      <c r="P150" s="7"/>
      <c r="Q150" s="29"/>
      <c r="R150" s="29"/>
      <c r="S150" s="47">
        <f t="shared" si="81"/>
        <v>1</v>
      </c>
      <c r="T150" s="75" t="str">
        <f t="shared" si="82"/>
        <v>NorthBound</v>
      </c>
      <c r="U150" s="114">
        <f>COUNTIFS(Variables!$M$2:$M$19,IF(T150="NorthBound","&gt;=","&lt;=")&amp;Y150,Variables!$M$2:$M$19,IF(T150="NorthBound","&lt;=","&gt;=")&amp;Z150)</f>
        <v>12</v>
      </c>
      <c r="V150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22:23:15-0600',mode:absolute,to:'2016-07-08 23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0" s="80" t="str">
        <f t="shared" si="84"/>
        <v>N</v>
      </c>
      <c r="X150" s="104">
        <f t="shared" si="93"/>
        <v>1</v>
      </c>
      <c r="Y150" s="101">
        <f t="shared" si="85"/>
        <v>4.58E-2</v>
      </c>
      <c r="Z150" s="101">
        <f t="shared" si="86"/>
        <v>23.329699999999999</v>
      </c>
      <c r="AA150" s="101">
        <f t="shared" si="87"/>
        <v>23.283899999999999</v>
      </c>
      <c r="AB150" s="98" t="e">
        <f>VLOOKUP(A150,Enforcements!$C$7:$J$27,8,0)</f>
        <v>#N/A</v>
      </c>
      <c r="AC150" s="94" t="e">
        <f>VLOOKUP(A150,Enforcements!$C$7:$E$27,3,0)</f>
        <v>#N/A</v>
      </c>
      <c r="AD150" s="95" t="str">
        <f t="shared" si="88"/>
        <v>0235-08</v>
      </c>
      <c r="AE150" s="81" t="str">
        <f t="shared" si="8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50" s="81" t="str">
        <f t="shared" si="90"/>
        <v>"C:\Program Files (x86)\AstroGrep\AstroGrep.exe" /spath="C:\Users\stu\Documents\Analysis\2016-02-23 RTDC Observations" /stypes="*4044*20160709*" /stext=" 04:.+((prompt.+disp)|(slice.+state.+chan)|(ment ac)|(system.+state.+chan)|(\|lc)|(penalty)|(\[timeout))" /e /r /s</v>
      </c>
      <c r="AG150" s="1" t="str">
        <f t="shared" si="91"/>
        <v>EC</v>
      </c>
    </row>
    <row r="151" spans="1:33" s="27" customFormat="1" x14ac:dyDescent="0.25">
      <c r="A151" s="53" t="s">
        <v>603</v>
      </c>
      <c r="B151" s="7">
        <v>4043</v>
      </c>
      <c r="C151" s="28" t="s">
        <v>60</v>
      </c>
      <c r="D151" s="28" t="s">
        <v>625</v>
      </c>
      <c r="E151" s="17">
        <v>42559.973067129627</v>
      </c>
      <c r="F151" s="17">
        <v>42559.973773148151</v>
      </c>
      <c r="G151" s="7">
        <v>1</v>
      </c>
      <c r="H151" s="17" t="s">
        <v>612</v>
      </c>
      <c r="I151" s="17">
        <v>42560.002129629633</v>
      </c>
      <c r="J151" s="7">
        <v>1</v>
      </c>
      <c r="K151" s="28" t="str">
        <f t="shared" si="79"/>
        <v>4043/4044</v>
      </c>
      <c r="L151" s="28" t="str">
        <f>VLOOKUP(A151,'Trips&amp;Operators'!$C$1:$E$10000,3,FALSE)</f>
        <v>GRASTON</v>
      </c>
      <c r="M151" s="6">
        <f t="shared" si="80"/>
        <v>2.8356481481750961E-2</v>
      </c>
      <c r="N151" s="7">
        <f t="shared" si="92"/>
        <v>40.833333333721384</v>
      </c>
      <c r="O151" s="7"/>
      <c r="P151" s="7"/>
      <c r="Q151" s="29"/>
      <c r="R151" s="29"/>
      <c r="S151" s="47">
        <f t="shared" si="81"/>
        <v>1</v>
      </c>
      <c r="T151" s="75" t="str">
        <f t="shared" si="82"/>
        <v>Southbound</v>
      </c>
      <c r="U151" s="114">
        <f>COUNTIFS(Variables!$M$2:$M$19,IF(T151="NorthBound","&gt;=","&lt;=")&amp;Y151,Variables!$M$2:$M$19,IF(T151="NorthBound","&lt;=","&gt;=")&amp;Z151)</f>
        <v>12</v>
      </c>
      <c r="V151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23:20:13-0600',mode:absolute,to:'2016-07-09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1" s="80" t="str">
        <f t="shared" si="84"/>
        <v>N</v>
      </c>
      <c r="X151" s="104">
        <f t="shared" si="93"/>
        <v>1</v>
      </c>
      <c r="Y151" s="101">
        <f t="shared" si="85"/>
        <v>23.298200000000001</v>
      </c>
      <c r="Z151" s="101">
        <f t="shared" si="86"/>
        <v>1.47E-2</v>
      </c>
      <c r="AA151" s="101">
        <f t="shared" si="87"/>
        <v>23.2835</v>
      </c>
      <c r="AB151" s="98" t="e">
        <f>VLOOKUP(A151,Enforcements!$C$7:$J$27,8,0)</f>
        <v>#N/A</v>
      </c>
      <c r="AC151" s="94" t="e">
        <f>VLOOKUP(A151,Enforcements!$C$7:$E$27,3,0)</f>
        <v>#N/A</v>
      </c>
      <c r="AD151" s="95" t="str">
        <f t="shared" si="88"/>
        <v>0236-08</v>
      </c>
      <c r="AE151" s="81" t="str">
        <f t="shared" si="8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51" s="81" t="str">
        <f t="shared" si="90"/>
        <v>"C:\Program Files (x86)\AstroGrep\AstroGrep.exe" /spath="C:\Users\stu\Documents\Analysis\2016-02-23 RTDC Observations" /stypes="*4043*20160709*" /stext=" 05:.+((prompt.+disp)|(slice.+state.+chan)|(ment ac)|(system.+state.+chan)|(\|lc)|(penalty)|(\[timeout))" /e /r /s</v>
      </c>
      <c r="AG151" s="1" t="str">
        <f t="shared" si="91"/>
        <v>EC</v>
      </c>
    </row>
    <row r="152" spans="1:33" s="27" customFormat="1" x14ac:dyDescent="0.25">
      <c r="A152" s="53" t="s">
        <v>602</v>
      </c>
      <c r="B152" s="7">
        <v>4014</v>
      </c>
      <c r="C152" s="28" t="s">
        <v>60</v>
      </c>
      <c r="D152" s="28" t="s">
        <v>451</v>
      </c>
      <c r="E152" s="17">
        <v>42559.951493055552</v>
      </c>
      <c r="F152" s="17">
        <v>42559.952488425923</v>
      </c>
      <c r="G152" s="7">
        <v>1</v>
      </c>
      <c r="H152" s="17" t="s">
        <v>626</v>
      </c>
      <c r="I152" s="17">
        <v>42559.984131944446</v>
      </c>
      <c r="J152" s="7">
        <v>1</v>
      </c>
      <c r="K152" s="28" t="str">
        <f t="shared" si="79"/>
        <v>4013/4014</v>
      </c>
      <c r="L152" s="28" t="str">
        <f>VLOOKUP(A152,'Trips&amp;Operators'!$C$1:$E$10000,3,FALSE)</f>
        <v>HELVIE</v>
      </c>
      <c r="M152" s="6">
        <f t="shared" si="80"/>
        <v>3.164351852319669E-2</v>
      </c>
      <c r="N152" s="7">
        <f t="shared" si="92"/>
        <v>45.566666673403233</v>
      </c>
      <c r="O152" s="7"/>
      <c r="P152" s="7"/>
      <c r="Q152" s="29"/>
      <c r="R152" s="29"/>
      <c r="S152" s="47">
        <f t="shared" si="81"/>
        <v>1</v>
      </c>
      <c r="T152" s="75" t="str">
        <f t="shared" si="82"/>
        <v>NorthBound</v>
      </c>
      <c r="U152" s="114">
        <f>COUNTIFS(Variables!$M$2:$M$19,IF(T152="NorthBound","&gt;=","&lt;=")&amp;Y152,Variables!$M$2:$M$19,IF(T152="NorthBound","&lt;=","&gt;=")&amp;Z152)</f>
        <v>12</v>
      </c>
      <c r="V152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22:49:09-0600',mode:absolute,to:'2016-07-08 23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2" s="80" t="str">
        <f t="shared" si="84"/>
        <v>N</v>
      </c>
      <c r="X152" s="104">
        <f t="shared" si="93"/>
        <v>1</v>
      </c>
      <c r="Y152" s="101">
        <f t="shared" si="85"/>
        <v>4.6899999999999997E-2</v>
      </c>
      <c r="Z152" s="101">
        <f t="shared" si="86"/>
        <v>23.327200000000001</v>
      </c>
      <c r="AA152" s="101">
        <f t="shared" si="87"/>
        <v>23.2803</v>
      </c>
      <c r="AB152" s="98" t="e">
        <f>VLOOKUP(A152,Enforcements!$C$7:$J$27,8,0)</f>
        <v>#N/A</v>
      </c>
      <c r="AC152" s="94" t="e">
        <f>VLOOKUP(A152,Enforcements!$C$7:$E$27,3,0)</f>
        <v>#N/A</v>
      </c>
      <c r="AD152" s="95" t="str">
        <f t="shared" si="88"/>
        <v>0237-08</v>
      </c>
      <c r="AE152" s="81" t="str">
        <f t="shared" si="8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52" s="81" t="str">
        <f t="shared" si="90"/>
        <v>"C:\Program Files (x86)\AstroGrep\AstroGrep.exe" /spath="C:\Users\stu\Documents\Analysis\2016-02-23 RTDC Observations" /stypes="*4014*20160709*" /stext=" 04:.+((prompt.+disp)|(slice.+state.+chan)|(ment ac)|(system.+state.+chan)|(\|lc)|(penalty)|(\[timeout))" /e /r /s</v>
      </c>
      <c r="AG152" s="1" t="str">
        <f t="shared" si="91"/>
        <v>EC</v>
      </c>
    </row>
    <row r="153" spans="1:33" s="27" customFormat="1" x14ac:dyDescent="0.25">
      <c r="A153" s="53" t="s">
        <v>627</v>
      </c>
      <c r="B153" s="7">
        <v>4013</v>
      </c>
      <c r="C153" s="28" t="s">
        <v>60</v>
      </c>
      <c r="D153" s="28" t="s">
        <v>628</v>
      </c>
      <c r="E153" s="17">
        <v>42559.993252314816</v>
      </c>
      <c r="F153" s="17">
        <v>42559.99391203704</v>
      </c>
      <c r="G153" s="7">
        <v>0</v>
      </c>
      <c r="H153" s="17" t="s">
        <v>248</v>
      </c>
      <c r="I153" s="17">
        <v>42560.0237037037</v>
      </c>
      <c r="J153" s="7">
        <v>0</v>
      </c>
      <c r="K153" s="28" t="str">
        <f t="shared" si="79"/>
        <v>4013/4014</v>
      </c>
      <c r="L153" s="28" t="str">
        <f>VLOOKUP(A153,'Trips&amp;Operators'!$C$1:$E$10000,3,FALSE)</f>
        <v>HELVIE</v>
      </c>
      <c r="M153" s="6">
        <f t="shared" si="80"/>
        <v>2.979166666045785E-2</v>
      </c>
      <c r="N153" s="7">
        <f t="shared" si="92"/>
        <v>42.899999991059303</v>
      </c>
      <c r="O153" s="7"/>
      <c r="P153" s="7"/>
      <c r="Q153" s="29"/>
      <c r="R153" s="29"/>
      <c r="S153" s="47">
        <f t="shared" si="81"/>
        <v>1</v>
      </c>
      <c r="T153" s="75" t="str">
        <f t="shared" si="82"/>
        <v>Southbound</v>
      </c>
      <c r="U153" s="114">
        <f>COUNTIFS(Variables!$M$2:$M$19,IF(T153="NorthBound","&gt;=","&lt;=")&amp;Y153,Variables!$M$2:$M$19,IF(T153="NorthBound","&lt;=","&gt;=")&amp;Z153)</f>
        <v>12</v>
      </c>
      <c r="V153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23:49:17-0600',mode:absolute,to:'2016-07-09 00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3" s="80" t="str">
        <f t="shared" si="84"/>
        <v>N</v>
      </c>
      <c r="X153" s="104">
        <f t="shared" si="93"/>
        <v>1</v>
      </c>
      <c r="Y153" s="101">
        <f t="shared" si="85"/>
        <v>23.293399999999998</v>
      </c>
      <c r="Z153" s="101">
        <f t="shared" si="86"/>
        <v>1.6E-2</v>
      </c>
      <c r="AA153" s="101">
        <f t="shared" si="87"/>
        <v>23.2774</v>
      </c>
      <c r="AB153" s="98" t="e">
        <f>VLOOKUP(A153,Enforcements!$C$7:$J$27,8,0)</f>
        <v>#N/A</v>
      </c>
      <c r="AC153" s="94" t="e">
        <f>VLOOKUP(A153,Enforcements!$C$7:$E$27,3,0)</f>
        <v>#N/A</v>
      </c>
      <c r="AD153" s="95" t="str">
        <f t="shared" si="88"/>
        <v>0238-08</v>
      </c>
      <c r="AE153" s="81" t="str">
        <f t="shared" si="8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53" s="81" t="str">
        <f t="shared" si="90"/>
        <v>"C:\Program Files (x86)\AstroGrep\AstroGrep.exe" /spath="C:\Users\stu\Documents\Analysis\2016-02-23 RTDC Observations" /stypes="*4013*20160709*" /stext=" 05:.+((prompt.+disp)|(slice.+state.+chan)|(ment ac)|(system.+state.+chan)|(\|lc)|(penalty)|(\[timeout))" /e /r /s</v>
      </c>
      <c r="AG153" s="1" t="str">
        <f t="shared" si="91"/>
        <v>EC</v>
      </c>
    </row>
    <row r="154" spans="1:33" s="27" customFormat="1" x14ac:dyDescent="0.25">
      <c r="A154" s="53" t="s">
        <v>629</v>
      </c>
      <c r="B154" s="7">
        <v>4011</v>
      </c>
      <c r="C154" s="28" t="s">
        <v>60</v>
      </c>
      <c r="D154" s="28" t="s">
        <v>630</v>
      </c>
      <c r="E154" s="17">
        <v>42559.968831018516</v>
      </c>
      <c r="F154" s="17">
        <v>42559.969594907408</v>
      </c>
      <c r="G154" s="7">
        <v>1</v>
      </c>
      <c r="H154" s="17" t="s">
        <v>266</v>
      </c>
      <c r="I154" s="17">
        <v>42560.004143518519</v>
      </c>
      <c r="J154" s="7">
        <v>0</v>
      </c>
      <c r="K154" s="28" t="str">
        <f t="shared" si="79"/>
        <v>4011/4012</v>
      </c>
      <c r="L154" s="28" t="str">
        <f>VLOOKUP(A154,'Trips&amp;Operators'!$C$1:$E$10000,3,FALSE)</f>
        <v>LEVERE</v>
      </c>
      <c r="M154" s="6">
        <f t="shared" si="80"/>
        <v>3.4548611110949423E-2</v>
      </c>
      <c r="N154" s="7">
        <f t="shared" si="92"/>
        <v>49.749999999767169</v>
      </c>
      <c r="O154" s="7"/>
      <c r="P154" s="7"/>
      <c r="Q154" s="29"/>
      <c r="R154" s="29"/>
      <c r="S154" s="47">
        <f t="shared" si="81"/>
        <v>1</v>
      </c>
      <c r="T154" s="75" t="str">
        <f t="shared" si="82"/>
        <v>NorthBound</v>
      </c>
      <c r="U154" s="114">
        <f>COUNTIFS(Variables!$M$2:$M$19,IF(T154="NorthBound","&gt;=","&lt;=")&amp;Y154,Variables!$M$2:$M$19,IF(T154="NorthBound","&lt;=","&gt;=")&amp;Z154)</f>
        <v>12</v>
      </c>
      <c r="V154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23:14:07-0600',mode:absolute,to:'2016-07-09 00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4" s="80" t="str">
        <f t="shared" si="84"/>
        <v>N</v>
      </c>
      <c r="X154" s="104">
        <f t="shared" si="93"/>
        <v>1</v>
      </c>
      <c r="Y154" s="101">
        <f t="shared" si="85"/>
        <v>4.8599999999999997E-2</v>
      </c>
      <c r="Z154" s="101">
        <f t="shared" si="86"/>
        <v>23.3278</v>
      </c>
      <c r="AA154" s="101">
        <f t="shared" si="87"/>
        <v>23.279199999999999</v>
      </c>
      <c r="AB154" s="98" t="e">
        <f>VLOOKUP(A154,Enforcements!$C$7:$J$27,8,0)</f>
        <v>#N/A</v>
      </c>
      <c r="AC154" s="94" t="e">
        <f>VLOOKUP(A154,Enforcements!$C$7:$E$27,3,0)</f>
        <v>#N/A</v>
      </c>
      <c r="AD154" s="95" t="str">
        <f t="shared" si="88"/>
        <v>0239-08</v>
      </c>
      <c r="AE154" s="81" t="str">
        <f t="shared" si="8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54" s="81" t="str">
        <f t="shared" si="90"/>
        <v>"C:\Program Files (x86)\AstroGrep\AstroGrep.exe" /spath="C:\Users\stu\Documents\Analysis\2016-02-23 RTDC Observations" /stypes="*4011*20160709*" /stext=" 05:.+((prompt.+disp)|(slice.+state.+chan)|(ment ac)|(system.+state.+chan)|(\|lc)|(penalty)|(\[timeout))" /e /r /s</v>
      </c>
      <c r="AG154" s="1" t="str">
        <f t="shared" si="91"/>
        <v>EC</v>
      </c>
    </row>
    <row r="155" spans="1:33" s="27" customFormat="1" x14ac:dyDescent="0.25">
      <c r="A155" s="53" t="s">
        <v>631</v>
      </c>
      <c r="B155" s="7">
        <v>4012</v>
      </c>
      <c r="C155" s="28" t="s">
        <v>60</v>
      </c>
      <c r="D155" s="28" t="s">
        <v>436</v>
      </c>
      <c r="E155" s="17">
        <v>42560.010960648149</v>
      </c>
      <c r="F155" s="17">
        <v>42560.011944444443</v>
      </c>
      <c r="G155" s="7">
        <v>1</v>
      </c>
      <c r="H155" s="17" t="s">
        <v>552</v>
      </c>
      <c r="I155" s="17">
        <v>42560.045555555553</v>
      </c>
      <c r="J155" s="7">
        <v>0</v>
      </c>
      <c r="K155" s="28" t="str">
        <f t="shared" si="79"/>
        <v>4011/4012</v>
      </c>
      <c r="L155" s="28" t="str">
        <f>VLOOKUP(A155,'Trips&amp;Operators'!$C$1:$E$10000,3,FALSE)</f>
        <v>LEVERE</v>
      </c>
      <c r="M155" s="6">
        <f t="shared" si="80"/>
        <v>3.3611111110076308E-2</v>
      </c>
      <c r="N155" s="7">
        <f t="shared" si="92"/>
        <v>48.399999998509884</v>
      </c>
      <c r="O155" s="7"/>
      <c r="P155" s="7"/>
      <c r="Q155" s="29"/>
      <c r="R155" s="29"/>
      <c r="S155" s="47">
        <f t="shared" si="81"/>
        <v>1</v>
      </c>
      <c r="T155" s="75" t="str">
        <f t="shared" si="82"/>
        <v>Southbound</v>
      </c>
      <c r="U155" s="114">
        <f>COUNTIFS(Variables!$M$2:$M$19,IF(T155="NorthBound","&gt;=","&lt;=")&amp;Y155,Variables!$M$2:$M$19,IF(T155="NorthBound","&lt;=","&gt;=")&amp;Z155)</f>
        <v>12</v>
      </c>
      <c r="V155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00:14:47-0600',mode:absolute,to:'2016-07-09 01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5" s="80" t="str">
        <f t="shared" si="84"/>
        <v>N</v>
      </c>
      <c r="X155" s="104">
        <f t="shared" si="93"/>
        <v>1</v>
      </c>
      <c r="Y155" s="101">
        <f t="shared" si="85"/>
        <v>23.2959</v>
      </c>
      <c r="Z155" s="101">
        <f t="shared" si="86"/>
        <v>4.3099999999999999E-2</v>
      </c>
      <c r="AA155" s="101">
        <f t="shared" si="87"/>
        <v>23.252800000000001</v>
      </c>
      <c r="AB155" s="98" t="e">
        <f>VLOOKUP(A155,Enforcements!$C$7:$J$27,8,0)</f>
        <v>#N/A</v>
      </c>
      <c r="AC155" s="94" t="e">
        <f>VLOOKUP(A155,Enforcements!$C$7:$E$27,3,0)</f>
        <v>#N/A</v>
      </c>
      <c r="AD155" s="95" t="str">
        <f t="shared" si="88"/>
        <v>0240-08</v>
      </c>
      <c r="AE155" s="81" t="str">
        <f t="shared" si="89"/>
        <v>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 &amp; 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</v>
      </c>
      <c r="AF155" s="81" t="str">
        <f t="shared" si="90"/>
        <v>"C:\Program Files (x86)\AstroGrep\AstroGrep.exe" /spath="C:\Users\stu\Documents\Analysis\2016-02-23 RTDC Observations" /stypes="*4012*20160709*" /stext=" 06:.+((prompt.+disp)|(slice.+state.+chan)|(ment ac)|(system.+state.+chan)|(\|lc)|(penalty)|(\[timeout))" /e /r /s</v>
      </c>
      <c r="AG155" s="1" t="str">
        <f t="shared" si="91"/>
        <v>EC</v>
      </c>
    </row>
    <row r="156" spans="1:33" s="27" customFormat="1" x14ac:dyDescent="0.25">
      <c r="A156" s="53" t="s">
        <v>632</v>
      </c>
      <c r="B156" s="7">
        <v>4020</v>
      </c>
      <c r="C156" s="28" t="s">
        <v>60</v>
      </c>
      <c r="D156" s="28" t="s">
        <v>192</v>
      </c>
      <c r="E156" s="17">
        <v>42559.996574074074</v>
      </c>
      <c r="F156" s="17">
        <v>42559.997569444444</v>
      </c>
      <c r="G156" s="7">
        <v>1</v>
      </c>
      <c r="H156" s="17" t="s">
        <v>633</v>
      </c>
      <c r="I156" s="17">
        <v>42560.024872685186</v>
      </c>
      <c r="J156" s="7">
        <v>0</v>
      </c>
      <c r="K156" s="28" t="str">
        <f t="shared" si="79"/>
        <v>4019/4020</v>
      </c>
      <c r="L156" s="28" t="str">
        <f>VLOOKUP(A156,'Trips&amp;Operators'!$C$1:$E$10000,3,FALSE)</f>
        <v>BRUDER</v>
      </c>
      <c r="M156" s="6">
        <f t="shared" si="80"/>
        <v>2.7303240742185153E-2</v>
      </c>
      <c r="N156" s="7">
        <f t="shared" si="92"/>
        <v>39.31666666874662</v>
      </c>
      <c r="O156" s="7"/>
      <c r="P156" s="7"/>
      <c r="Q156" s="29"/>
      <c r="R156" s="29"/>
      <c r="S156" s="47">
        <f t="shared" si="81"/>
        <v>1</v>
      </c>
      <c r="T156" s="75" t="str">
        <f t="shared" si="82"/>
        <v>NorthBound</v>
      </c>
      <c r="U156" s="114">
        <f>COUNTIFS(Variables!$M$2:$M$19,IF(T156="NorthBound","&gt;=","&lt;=")&amp;Y156,Variables!$M$2:$M$19,IF(T156="NorthBound","&lt;=","&gt;=")&amp;Z156)</f>
        <v>12</v>
      </c>
      <c r="V156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23:54:04-0600',mode:absolute,to:'2016-07-09 00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6" s="80" t="str">
        <f t="shared" si="84"/>
        <v>N</v>
      </c>
      <c r="X156" s="104">
        <f t="shared" si="93"/>
        <v>1</v>
      </c>
      <c r="Y156" s="101">
        <f t="shared" si="85"/>
        <v>4.58E-2</v>
      </c>
      <c r="Z156" s="101">
        <f t="shared" si="86"/>
        <v>23.328800000000001</v>
      </c>
      <c r="AA156" s="101">
        <f t="shared" si="87"/>
        <v>23.283000000000001</v>
      </c>
      <c r="AB156" s="98" t="e">
        <f>VLOOKUP(A156,Enforcements!$C$7:$J$27,8,0)</f>
        <v>#N/A</v>
      </c>
      <c r="AC156" s="94" t="e">
        <f>VLOOKUP(A156,Enforcements!$C$7:$E$27,3,0)</f>
        <v>#N/A</v>
      </c>
      <c r="AD156" s="95" t="str">
        <f t="shared" si="88"/>
        <v>0241-08</v>
      </c>
      <c r="AE156" s="81" t="str">
        <f t="shared" si="89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56" s="81" t="str">
        <f t="shared" si="90"/>
        <v>"C:\Program Files (x86)\AstroGrep\AstroGrep.exe" /spath="C:\Users\stu\Documents\Analysis\2016-02-23 RTDC Observations" /stypes="*4020*20160709*" /stext=" 05:.+((prompt.+disp)|(slice.+state.+chan)|(ment ac)|(system.+state.+chan)|(\|lc)|(penalty)|(\[timeout))" /e /r /s</v>
      </c>
      <c r="AG156" s="1" t="str">
        <f t="shared" si="91"/>
        <v>EC</v>
      </c>
    </row>
    <row r="157" spans="1:33" s="27" customFormat="1" x14ac:dyDescent="0.25">
      <c r="A157" s="53" t="s">
        <v>604</v>
      </c>
      <c r="B157" s="7">
        <v>4019</v>
      </c>
      <c r="C157" s="28" t="s">
        <v>60</v>
      </c>
      <c r="D157" s="28" t="s">
        <v>431</v>
      </c>
      <c r="E157" s="17">
        <v>42560.03570601852</v>
      </c>
      <c r="F157" s="17">
        <v>42560.036932870367</v>
      </c>
      <c r="G157" s="7">
        <v>1</v>
      </c>
      <c r="H157" s="17" t="s">
        <v>544</v>
      </c>
      <c r="I157" s="17">
        <v>42560.064467592594</v>
      </c>
      <c r="J157" s="7">
        <v>1</v>
      </c>
      <c r="K157" s="28" t="str">
        <f t="shared" si="79"/>
        <v>4019/4020</v>
      </c>
      <c r="L157" s="28" t="str">
        <f>VLOOKUP(A157,'Trips&amp;Operators'!$C$1:$E$10000,3,FALSE)</f>
        <v>BRUDER</v>
      </c>
      <c r="M157" s="6">
        <f t="shared" si="80"/>
        <v>2.7534722226846498E-2</v>
      </c>
      <c r="N157" s="7">
        <f t="shared" si="92"/>
        <v>39.650000006658956</v>
      </c>
      <c r="O157" s="7"/>
      <c r="P157" s="7"/>
      <c r="Q157" s="29"/>
      <c r="R157" s="29"/>
      <c r="S157" s="47">
        <f t="shared" si="81"/>
        <v>1</v>
      </c>
      <c r="T157" s="75" t="str">
        <f t="shared" si="82"/>
        <v>Southbound</v>
      </c>
      <c r="U157" s="114">
        <f>COUNTIFS(Variables!$M$2:$M$19,IF(T157="NorthBound","&gt;=","&lt;=")&amp;Y157,Variables!$M$2:$M$19,IF(T157="NorthBound","&lt;=","&gt;=")&amp;Z157)</f>
        <v>12</v>
      </c>
      <c r="V157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00:50:25-0600',mode:absolute,to:'2016-07-09 01:33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7" s="80" t="str">
        <f t="shared" si="84"/>
        <v>N</v>
      </c>
      <c r="X157" s="104">
        <f t="shared" si="93"/>
        <v>1</v>
      </c>
      <c r="Y157" s="101">
        <f t="shared" si="85"/>
        <v>23.296500000000002</v>
      </c>
      <c r="Z157" s="101">
        <f t="shared" si="86"/>
        <v>1.4999999999999999E-2</v>
      </c>
      <c r="AA157" s="101">
        <f t="shared" si="87"/>
        <v>23.281500000000001</v>
      </c>
      <c r="AB157" s="98" t="e">
        <f>VLOOKUP(A157,Enforcements!$C$7:$J$27,8,0)</f>
        <v>#N/A</v>
      </c>
      <c r="AC157" s="94" t="e">
        <f>VLOOKUP(A157,Enforcements!$C$7:$E$27,3,0)</f>
        <v>#N/A</v>
      </c>
      <c r="AD157" s="95" t="str">
        <f t="shared" si="88"/>
        <v>0242-08</v>
      </c>
      <c r="AE157" s="81" t="str">
        <f t="shared" si="89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157" s="81" t="str">
        <f t="shared" si="90"/>
        <v>"C:\Program Files (x86)\AstroGrep\AstroGrep.exe" /spath="C:\Users\stu\Documents\Analysis\2016-02-23 RTDC Observations" /stypes="*4019*20160709*" /stext=" 06:.+((prompt.+disp)|(slice.+state.+chan)|(ment ac)|(system.+state.+chan)|(\|lc)|(penalty)|(\[timeout))" /e /r /s</v>
      </c>
      <c r="AG157" s="1" t="str">
        <f t="shared" si="91"/>
        <v>EC</v>
      </c>
    </row>
    <row r="158" spans="1:33" s="27" customFormat="1" x14ac:dyDescent="0.25">
      <c r="A158" s="53" t="s">
        <v>634</v>
      </c>
      <c r="B158" s="7">
        <v>4044</v>
      </c>
      <c r="C158" s="28" t="s">
        <v>60</v>
      </c>
      <c r="D158" s="28" t="s">
        <v>117</v>
      </c>
      <c r="E158" s="17">
        <v>42560.016793981478</v>
      </c>
      <c r="F158" s="17">
        <v>42560.017685185187</v>
      </c>
      <c r="G158" s="7">
        <v>1</v>
      </c>
      <c r="H158" s="17" t="s">
        <v>561</v>
      </c>
      <c r="I158" s="17">
        <v>42560.045243055552</v>
      </c>
      <c r="J158" s="7">
        <v>0</v>
      </c>
      <c r="K158" s="28" t="str">
        <f t="shared" si="79"/>
        <v>4043/4044</v>
      </c>
      <c r="L158" s="28" t="str">
        <f>VLOOKUP(A158,'Trips&amp;Operators'!$C$1:$E$10000,3,FALSE)</f>
        <v>GRASTON</v>
      </c>
      <c r="M158" s="6">
        <f t="shared" si="80"/>
        <v>2.7557870365853887E-2</v>
      </c>
      <c r="N158" s="7">
        <f t="shared" si="92"/>
        <v>39.683333326829597</v>
      </c>
      <c r="O158" s="7"/>
      <c r="P158" s="7"/>
      <c r="Q158" s="29"/>
      <c r="R158" s="29"/>
      <c r="S158" s="47">
        <f t="shared" si="81"/>
        <v>1</v>
      </c>
      <c r="T158" s="75" t="str">
        <f t="shared" si="82"/>
        <v>NorthBound</v>
      </c>
      <c r="U158" s="114">
        <f>COUNTIFS(Variables!$M$2:$M$19,IF(T158="NorthBound","&gt;=","&lt;=")&amp;Y158,Variables!$M$2:$M$19,IF(T158="NorthBound","&lt;=","&gt;=")&amp;Z158)</f>
        <v>12</v>
      </c>
      <c r="V158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00:23:11-0600',mode:absolute,to:'2016-07-09 01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8" s="80" t="str">
        <f t="shared" si="84"/>
        <v>N</v>
      </c>
      <c r="X158" s="104">
        <f t="shared" si="93"/>
        <v>1</v>
      </c>
      <c r="Y158" s="101">
        <f t="shared" si="85"/>
        <v>4.5100000000000001E-2</v>
      </c>
      <c r="Z158" s="101">
        <f t="shared" si="86"/>
        <v>23.331600000000002</v>
      </c>
      <c r="AA158" s="101">
        <f t="shared" si="87"/>
        <v>23.2865</v>
      </c>
      <c r="AB158" s="98" t="e">
        <f>VLOOKUP(A158,Enforcements!$C$7:$J$27,8,0)</f>
        <v>#N/A</v>
      </c>
      <c r="AC158" s="94" t="e">
        <f>VLOOKUP(A158,Enforcements!$C$7:$E$27,3,0)</f>
        <v>#N/A</v>
      </c>
      <c r="AD158" s="95" t="str">
        <f t="shared" si="88"/>
        <v>0243-08</v>
      </c>
      <c r="AE158" s="81" t="str">
        <f t="shared" si="89"/>
        <v>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 &amp; aws s3 cp s3://rtdc.mdm.uploadarchive/RTDC4044/2016-07-10/ "C:\Users\stu\Documents\Analysis\2016-02-23 RTDC Observations"\RTDC4044\2016-07-10 --recursive &amp; "C:\Users\stu\Documents\GitHub\mrs-test-scripts\Headless Mode &amp; Sideloading\WalkAndUnGZ.bat" "C:\Users\stu\Documents\Analysis\2016-02-23 RTDC Observations"\RTDC4044\2016-07-10</v>
      </c>
      <c r="AF158" s="81" t="str">
        <f t="shared" si="90"/>
        <v>"C:\Program Files (x86)\AstroGrep\AstroGrep.exe" /spath="C:\Users\stu\Documents\Analysis\2016-02-23 RTDC Observations" /stypes="*4044*20160709*" /stext=" 06:.+((prompt.+disp)|(slice.+state.+chan)|(ment ac)|(system.+state.+chan)|(\|lc)|(penalty)|(\[timeout))" /e /r /s</v>
      </c>
      <c r="AG158" s="1" t="str">
        <f t="shared" si="91"/>
        <v>EC</v>
      </c>
    </row>
    <row r="159" spans="1:33" s="27" customFormat="1" x14ac:dyDescent="0.25">
      <c r="A159" s="53" t="s">
        <v>635</v>
      </c>
      <c r="B159" s="7">
        <v>4043</v>
      </c>
      <c r="C159" s="28" t="s">
        <v>60</v>
      </c>
      <c r="D159" s="28" t="s">
        <v>539</v>
      </c>
      <c r="E159" s="17">
        <v>42560.05741898148</v>
      </c>
      <c r="F159" s="17">
        <v>42560.058321759258</v>
      </c>
      <c r="G159" s="7">
        <v>1</v>
      </c>
      <c r="H159" s="17" t="s">
        <v>132</v>
      </c>
      <c r="I159" s="17">
        <v>42560.086817129632</v>
      </c>
      <c r="J159" s="7">
        <v>0</v>
      </c>
      <c r="K159" s="28" t="str">
        <f t="shared" si="79"/>
        <v>4043/4044</v>
      </c>
      <c r="L159" s="28" t="str">
        <f>VLOOKUP(A159,'Trips&amp;Operators'!$C$1:$E$10000,3,FALSE)</f>
        <v>GRASTON</v>
      </c>
      <c r="M159" s="6">
        <f t="shared" si="80"/>
        <v>2.849537037400296E-2</v>
      </c>
      <c r="N159" s="7">
        <f t="shared" si="92"/>
        <v>41.033333338564262</v>
      </c>
      <c r="O159" s="7"/>
      <c r="P159" s="7"/>
      <c r="Q159" s="29"/>
      <c r="R159" s="29"/>
      <c r="S159" s="47">
        <f t="shared" si="81"/>
        <v>1</v>
      </c>
      <c r="T159" s="75" t="str">
        <f t="shared" si="82"/>
        <v>Southbound</v>
      </c>
      <c r="U159" s="114">
        <f>COUNTIFS(Variables!$M$2:$M$19,IF(T159="NorthBound","&gt;=","&lt;=")&amp;Y159,Variables!$M$2:$M$19,IF(T159="NorthBound","&lt;=","&gt;=")&amp;Z159)</f>
        <v>12</v>
      </c>
      <c r="V159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01:21:41-0600',mode:absolute,to:'2016-07-09 02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9" s="80" t="str">
        <f t="shared" si="84"/>
        <v>N</v>
      </c>
      <c r="X159" s="104">
        <f t="shared" si="93"/>
        <v>1</v>
      </c>
      <c r="Y159" s="101">
        <f t="shared" si="85"/>
        <v>23.299199999999999</v>
      </c>
      <c r="Z159" s="101">
        <f t="shared" si="86"/>
        <v>1.5599999999999999E-2</v>
      </c>
      <c r="AA159" s="101">
        <f t="shared" si="87"/>
        <v>23.2836</v>
      </c>
      <c r="AB159" s="98" t="e">
        <f>VLOOKUP(A159,Enforcements!$C$7:$J$27,8,0)</f>
        <v>#N/A</v>
      </c>
      <c r="AC159" s="94" t="e">
        <f>VLOOKUP(A159,Enforcements!$C$7:$E$27,3,0)</f>
        <v>#N/A</v>
      </c>
      <c r="AD159" s="95" t="str">
        <f t="shared" si="88"/>
        <v>0244-08</v>
      </c>
      <c r="AE159" s="81" t="str">
        <f t="shared" si="89"/>
        <v>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 &amp; aws s3 cp s3://rtdc.mdm.uploadarchive/RTDC4043/2016-07-10/ "C:\Users\stu\Documents\Analysis\2016-02-23 RTDC Observations"\RTDC4043\2016-07-10 --recursive &amp; "C:\Users\stu\Documents\GitHub\mrs-test-scripts\Headless Mode &amp; Sideloading\WalkAndUnGZ.bat" "C:\Users\stu\Documents\Analysis\2016-02-23 RTDC Observations"\RTDC4043\2016-07-10</v>
      </c>
      <c r="AF159" s="81" t="str">
        <f t="shared" si="90"/>
        <v>"C:\Program Files (x86)\AstroGrep\AstroGrep.exe" /spath="C:\Users\stu\Documents\Analysis\2016-02-23 RTDC Observations" /stypes="*4043*20160709*" /stext=" 07:.+((prompt.+disp)|(slice.+state.+chan)|(ment ac)|(system.+state.+chan)|(\|lc)|(penalty)|(\[timeout))" /e /r /s</v>
      </c>
      <c r="AG159" s="1" t="str">
        <f t="shared" si="91"/>
        <v>EC</v>
      </c>
    </row>
    <row r="160" spans="1:33" x14ac:dyDescent="0.25">
      <c r="A160" s="53" t="s">
        <v>341</v>
      </c>
      <c r="B160" s="7">
        <v>4032</v>
      </c>
      <c r="C160" s="28" t="s">
        <v>60</v>
      </c>
      <c r="D160" s="28" t="s">
        <v>460</v>
      </c>
      <c r="E160" s="17">
        <v>42559.21738425926</v>
      </c>
      <c r="F160" s="17">
        <v>42559.217997685184</v>
      </c>
      <c r="G160" s="7">
        <v>0</v>
      </c>
      <c r="H160" s="17" t="s">
        <v>461</v>
      </c>
      <c r="I160" s="17">
        <v>42559.226655092592</v>
      </c>
      <c r="J160" s="7">
        <v>1</v>
      </c>
      <c r="K160" s="28" t="str">
        <f t="shared" ref="K160:K177" si="94">IF(ISEVEN(B160),(B160-1)&amp;"/"&amp;B160,B160&amp;"/"&amp;(B160+1))</f>
        <v>4031/4032</v>
      </c>
      <c r="L160" s="28" t="str">
        <f>VLOOKUP(A160,'Trips&amp;Operators'!$C$1:$E$10000,3,FALSE)</f>
        <v>BEAM</v>
      </c>
      <c r="M160" s="6">
        <f t="shared" ref="M160:M177" si="95">I160-F160</f>
        <v>8.6574074084637687E-3</v>
      </c>
      <c r="N160" s="7"/>
      <c r="O160" s="7"/>
      <c r="P160" s="7"/>
      <c r="Q160" s="29"/>
      <c r="R160" s="29"/>
      <c r="S160" s="47"/>
      <c r="T160" s="75"/>
      <c r="U160" s="114"/>
      <c r="V160" s="80"/>
      <c r="W160" s="80"/>
      <c r="X160" s="104"/>
      <c r="Y160" s="101"/>
      <c r="Z160" s="101"/>
      <c r="AA160" s="101"/>
      <c r="AB160" s="98"/>
      <c r="AC160" s="94"/>
      <c r="AD160" s="95" t="str">
        <f t="shared" ref="AD160:AD177" si="96">IF(LEN(A160)=6,"0"&amp;A160,A160)</f>
        <v>0800-08</v>
      </c>
      <c r="AE160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60" s="81" t="str">
        <f t="shared" si="74"/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AG160" s="1" t="str">
        <f t="shared" si="57"/>
        <v>NWGL</v>
      </c>
    </row>
    <row r="161" spans="1:33" x14ac:dyDescent="0.25">
      <c r="A161" s="53" t="s">
        <v>342</v>
      </c>
      <c r="B161" s="7">
        <v>4031</v>
      </c>
      <c r="C161" s="28" t="s">
        <v>60</v>
      </c>
      <c r="D161" s="28" t="s">
        <v>462</v>
      </c>
      <c r="E161" s="17">
        <v>42559.239317129628</v>
      </c>
      <c r="F161" s="17">
        <v>42559.239988425928</v>
      </c>
      <c r="G161" s="7">
        <v>0</v>
      </c>
      <c r="H161" s="17" t="s">
        <v>313</v>
      </c>
      <c r="I161" s="17">
        <v>42559.252835648149</v>
      </c>
      <c r="J161" s="7">
        <v>1</v>
      </c>
      <c r="K161" s="28" t="str">
        <f t="shared" si="94"/>
        <v>4031/4032</v>
      </c>
      <c r="L161" s="28" t="str">
        <f>VLOOKUP(A161,'Trips&amp;Operators'!$C$1:$E$10000,3,FALSE)</f>
        <v>BEAM</v>
      </c>
      <c r="M161" s="6">
        <f t="shared" si="95"/>
        <v>1.2847222220443655E-2</v>
      </c>
      <c r="N161" s="7"/>
      <c r="O161" s="7"/>
      <c r="P161" s="7"/>
      <c r="Q161" s="29"/>
      <c r="R161" s="29"/>
      <c r="S161" s="47"/>
      <c r="T161" s="75"/>
      <c r="U161" s="114"/>
      <c r="V161" s="80"/>
      <c r="W161" s="80"/>
      <c r="X161" s="104"/>
      <c r="Y161" s="101"/>
      <c r="Z161" s="101"/>
      <c r="AA161" s="101"/>
      <c r="AB161" s="98"/>
      <c r="AC161" s="94"/>
      <c r="AD161" s="95" t="str">
        <f t="shared" si="96"/>
        <v>0801-08</v>
      </c>
      <c r="AE161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61" s="81" t="str">
        <f t="shared" si="74"/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AG161" s="1" t="str">
        <f t="shared" si="57"/>
        <v>NWGL</v>
      </c>
    </row>
    <row r="162" spans="1:33" x14ac:dyDescent="0.25">
      <c r="A162" s="68" t="s">
        <v>335</v>
      </c>
      <c r="B162" s="7">
        <v>4032</v>
      </c>
      <c r="C162" s="28" t="s">
        <v>60</v>
      </c>
      <c r="D162" s="28" t="s">
        <v>312</v>
      </c>
      <c r="E162" s="17">
        <v>42559.257511574076</v>
      </c>
      <c r="F162" s="17">
        <v>42559.258414351854</v>
      </c>
      <c r="G162" s="7">
        <v>1</v>
      </c>
      <c r="H162" s="17" t="s">
        <v>463</v>
      </c>
      <c r="I162" s="17">
        <v>42559.266585648147</v>
      </c>
      <c r="J162" s="7">
        <v>0</v>
      </c>
      <c r="K162" s="28" t="str">
        <f t="shared" si="94"/>
        <v>4031/4032</v>
      </c>
      <c r="L162" s="28" t="str">
        <f>VLOOKUP(A162,'Trips&amp;Operators'!$C$1:$E$10000,3,FALSE)</f>
        <v>BEAM</v>
      </c>
      <c r="M162" s="6">
        <f t="shared" si="95"/>
        <v>8.1712962928577326E-3</v>
      </c>
      <c r="N162" s="7"/>
      <c r="O162" s="7"/>
      <c r="P162" s="7"/>
      <c r="Q162" s="29"/>
      <c r="R162" s="29"/>
      <c r="S162" s="47"/>
      <c r="T162" s="75"/>
      <c r="U162" s="114"/>
      <c r="V162" s="80"/>
      <c r="W162" s="80"/>
      <c r="X162" s="104"/>
      <c r="Y162" s="101"/>
      <c r="Z162" s="101"/>
      <c r="AA162" s="101"/>
      <c r="AB162" s="98"/>
      <c r="AC162" s="94"/>
      <c r="AD162" s="95" t="str">
        <f t="shared" si="96"/>
        <v>0802-08</v>
      </c>
      <c r="AE162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62" s="81" t="str">
        <f t="shared" si="74"/>
        <v>"C:\Program Files (x86)\AstroGrep\AstroGrep.exe" /spath="C:\Users\stu\Documents\Analysis\2016-02-23 RTDC Observations" /stypes="*4032*20160708*" /stext=" 12:.+((prompt.+disp)|(slice.+state.+chan)|(ment ac)|(system.+state.+chan)|(\|lc)|(penalty)|(\[timeout))" /e /r /s</v>
      </c>
      <c r="AG162" s="1" t="str">
        <f t="shared" si="57"/>
        <v>NWGL</v>
      </c>
    </row>
    <row r="163" spans="1:33" x14ac:dyDescent="0.25">
      <c r="A163" s="53" t="s">
        <v>353</v>
      </c>
      <c r="B163" s="7">
        <v>4038</v>
      </c>
      <c r="C163" s="28" t="s">
        <v>60</v>
      </c>
      <c r="D163" s="28" t="s">
        <v>464</v>
      </c>
      <c r="E163" s="17">
        <v>42559.263622685183</v>
      </c>
      <c r="F163" s="17">
        <v>42559.264907407407</v>
      </c>
      <c r="G163" s="7">
        <v>1</v>
      </c>
      <c r="H163" s="17" t="s">
        <v>193</v>
      </c>
      <c r="I163" s="17">
        <v>42559.274513888886</v>
      </c>
      <c r="J163" s="7">
        <v>0</v>
      </c>
      <c r="K163" s="28" t="str">
        <f t="shared" si="94"/>
        <v>4037/4038</v>
      </c>
      <c r="L163" s="28" t="str">
        <f>VLOOKUP(A163,'Trips&amp;Operators'!$C$1:$E$10000,3,FALSE)</f>
        <v>NELSON</v>
      </c>
      <c r="M163" s="6">
        <f t="shared" si="95"/>
        <v>9.6064814788405783E-3</v>
      </c>
      <c r="N163" s="7"/>
      <c r="O163" s="7"/>
      <c r="P163" s="7"/>
      <c r="Q163" s="29"/>
      <c r="R163" s="29"/>
      <c r="S163" s="47"/>
      <c r="T163" s="75"/>
      <c r="U163" s="114"/>
      <c r="V163" s="80"/>
      <c r="W163" s="80"/>
      <c r="X163" s="104"/>
      <c r="Y163" s="101"/>
      <c r="Z163" s="101"/>
      <c r="AA163" s="101"/>
      <c r="AB163" s="98"/>
      <c r="AC163" s="94"/>
      <c r="AD163" s="95" t="str">
        <f t="shared" si="96"/>
        <v>0803-08</v>
      </c>
      <c r="AE163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63" s="81" t="str">
        <f t="shared" si="74"/>
        <v>"C:\Program Files (x86)\AstroGrep\AstroGrep.exe" /spath="C:\Users\stu\Documents\Analysis\2016-02-23 RTDC Observations" /stypes="*4038*20160708*" /stext=" 12:.+((prompt.+disp)|(slice.+state.+chan)|(ment ac)|(system.+state.+chan)|(\|lc)|(penalty)|(\[timeout))" /e /r /s</v>
      </c>
      <c r="AG163" s="1" t="str">
        <f t="shared" si="57"/>
        <v>NWGL</v>
      </c>
    </row>
    <row r="164" spans="1:33" x14ac:dyDescent="0.25">
      <c r="A164" s="53" t="s">
        <v>357</v>
      </c>
      <c r="B164" s="7">
        <v>4037</v>
      </c>
      <c r="C164" s="28" t="s">
        <v>60</v>
      </c>
      <c r="D164" s="28" t="s">
        <v>142</v>
      </c>
      <c r="E164" s="17">
        <v>42559.276238425926</v>
      </c>
      <c r="F164" s="17">
        <v>42559.277361111112</v>
      </c>
      <c r="G164" s="7">
        <v>1</v>
      </c>
      <c r="H164" s="17" t="s">
        <v>319</v>
      </c>
      <c r="I164" s="17">
        <v>42559.289027777777</v>
      </c>
      <c r="J164" s="7">
        <v>0</v>
      </c>
      <c r="K164" s="28" t="str">
        <f t="shared" si="94"/>
        <v>4037/4038</v>
      </c>
      <c r="L164" s="28" t="str">
        <f>VLOOKUP(A164,'Trips&amp;Operators'!$C$1:$E$10000,3,FALSE)</f>
        <v>NELSON</v>
      </c>
      <c r="M164" s="6">
        <f t="shared" si="95"/>
        <v>1.1666666665405501E-2</v>
      </c>
      <c r="N164" s="7"/>
      <c r="O164" s="7"/>
      <c r="P164" s="7"/>
      <c r="Q164" s="29"/>
      <c r="R164" s="29"/>
      <c r="S164" s="47"/>
      <c r="T164" s="75"/>
      <c r="U164" s="114"/>
      <c r="V164" s="80"/>
      <c r="W164" s="80"/>
      <c r="X164" s="104"/>
      <c r="Y164" s="101"/>
      <c r="Z164" s="101"/>
      <c r="AA164" s="101"/>
      <c r="AB164" s="98"/>
      <c r="AC164" s="94"/>
      <c r="AD164" s="95" t="str">
        <f t="shared" si="96"/>
        <v>0804-08</v>
      </c>
      <c r="AE164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64" s="81" t="str">
        <f t="shared" si="74"/>
        <v>"C:\Program Files (x86)\AstroGrep\AstroGrep.exe" /spath="C:\Users\stu\Documents\Analysis\2016-02-23 RTDC Observations" /stypes="*4037*20160708*" /stext=" 12:.+((prompt.+disp)|(slice.+state.+chan)|(ment ac)|(system.+state.+chan)|(\|lc)|(penalty)|(\[timeout))" /e /r /s</v>
      </c>
      <c r="AG164" s="1" t="str">
        <f t="shared" si="57"/>
        <v>NWGL</v>
      </c>
    </row>
    <row r="165" spans="1:33" x14ac:dyDescent="0.25">
      <c r="A165" s="53" t="s">
        <v>363</v>
      </c>
      <c r="B165" s="7">
        <v>4031</v>
      </c>
      <c r="C165" s="28" t="s">
        <v>60</v>
      </c>
      <c r="D165" s="28" t="s">
        <v>465</v>
      </c>
      <c r="E165" s="17">
        <v>42559.281921296293</v>
      </c>
      <c r="F165" s="17">
        <v>42559.282743055555</v>
      </c>
      <c r="G165" s="7">
        <v>1</v>
      </c>
      <c r="H165" s="17" t="s">
        <v>250</v>
      </c>
      <c r="I165" s="17">
        <v>42559.29383101852</v>
      </c>
      <c r="J165" s="7">
        <v>0</v>
      </c>
      <c r="K165" s="28" t="str">
        <f t="shared" si="94"/>
        <v>4031/4032</v>
      </c>
      <c r="L165" s="28" t="str">
        <f>VLOOKUP(A165,'Trips&amp;Operators'!$C$1:$E$10000,3,FALSE)</f>
        <v>BEAM</v>
      </c>
      <c r="M165" s="6">
        <f t="shared" si="95"/>
        <v>1.1087962964666076E-2</v>
      </c>
      <c r="N165" s="7"/>
      <c r="O165" s="7"/>
      <c r="P165" s="7"/>
      <c r="Q165" s="29"/>
      <c r="R165" s="29"/>
      <c r="S165" s="47"/>
      <c r="T165" s="75"/>
      <c r="U165" s="114"/>
      <c r="V165" s="80"/>
      <c r="W165" s="80"/>
      <c r="X165" s="104"/>
      <c r="Y165" s="101"/>
      <c r="Z165" s="101"/>
      <c r="AA165" s="101"/>
      <c r="AB165" s="98"/>
      <c r="AC165" s="94"/>
      <c r="AD165" s="95" t="str">
        <f t="shared" si="96"/>
        <v>0805-08</v>
      </c>
      <c r="AE165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65" s="81" t="str">
        <f t="shared" si="74"/>
        <v>"C:\Program Files (x86)\AstroGrep\AstroGrep.exe" /spath="C:\Users\stu\Documents\Analysis\2016-02-23 RTDC Observations" /stypes="*4031*20160708*" /stext=" 12:.+((prompt.+disp)|(slice.+state.+chan)|(ment ac)|(system.+state.+chan)|(\|lc)|(penalty)|(\[timeout))" /e /r /s</v>
      </c>
      <c r="AG165" s="1" t="str">
        <f t="shared" si="57"/>
        <v>NWGL</v>
      </c>
    </row>
    <row r="166" spans="1:33" x14ac:dyDescent="0.25">
      <c r="A166" s="53" t="s">
        <v>394</v>
      </c>
      <c r="B166" s="7">
        <v>4032</v>
      </c>
      <c r="C166" s="28" t="s">
        <v>60</v>
      </c>
      <c r="D166" s="28" t="s">
        <v>142</v>
      </c>
      <c r="E166" s="17">
        <v>42559.299328703702</v>
      </c>
      <c r="F166" s="17">
        <v>42559.300092592595</v>
      </c>
      <c r="G166" s="7">
        <v>1</v>
      </c>
      <c r="H166" s="17" t="s">
        <v>466</v>
      </c>
      <c r="I166" s="17">
        <v>42559.308946759258</v>
      </c>
      <c r="J166" s="7">
        <v>0</v>
      </c>
      <c r="K166" s="28" t="str">
        <f t="shared" si="94"/>
        <v>4031/4032</v>
      </c>
      <c r="L166" s="28" t="str">
        <f>VLOOKUP(A166,'Trips&amp;Operators'!$C$1:$E$10000,3,FALSE)</f>
        <v>BEAM</v>
      </c>
      <c r="M166" s="6">
        <f t="shared" si="95"/>
        <v>8.8541666627861559E-3</v>
      </c>
      <c r="N166" s="7"/>
      <c r="O166" s="7"/>
      <c r="P166" s="7"/>
      <c r="Q166" s="29"/>
      <c r="R166" s="29"/>
      <c r="S166" s="47"/>
      <c r="T166" s="75"/>
      <c r="U166" s="114"/>
      <c r="V166" s="80"/>
      <c r="W166" s="80"/>
      <c r="X166" s="104"/>
      <c r="Y166" s="101"/>
      <c r="Z166" s="101"/>
      <c r="AA166" s="101"/>
      <c r="AB166" s="98"/>
      <c r="AC166" s="94"/>
      <c r="AD166" s="95" t="str">
        <f t="shared" si="96"/>
        <v>0806-08</v>
      </c>
      <c r="AE166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66" s="81" t="str">
        <f t="shared" si="74"/>
        <v>"C:\Program Files (x86)\AstroGrep\AstroGrep.exe" /spath="C:\Users\stu\Documents\Analysis\2016-02-23 RTDC Observations" /stypes="*4032*20160708*" /stext=" 13:.+((prompt.+disp)|(slice.+state.+chan)|(ment ac)|(system.+state.+chan)|(\|lc)|(penalty)|(\[timeout))" /e /r /s</v>
      </c>
      <c r="AG166" s="1" t="str">
        <f t="shared" si="57"/>
        <v>NWGL</v>
      </c>
    </row>
    <row r="167" spans="1:33" x14ac:dyDescent="0.25">
      <c r="A167" s="53" t="s">
        <v>414</v>
      </c>
      <c r="B167" s="7">
        <v>4038</v>
      </c>
      <c r="C167" s="28" t="s">
        <v>60</v>
      </c>
      <c r="D167" s="28" t="s">
        <v>467</v>
      </c>
      <c r="E167" s="17">
        <v>42559.300787037035</v>
      </c>
      <c r="F167" s="17">
        <v>42559.301944444444</v>
      </c>
      <c r="G167" s="7">
        <v>1</v>
      </c>
      <c r="H167" s="17" t="s">
        <v>325</v>
      </c>
      <c r="I167" s="17">
        <v>42559.315138888887</v>
      </c>
      <c r="J167" s="7">
        <v>0</v>
      </c>
      <c r="K167" s="28" t="str">
        <f t="shared" si="94"/>
        <v>4037/4038</v>
      </c>
      <c r="L167" s="28" t="str">
        <f>VLOOKUP(A167,'Trips&amp;Operators'!$C$1:$E$10000,3,FALSE)</f>
        <v>NELSON</v>
      </c>
      <c r="M167" s="6">
        <f t="shared" si="95"/>
        <v>1.3194444443797693E-2</v>
      </c>
      <c r="N167" s="7"/>
      <c r="O167" s="7"/>
      <c r="P167" s="7"/>
      <c r="Q167" s="29"/>
      <c r="R167" s="29"/>
      <c r="S167" s="47"/>
      <c r="T167" s="75"/>
      <c r="U167" s="114"/>
      <c r="V167" s="80"/>
      <c r="W167" s="80"/>
      <c r="X167" s="104"/>
      <c r="Y167" s="101"/>
      <c r="Z167" s="101"/>
      <c r="AA167" s="101"/>
      <c r="AB167" s="98"/>
      <c r="AC167" s="94"/>
      <c r="AD167" s="95" t="str">
        <f t="shared" si="96"/>
        <v>0807-08</v>
      </c>
      <c r="AE167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67" s="81" t="str">
        <f t="shared" si="74"/>
        <v>"C:\Program Files (x86)\AstroGrep\AstroGrep.exe" /spath="C:\Users\stu\Documents\Analysis\2016-02-23 RTDC Observations" /stypes="*4038*20160708*" /stext=" 13:.+((prompt.+disp)|(slice.+state.+chan)|(ment ac)|(system.+state.+chan)|(\|lc)|(penalty)|(\[timeout))" /e /r /s</v>
      </c>
      <c r="AG167" s="1" t="str">
        <f t="shared" si="57"/>
        <v>NWGL</v>
      </c>
    </row>
    <row r="168" spans="1:33" x14ac:dyDescent="0.25">
      <c r="A168" s="53" t="s">
        <v>413</v>
      </c>
      <c r="B168" s="7">
        <v>4037</v>
      </c>
      <c r="C168" s="28" t="s">
        <v>60</v>
      </c>
      <c r="D168" s="28" t="s">
        <v>468</v>
      </c>
      <c r="E168" s="17">
        <v>42559.316932870373</v>
      </c>
      <c r="F168" s="17">
        <v>42559.318344907406</v>
      </c>
      <c r="G168" s="7">
        <v>2</v>
      </c>
      <c r="H168" s="17" t="s">
        <v>469</v>
      </c>
      <c r="I168" s="17">
        <v>42559.329432870371</v>
      </c>
      <c r="J168" s="7">
        <v>0</v>
      </c>
      <c r="K168" s="28" t="str">
        <f t="shared" si="94"/>
        <v>4037/4038</v>
      </c>
      <c r="L168" s="28" t="str">
        <f>VLOOKUP(A168,'Trips&amp;Operators'!$C$1:$E$10000,3,FALSE)</f>
        <v>NELSON</v>
      </c>
      <c r="M168" s="6">
        <f t="shared" si="95"/>
        <v>1.1087962964666076E-2</v>
      </c>
      <c r="N168" s="7"/>
      <c r="O168" s="7"/>
      <c r="P168" s="7"/>
      <c r="Q168" s="29"/>
      <c r="R168" s="29"/>
      <c r="S168" s="47"/>
      <c r="T168" s="75"/>
      <c r="U168" s="114"/>
      <c r="V168" s="80"/>
      <c r="W168" s="80"/>
      <c r="X168" s="104"/>
      <c r="Y168" s="101"/>
      <c r="Z168" s="101"/>
      <c r="AA168" s="101"/>
      <c r="AB168" s="98"/>
      <c r="AC168" s="94"/>
      <c r="AD168" s="95" t="str">
        <f t="shared" si="96"/>
        <v>0808-08</v>
      </c>
      <c r="AE168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68" s="81" t="str">
        <f t="shared" si="74"/>
        <v>"C:\Program Files (x86)\AstroGrep\AstroGrep.exe" /spath="C:\Users\stu\Documents\Analysis\2016-02-23 RTDC Observations" /stypes="*4037*20160708*" /stext=" 13:.+((prompt.+disp)|(slice.+state.+chan)|(ment ac)|(system.+state.+chan)|(\|lc)|(penalty)|(\[timeout))" /e /r /s</v>
      </c>
      <c r="AG168" s="1" t="str">
        <f t="shared" si="57"/>
        <v>NWGL</v>
      </c>
    </row>
    <row r="169" spans="1:33" x14ac:dyDescent="0.25">
      <c r="A169" s="53" t="s">
        <v>367</v>
      </c>
      <c r="B169" s="7">
        <v>4031</v>
      </c>
      <c r="C169" s="28" t="s">
        <v>60</v>
      </c>
      <c r="D169" s="28" t="s">
        <v>470</v>
      </c>
      <c r="E169" s="17">
        <v>42559.326018518521</v>
      </c>
      <c r="F169" s="17">
        <v>42559.326724537037</v>
      </c>
      <c r="G169" s="7">
        <v>1</v>
      </c>
      <c r="H169" s="17" t="s">
        <v>471</v>
      </c>
      <c r="I169" s="17">
        <v>42559.335555555554</v>
      </c>
      <c r="J169" s="7">
        <v>0</v>
      </c>
      <c r="K169" s="28" t="str">
        <f t="shared" si="94"/>
        <v>4031/4032</v>
      </c>
      <c r="L169" s="28" t="str">
        <f>VLOOKUP(A169,'Trips&amp;Operators'!$C$1:$E$10000,3,FALSE)</f>
        <v>BEAM</v>
      </c>
      <c r="M169" s="6">
        <f t="shared" si="95"/>
        <v>8.8310185165028088E-3</v>
      </c>
      <c r="N169" s="7"/>
      <c r="O169" s="7"/>
      <c r="P169" s="7"/>
      <c r="Q169" s="29"/>
      <c r="R169" s="29"/>
      <c r="S169" s="47"/>
      <c r="T169" s="75"/>
      <c r="U169" s="114"/>
      <c r="V169" s="80"/>
      <c r="W169" s="80"/>
      <c r="X169" s="104"/>
      <c r="Y169" s="101"/>
      <c r="Z169" s="101"/>
      <c r="AA169" s="101"/>
      <c r="AB169" s="98"/>
      <c r="AC169" s="94"/>
      <c r="AD169" s="95" t="str">
        <f t="shared" si="96"/>
        <v>0809-08</v>
      </c>
      <c r="AE169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69" s="81" t="str">
        <f t="shared" si="74"/>
        <v>"C:\Program Files (x86)\AstroGrep\AstroGrep.exe" /spath="C:\Users\stu\Documents\Analysis\2016-02-23 RTDC Observations" /stypes="*4031*20160708*" /stext=" 13:.+((prompt.+disp)|(slice.+state.+chan)|(ment ac)|(system.+state.+chan)|(\|lc)|(penalty)|(\[timeout))" /e /r /s</v>
      </c>
      <c r="AG169" s="1" t="str">
        <f t="shared" si="57"/>
        <v>NWGL</v>
      </c>
    </row>
    <row r="170" spans="1:33" x14ac:dyDescent="0.25">
      <c r="A170" s="53" t="s">
        <v>369</v>
      </c>
      <c r="B170" s="7">
        <v>4032</v>
      </c>
      <c r="C170" s="28" t="s">
        <v>60</v>
      </c>
      <c r="D170" s="28" t="s">
        <v>329</v>
      </c>
      <c r="E170" s="17">
        <v>42559.338206018518</v>
      </c>
      <c r="F170" s="17">
        <v>42559.338958333334</v>
      </c>
      <c r="G170" s="7">
        <v>1</v>
      </c>
      <c r="H170" s="17" t="s">
        <v>472</v>
      </c>
      <c r="I170" s="17">
        <v>42559.351979166669</v>
      </c>
      <c r="J170" s="7">
        <v>1</v>
      </c>
      <c r="K170" s="28" t="str">
        <f t="shared" si="94"/>
        <v>4031/4032</v>
      </c>
      <c r="L170" s="28" t="str">
        <f>VLOOKUP(A170,'Trips&amp;Operators'!$C$1:$E$10000,3,FALSE)</f>
        <v>BEAM</v>
      </c>
      <c r="M170" s="6">
        <f t="shared" si="95"/>
        <v>1.3020833335758653E-2</v>
      </c>
      <c r="N170" s="7"/>
      <c r="O170" s="7"/>
      <c r="P170" s="7"/>
      <c r="Q170" s="29"/>
      <c r="R170" s="29"/>
      <c r="S170" s="47"/>
      <c r="T170" s="75"/>
      <c r="U170" s="114"/>
      <c r="V170" s="80"/>
      <c r="W170" s="80"/>
      <c r="X170" s="104"/>
      <c r="Y170" s="101"/>
      <c r="Z170" s="101"/>
      <c r="AA170" s="101"/>
      <c r="AB170" s="98"/>
      <c r="AC170" s="94"/>
      <c r="AD170" s="95" t="str">
        <f t="shared" si="96"/>
        <v>0810-08</v>
      </c>
      <c r="AE170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70" s="81" t="str">
        <f t="shared" si="74"/>
        <v>"C:\Program Files (x86)\AstroGrep\AstroGrep.exe" /spath="C:\Users\stu\Documents\Analysis\2016-02-23 RTDC Observations" /stypes="*4032*20160708*" /stext=" 14:.+((prompt.+disp)|(slice.+state.+chan)|(ment ac)|(system.+state.+chan)|(\|lc)|(penalty)|(\[timeout))" /e /r /s</v>
      </c>
      <c r="AG170" s="1" t="str">
        <f t="shared" si="57"/>
        <v>NWGL</v>
      </c>
    </row>
    <row r="171" spans="1:33" x14ac:dyDescent="0.25">
      <c r="A171" s="53" t="s">
        <v>386</v>
      </c>
      <c r="B171" s="7">
        <v>4038</v>
      </c>
      <c r="C171" s="28" t="s">
        <v>60</v>
      </c>
      <c r="D171" s="28" t="s">
        <v>473</v>
      </c>
      <c r="E171" s="17">
        <v>42559.337511574071</v>
      </c>
      <c r="F171" s="17">
        <v>42559.338587962964</v>
      </c>
      <c r="G171" s="7">
        <v>1</v>
      </c>
      <c r="H171" s="17" t="s">
        <v>474</v>
      </c>
      <c r="I171" s="17">
        <v>42559.356886574074</v>
      </c>
      <c r="J171" s="7">
        <v>0</v>
      </c>
      <c r="K171" s="28" t="str">
        <f t="shared" si="94"/>
        <v>4037/4038</v>
      </c>
      <c r="L171" s="28" t="str">
        <f>VLOOKUP(A171,'Trips&amp;Operators'!$C$1:$E$10000,3,FALSE)</f>
        <v>NELSON</v>
      </c>
      <c r="M171" s="6">
        <f t="shared" si="95"/>
        <v>1.8298611110367347E-2</v>
      </c>
      <c r="N171" s="7"/>
      <c r="O171" s="7"/>
      <c r="P171" s="7"/>
      <c r="Q171" s="29"/>
      <c r="R171" s="29"/>
      <c r="S171" s="47"/>
      <c r="T171" s="75"/>
      <c r="U171" s="114"/>
      <c r="V171" s="80"/>
      <c r="W171" s="80"/>
      <c r="X171" s="104"/>
      <c r="Y171" s="101"/>
      <c r="Z171" s="101"/>
      <c r="AA171" s="101"/>
      <c r="AB171" s="98"/>
      <c r="AC171" s="94"/>
      <c r="AD171" s="95" t="str">
        <f t="shared" si="96"/>
        <v>0811-08</v>
      </c>
      <c r="AE171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71" s="81" t="str">
        <f t="shared" si="74"/>
        <v>"C:\Program Files (x86)\AstroGrep\AstroGrep.exe" /spath="C:\Users\stu\Documents\Analysis\2016-02-23 RTDC Observations" /stypes="*4038*20160708*" /stext=" 14:.+((prompt.+disp)|(slice.+state.+chan)|(ment ac)|(system.+state.+chan)|(\|lc)|(penalty)|(\[timeout))" /e /r /s</v>
      </c>
      <c r="AG171" s="1" t="str">
        <f t="shared" si="57"/>
        <v>NWGL</v>
      </c>
    </row>
    <row r="172" spans="1:33" x14ac:dyDescent="0.25">
      <c r="A172" s="53" t="s">
        <v>372</v>
      </c>
      <c r="B172" s="7">
        <v>4037</v>
      </c>
      <c r="C172" s="28" t="s">
        <v>60</v>
      </c>
      <c r="D172" s="28" t="s">
        <v>316</v>
      </c>
      <c r="E172" s="17">
        <v>42559.359317129631</v>
      </c>
      <c r="F172" s="17">
        <v>42559.360358796293</v>
      </c>
      <c r="G172" s="7">
        <v>1</v>
      </c>
      <c r="H172" s="17" t="s">
        <v>251</v>
      </c>
      <c r="I172" s="17">
        <v>42559.371527777781</v>
      </c>
      <c r="J172" s="7">
        <v>1</v>
      </c>
      <c r="K172" s="28" t="str">
        <f t="shared" si="94"/>
        <v>4037/4038</v>
      </c>
      <c r="L172" s="28" t="str">
        <f>VLOOKUP(A172,'Trips&amp;Operators'!$C$1:$E$10000,3,FALSE)</f>
        <v>NELSON</v>
      </c>
      <c r="M172" s="6">
        <f t="shared" si="95"/>
        <v>1.1168981487571727E-2</v>
      </c>
      <c r="N172" s="7"/>
      <c r="O172" s="7"/>
      <c r="P172" s="7"/>
      <c r="Q172" s="29"/>
      <c r="R172" s="29"/>
      <c r="S172" s="47"/>
      <c r="T172" s="75"/>
      <c r="U172" s="114"/>
      <c r="V172" s="80"/>
      <c r="W172" s="80"/>
      <c r="X172" s="104"/>
      <c r="Y172" s="101"/>
      <c r="Z172" s="101"/>
      <c r="AA172" s="101"/>
      <c r="AB172" s="98"/>
      <c r="AC172" s="94"/>
      <c r="AD172" s="95" t="str">
        <f t="shared" si="96"/>
        <v>0812-08</v>
      </c>
      <c r="AE172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72" s="81" t="str">
        <f t="shared" si="74"/>
        <v>"C:\Program Files (x86)\AstroGrep\AstroGrep.exe" /spath="C:\Users\stu\Documents\Analysis\2016-02-23 RTDC Observations" /stypes="*4037*20160708*" /stext=" 14:.+((prompt.+disp)|(slice.+state.+chan)|(ment ac)|(system.+state.+chan)|(\|lc)|(penalty)|(\[timeout))" /e /r /s</v>
      </c>
      <c r="AG172" s="1" t="str">
        <f t="shared" si="57"/>
        <v>NWGL</v>
      </c>
    </row>
    <row r="173" spans="1:33" x14ac:dyDescent="0.25">
      <c r="A173" s="53" t="s">
        <v>398</v>
      </c>
      <c r="B173" s="7">
        <v>4038</v>
      </c>
      <c r="C173" s="28" t="s">
        <v>60</v>
      </c>
      <c r="D173" s="28" t="s">
        <v>320</v>
      </c>
      <c r="E173" s="17">
        <v>42559.386620370373</v>
      </c>
      <c r="F173" s="17">
        <v>42559.387789351851</v>
      </c>
      <c r="G173" s="7">
        <v>1</v>
      </c>
      <c r="H173" s="17" t="s">
        <v>475</v>
      </c>
      <c r="I173" s="17">
        <v>42559.4140625</v>
      </c>
      <c r="J173" s="7">
        <v>0</v>
      </c>
      <c r="K173" s="28" t="str">
        <f t="shared" si="94"/>
        <v>4037/4038</v>
      </c>
      <c r="L173" s="28" t="str">
        <f>VLOOKUP(A173,'Trips&amp;Operators'!$C$1:$E$10000,3,FALSE)</f>
        <v>NELSON</v>
      </c>
      <c r="M173" s="6">
        <f t="shared" si="95"/>
        <v>2.6273148148902692E-2</v>
      </c>
      <c r="N173" s="7"/>
      <c r="O173" s="7"/>
      <c r="P173" s="7"/>
      <c r="Q173" s="29"/>
      <c r="R173" s="29"/>
      <c r="S173" s="47"/>
      <c r="T173" s="75"/>
      <c r="U173" s="114"/>
      <c r="V173" s="80"/>
      <c r="W173" s="80"/>
      <c r="X173" s="104"/>
      <c r="Y173" s="101"/>
      <c r="Z173" s="101"/>
      <c r="AA173" s="101"/>
      <c r="AB173" s="98"/>
      <c r="AC173" s="94"/>
      <c r="AD173" s="95" t="str">
        <f t="shared" si="96"/>
        <v>0813-08</v>
      </c>
      <c r="AE173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73" s="81" t="str">
        <f t="shared" si="74"/>
        <v>"C:\Program Files (x86)\AstroGrep\AstroGrep.exe" /spath="C:\Users\stu\Documents\Analysis\2016-02-23 RTDC Observations" /stypes="*4038*20160708*" /stext=" 15:.+((prompt.+disp)|(slice.+state.+chan)|(ment ac)|(system.+state.+chan)|(\|lc)|(penalty)|(\[timeout))" /e /r /s</v>
      </c>
      <c r="AG173" s="1" t="str">
        <f t="shared" si="57"/>
        <v>NWGL</v>
      </c>
    </row>
    <row r="174" spans="1:33" x14ac:dyDescent="0.25">
      <c r="A174" s="53" t="s">
        <v>402</v>
      </c>
      <c r="B174" s="7">
        <v>4038</v>
      </c>
      <c r="C174" s="28" t="s">
        <v>60</v>
      </c>
      <c r="D174" s="28" t="s">
        <v>476</v>
      </c>
      <c r="E174" s="17">
        <v>42559.419606481482</v>
      </c>
      <c r="F174" s="17">
        <v>42559.420567129629</v>
      </c>
      <c r="G174" s="7">
        <v>1</v>
      </c>
      <c r="H174" s="17" t="s">
        <v>193</v>
      </c>
      <c r="I174" s="17">
        <v>42559.440995370373</v>
      </c>
      <c r="J174" s="7">
        <v>0</v>
      </c>
      <c r="K174" s="28" t="str">
        <f t="shared" si="94"/>
        <v>4037/4038</v>
      </c>
      <c r="L174" s="28" t="str">
        <f>VLOOKUP(A174,'Trips&amp;Operators'!$C$1:$E$10000,3,FALSE)</f>
        <v>NELSON</v>
      </c>
      <c r="M174" s="6">
        <f t="shared" si="95"/>
        <v>2.0428240743058268E-2</v>
      </c>
      <c r="N174" s="7"/>
      <c r="O174" s="7"/>
      <c r="P174" s="7"/>
      <c r="Q174" s="29"/>
      <c r="R174" s="29"/>
      <c r="S174" s="47"/>
      <c r="T174" s="75"/>
      <c r="U174" s="114"/>
      <c r="V174" s="80"/>
      <c r="W174" s="80"/>
      <c r="X174" s="104"/>
      <c r="Y174" s="101"/>
      <c r="Z174" s="101"/>
      <c r="AA174" s="101"/>
      <c r="AB174" s="98"/>
      <c r="AC174" s="94"/>
      <c r="AD174" s="95" t="str">
        <f t="shared" si="96"/>
        <v>0815-08</v>
      </c>
      <c r="AE174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74" s="81" t="str">
        <f t="shared" si="74"/>
        <v>"C:\Program Files (x86)\AstroGrep\AstroGrep.exe" /spath="C:\Users\stu\Documents\Analysis\2016-02-23 RTDC Observations" /stypes="*4038*20160708*" /stext=" 16:.+((prompt.+disp)|(slice.+state.+chan)|(ment ac)|(system.+state.+chan)|(\|lc)|(penalty)|(\[timeout))" /e /r /s</v>
      </c>
      <c r="AG174" s="1" t="str">
        <f t="shared" si="57"/>
        <v>NWGL</v>
      </c>
    </row>
    <row r="175" spans="1:33" x14ac:dyDescent="0.25">
      <c r="A175" s="53" t="s">
        <v>385</v>
      </c>
      <c r="B175" s="7">
        <v>4037</v>
      </c>
      <c r="C175" s="28" t="s">
        <v>60</v>
      </c>
      <c r="D175" s="28" t="s">
        <v>477</v>
      </c>
      <c r="E175" s="17">
        <v>42559.442997685182</v>
      </c>
      <c r="F175" s="17">
        <v>42559.443935185183</v>
      </c>
      <c r="G175" s="7">
        <v>1</v>
      </c>
      <c r="H175" s="17" t="s">
        <v>478</v>
      </c>
      <c r="I175" s="17">
        <v>42559.451111111113</v>
      </c>
      <c r="J175" s="7">
        <v>0</v>
      </c>
      <c r="K175" s="28" t="str">
        <f t="shared" si="94"/>
        <v>4037/4038</v>
      </c>
      <c r="L175" s="28" t="str">
        <f>VLOOKUP(A175,'Trips&amp;Operators'!$C$1:$E$10000,3,FALSE)</f>
        <v>NELSON</v>
      </c>
      <c r="M175" s="6">
        <f t="shared" si="95"/>
        <v>7.1759259299142286E-3</v>
      </c>
      <c r="N175" s="7"/>
      <c r="O175" s="7"/>
      <c r="P175" s="7"/>
      <c r="Q175" s="29"/>
      <c r="R175" s="29"/>
      <c r="S175" s="47"/>
      <c r="T175" s="75"/>
      <c r="U175" s="114"/>
      <c r="V175" s="80"/>
      <c r="W175" s="80"/>
      <c r="X175" s="104"/>
      <c r="Y175" s="101"/>
      <c r="Z175" s="101"/>
      <c r="AA175" s="101"/>
      <c r="AB175" s="98"/>
      <c r="AC175" s="94"/>
      <c r="AD175" s="95" t="str">
        <f t="shared" si="96"/>
        <v>0816-08</v>
      </c>
      <c r="AE175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75" s="81" t="str">
        <f t="shared" si="74"/>
        <v>"C:\Program Files (x86)\AstroGrep\AstroGrep.exe" /spath="C:\Users\stu\Documents\Analysis\2016-02-23 RTDC Observations" /stypes="*4037*20160708*" /stext=" 16:.+((prompt.+disp)|(slice.+state.+chan)|(ment ac)|(system.+state.+chan)|(\|lc)|(penalty)|(\[timeout))" /e /r /s</v>
      </c>
      <c r="AG175" s="1" t="str">
        <f t="shared" ref="AG175:AG177" si="97">IF(VALUE(LEFT(A175,3))&lt;300,"EC","NWGL")</f>
        <v>NWGL</v>
      </c>
    </row>
    <row r="176" spans="1:33" x14ac:dyDescent="0.25">
      <c r="A176" s="53" t="s">
        <v>339</v>
      </c>
      <c r="B176" s="7">
        <v>4031</v>
      </c>
      <c r="C176" s="28" t="s">
        <v>60</v>
      </c>
      <c r="D176" s="28" t="s">
        <v>479</v>
      </c>
      <c r="E176" s="17">
        <v>42559.206574074073</v>
      </c>
      <c r="F176" s="17">
        <v>42559.209247685183</v>
      </c>
      <c r="G176" s="7">
        <v>3</v>
      </c>
      <c r="H176" s="17" t="s">
        <v>480</v>
      </c>
      <c r="I176" s="17">
        <v>42559.211238425924</v>
      </c>
      <c r="J176" s="7">
        <v>1</v>
      </c>
      <c r="K176" s="28" t="str">
        <f t="shared" si="94"/>
        <v>4031/4032</v>
      </c>
      <c r="L176" s="28" t="str">
        <f>VLOOKUP(A176,'Trips&amp;Operators'!$C$1:$E$10000,3,FALSE)</f>
        <v>BEAM</v>
      </c>
      <c r="M176" s="6">
        <f t="shared" si="95"/>
        <v>1.9907407404389232E-3</v>
      </c>
      <c r="N176" s="7"/>
      <c r="O176" s="7"/>
      <c r="P176" s="7"/>
      <c r="Q176" s="29"/>
      <c r="R176" s="29"/>
      <c r="S176" s="47"/>
      <c r="T176" s="75"/>
      <c r="U176" s="114"/>
      <c r="V176" s="80"/>
      <c r="W176" s="80"/>
      <c r="X176" s="104"/>
      <c r="Y176" s="101"/>
      <c r="Z176" s="101"/>
      <c r="AA176" s="101"/>
      <c r="AB176" s="98"/>
      <c r="AC176" s="94"/>
      <c r="AD176" s="95" t="str">
        <f t="shared" si="96"/>
        <v>0901-08</v>
      </c>
      <c r="AE176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76" s="81" t="str">
        <f t="shared" si="74"/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AG176" s="1" t="str">
        <f t="shared" si="97"/>
        <v>NWGL</v>
      </c>
    </row>
    <row r="177" spans="1:33" x14ac:dyDescent="0.25">
      <c r="A177" s="53" t="s">
        <v>404</v>
      </c>
      <c r="B177" s="7">
        <v>4031</v>
      </c>
      <c r="C177" s="28" t="s">
        <v>60</v>
      </c>
      <c r="D177" s="28" t="s">
        <v>481</v>
      </c>
      <c r="E177" s="17">
        <v>42559.354224537034</v>
      </c>
      <c r="F177" s="17">
        <v>42559.354872685188</v>
      </c>
      <c r="G177" s="7">
        <v>0</v>
      </c>
      <c r="H177" s="17" t="s">
        <v>482</v>
      </c>
      <c r="I177" s="17">
        <v>42559.359918981485</v>
      </c>
      <c r="J177" s="7">
        <v>0</v>
      </c>
      <c r="K177" s="28" t="str">
        <f t="shared" si="94"/>
        <v>4031/4032</v>
      </c>
      <c r="L177" s="28" t="str">
        <f>VLOOKUP(A177,'Trips&amp;Operators'!$C$1:$E$10000,3,FALSE)</f>
        <v>BEAM</v>
      </c>
      <c r="M177" s="6">
        <f t="shared" si="95"/>
        <v>5.0462962972233072E-3</v>
      </c>
      <c r="N177" s="7"/>
      <c r="O177" s="7"/>
      <c r="P177" s="7"/>
      <c r="Q177" s="29"/>
      <c r="R177" s="29"/>
      <c r="S177" s="47"/>
      <c r="T177" s="75"/>
      <c r="U177" s="114"/>
      <c r="V177" s="80"/>
      <c r="W177" s="80"/>
      <c r="X177" s="104"/>
      <c r="Y177" s="101"/>
      <c r="Z177" s="101"/>
      <c r="AA177" s="101"/>
      <c r="AB177" s="98"/>
      <c r="AC177" s="94"/>
      <c r="AD177" s="95" t="str">
        <f t="shared" si="96"/>
        <v>0903-08</v>
      </c>
      <c r="AE177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77" s="81" t="str">
        <f t="shared" si="74"/>
        <v>"C:\Program Files (x86)\AstroGrep\AstroGrep.exe" /spath="C:\Users\stu\Documents\Analysis\2016-02-23 RTDC Observations" /stypes="*4031*20160708*" /stext=" 14:.+((prompt.+disp)|(slice.+state.+chan)|(ment ac)|(system.+state.+chan)|(\|lc)|(penalty)|(\[timeout))" /e /r /s</v>
      </c>
      <c r="AG177" s="1" t="str">
        <f t="shared" si="97"/>
        <v>NWGL</v>
      </c>
    </row>
  </sheetData>
  <autoFilter ref="A12:AD177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K160:S177 A13:S159">
    <cfRule type="expression" dxfId="5" priority="52">
      <formula>$O13&gt;0</formula>
    </cfRule>
  </conditionalFormatting>
  <conditionalFormatting sqref="K160:S177 A13:S159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K160:S177 A13:S159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0"/>
  <sheetViews>
    <sheetView zoomScale="85" zoomScaleNormal="85" workbookViewId="0">
      <selection activeCell="N19" sqref="N19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bestFit="1" customWidth="1"/>
    <col min="13" max="13" width="4.85546875" customWidth="1"/>
    <col min="14" max="14" width="26.42578125" customWidth="1"/>
    <col min="16" max="16" width="9.140625" style="27"/>
    <col min="17" max="17" width="9.140625" style="33"/>
    <col min="18" max="18" width="7.5703125" customWidth="1"/>
    <col min="19" max="19" width="6.85546875" customWidth="1"/>
    <col min="20" max="20" width="18.42578125" style="73" bestFit="1" customWidth="1"/>
  </cols>
  <sheetData>
    <row r="1" spans="1:22" s="27" customFormat="1" ht="15.75" thickBot="1" x14ac:dyDescent="0.3">
      <c r="A1" s="8"/>
      <c r="F1" s="2"/>
      <c r="G1" s="2"/>
      <c r="H1" s="2"/>
      <c r="J1" s="2"/>
      <c r="Q1" s="33"/>
      <c r="T1" s="73"/>
    </row>
    <row r="2" spans="1:22" s="27" customFormat="1" ht="30" x14ac:dyDescent="0.25">
      <c r="A2" s="8"/>
      <c r="F2" s="2"/>
      <c r="G2" s="2"/>
      <c r="H2" s="2"/>
      <c r="J2" s="2"/>
      <c r="K2" s="48" t="s">
        <v>110</v>
      </c>
      <c r="L2" s="49"/>
      <c r="M2" s="116">
        <f>COUNTIF($M$7:$M$679,"=Y")</f>
        <v>8</v>
      </c>
      <c r="Q2" s="33"/>
      <c r="T2" s="73"/>
    </row>
    <row r="3" spans="1:22" s="27" customFormat="1" ht="15.75" thickBot="1" x14ac:dyDescent="0.3">
      <c r="A3" s="8"/>
      <c r="F3" s="2"/>
      <c r="G3" s="2"/>
      <c r="H3" s="2"/>
      <c r="J3" s="2"/>
      <c r="K3" s="50" t="s">
        <v>111</v>
      </c>
      <c r="L3" s="51"/>
      <c r="M3" s="117">
        <f>COUNTA($M$7:$M$679)-M2</f>
        <v>56</v>
      </c>
      <c r="Q3" s="33"/>
      <c r="T3" s="73"/>
    </row>
    <row r="4" spans="1:22" s="27" customFormat="1" x14ac:dyDescent="0.25">
      <c r="A4" s="8"/>
      <c r="F4" s="2"/>
      <c r="G4" s="2"/>
      <c r="H4" s="2"/>
      <c r="J4" s="2"/>
      <c r="Q4" s="33"/>
      <c r="T4" s="73"/>
    </row>
    <row r="5" spans="1:22" s="13" customFormat="1" ht="15" customHeight="1" x14ac:dyDescent="0.25">
      <c r="A5" s="129" t="str">
        <f>"Eagle P3 Braking Events - "&amp;TEXT(Variables!$A$2,"YYYY-mm-dd")</f>
        <v>Eagle P3 Braking Events - 2016-07-08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4"/>
      <c r="Q5" s="32"/>
      <c r="T5" s="74"/>
    </row>
    <row r="6" spans="1:22" s="1" customFormat="1" ht="105" x14ac:dyDescent="0.25">
      <c r="A6" s="12" t="s">
        <v>38</v>
      </c>
      <c r="B6" s="85" t="s">
        <v>37</v>
      </c>
      <c r="C6" s="85" t="s">
        <v>36</v>
      </c>
      <c r="D6" s="85" t="s">
        <v>35</v>
      </c>
      <c r="E6" s="85" t="s">
        <v>34</v>
      </c>
      <c r="F6" s="86" t="s">
        <v>33</v>
      </c>
      <c r="G6" s="86" t="s">
        <v>32</v>
      </c>
      <c r="H6" s="86" t="s">
        <v>31</v>
      </c>
      <c r="I6" s="85" t="s">
        <v>30</v>
      </c>
      <c r="J6" s="86" t="s">
        <v>29</v>
      </c>
      <c r="K6" s="85" t="s">
        <v>28</v>
      </c>
      <c r="L6" s="85" t="s">
        <v>48</v>
      </c>
      <c r="M6" s="85" t="s">
        <v>27</v>
      </c>
      <c r="N6" s="85" t="s">
        <v>24</v>
      </c>
      <c r="P6" s="87" t="s">
        <v>259</v>
      </c>
      <c r="Q6" s="87" t="s">
        <v>70</v>
      </c>
      <c r="R6" s="118" t="s">
        <v>258</v>
      </c>
      <c r="S6" s="119" t="s">
        <v>252</v>
      </c>
      <c r="T6" s="120" t="s">
        <v>253</v>
      </c>
      <c r="U6" s="75" t="s">
        <v>383</v>
      </c>
      <c r="V6" s="75" t="s">
        <v>653</v>
      </c>
    </row>
    <row r="7" spans="1:22" s="1" customFormat="1" x14ac:dyDescent="0.25">
      <c r="A7" s="83">
        <v>42559.686192129629</v>
      </c>
      <c r="B7" s="43" t="s">
        <v>147</v>
      </c>
      <c r="C7" s="43" t="s">
        <v>495</v>
      </c>
      <c r="D7" s="43" t="s">
        <v>50</v>
      </c>
      <c r="E7" s="43" t="s">
        <v>331</v>
      </c>
      <c r="F7" s="71">
        <v>0</v>
      </c>
      <c r="G7" s="71">
        <v>227</v>
      </c>
      <c r="H7" s="71">
        <v>54094</v>
      </c>
      <c r="I7" s="43" t="s">
        <v>332</v>
      </c>
      <c r="J7" s="71">
        <v>53277</v>
      </c>
      <c r="K7" s="43" t="s">
        <v>54</v>
      </c>
      <c r="L7" s="10" t="str">
        <f>VLOOKUP(C7,'Trips&amp;Operators'!$C$1:$E$9999,3,0)</f>
        <v>SPECTOR</v>
      </c>
      <c r="M7" s="9" t="s">
        <v>109</v>
      </c>
      <c r="N7" s="10" t="s">
        <v>650</v>
      </c>
      <c r="O7" s="43"/>
      <c r="P7" s="78" t="str">
        <f>VLOOKUP(C7,'Train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7" s="76" t="str">
        <f>VLOOKUP(C7,'Train Runs'!$A$13:$AE$922,22,0)</f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" s="77" t="str">
        <f>VLOOKUP(C7,'Train Runs'!$A$13:$AF$922,32,0)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S7" s="9" t="str">
        <f t="shared" ref="S7:S38" si="0">MID(B7,13,4)</f>
        <v>4043</v>
      </c>
      <c r="T7" s="52">
        <f t="shared" ref="T7:T38" si="1">A7+6/24</f>
        <v>42559.936192129629</v>
      </c>
      <c r="U7" s="75" t="str">
        <f t="shared" ref="U7:U38" si="2">IF(VALUE(LEFT(C7,3))&lt;300,"EC","NWGL")</f>
        <v>EC</v>
      </c>
      <c r="V7" s="75" t="str">
        <f>IF(AND(E7="TRACK WARRANT AUTHORITY",G7&lt;10),"OMIT","KEEP")</f>
        <v>KEEP</v>
      </c>
    </row>
    <row r="8" spans="1:22" s="1" customFormat="1" x14ac:dyDescent="0.25">
      <c r="A8" s="83">
        <v>42559.519270833334</v>
      </c>
      <c r="B8" s="43" t="s">
        <v>131</v>
      </c>
      <c r="C8" s="43" t="s">
        <v>488</v>
      </c>
      <c r="D8" s="43" t="s">
        <v>50</v>
      </c>
      <c r="E8" s="43" t="s">
        <v>331</v>
      </c>
      <c r="F8" s="71">
        <v>0</v>
      </c>
      <c r="G8" s="71">
        <v>456</v>
      </c>
      <c r="H8" s="71">
        <v>56772</v>
      </c>
      <c r="I8" s="43" t="s">
        <v>332</v>
      </c>
      <c r="J8" s="71">
        <v>58118</v>
      </c>
      <c r="K8" s="43" t="s">
        <v>53</v>
      </c>
      <c r="L8" s="10" t="str">
        <f>VLOOKUP(C8,'Trips&amp;Operators'!$C$1:$E$9999,3,0)</f>
        <v>STEWART</v>
      </c>
      <c r="M8" s="9" t="s">
        <v>109</v>
      </c>
      <c r="N8" s="10" t="s">
        <v>651</v>
      </c>
      <c r="O8" s="43"/>
      <c r="P8" s="78" t="str">
        <f>VLOOKUP(C8,'Train Runs'!$A$13:$AE$922,31,0)</f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Q8" s="76" t="str">
        <f>VLOOKUP(C8,'Train Runs'!$A$13:$AE$922,22,0)</f>
        <v>https://search-rtdc-monitor-bjffxe2xuh6vdkpspy63sjmuny.us-east-1.es.amazonaws.com/_plugin/kibana/#/discover/Steve-Slow-Train-Analysis-(2080s-and-2083s)?_g=(refreshInterval:(display:Off,section:0,value:0),time:(from:'2016-07-08 12:07:00-0600',mode:absolute,to:'2016-07-08 12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" s="77" t="str">
        <f>VLOOKUP(C8,'Train Runs'!$A$13:$AF$922,32,0)</f>
        <v>"C:\Program Files (x86)\AstroGrep\AstroGrep.exe" /spath="C:\Users\stu\Documents\Analysis\2016-02-23 RTDC Observations" /stypes="*4027*20160708*" /stext=" 18:.+((prompt.+disp)|(slice.+state.+chan)|(ment ac)|(system.+state.+chan)|(\|lc)|(penalty)|(\[timeout))" /e /r /s</v>
      </c>
      <c r="S8" s="9" t="str">
        <f t="shared" si="0"/>
        <v>4027</v>
      </c>
      <c r="T8" s="52">
        <f t="shared" si="1"/>
        <v>42559.769270833334</v>
      </c>
      <c r="U8" s="75" t="str">
        <f t="shared" si="2"/>
        <v>EC</v>
      </c>
      <c r="V8" s="75" t="str">
        <f t="shared" ref="V8:V70" si="3">IF(AND(E8="TRACK WARRANT AUTHORITY",G8&lt;10),"OMIT","KEEP")</f>
        <v>KEEP</v>
      </c>
    </row>
    <row r="9" spans="1:22" s="1" customFormat="1" x14ac:dyDescent="0.25">
      <c r="A9" s="83">
        <v>42559.288900462961</v>
      </c>
      <c r="B9" s="69" t="s">
        <v>123</v>
      </c>
      <c r="C9" s="43" t="s">
        <v>362</v>
      </c>
      <c r="D9" s="43" t="s">
        <v>50</v>
      </c>
      <c r="E9" s="43" t="s">
        <v>331</v>
      </c>
      <c r="F9" s="71">
        <v>0</v>
      </c>
      <c r="G9" s="71">
        <v>396</v>
      </c>
      <c r="H9" s="71">
        <v>127244</v>
      </c>
      <c r="I9" s="43" t="s">
        <v>332</v>
      </c>
      <c r="J9" s="71">
        <v>127562</v>
      </c>
      <c r="K9" s="43" t="s">
        <v>53</v>
      </c>
      <c r="L9" s="10" t="str">
        <f>VLOOKUP(C9,'Trips&amp;Operators'!$C$1:$E$9999,3,0)</f>
        <v>MALAVE</v>
      </c>
      <c r="M9" s="9" t="s">
        <v>109</v>
      </c>
      <c r="N9" s="10" t="s">
        <v>651</v>
      </c>
      <c r="O9" s="43"/>
      <c r="P9" s="78" t="str">
        <f>VLOOKUP(C9,'Train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9" s="76" t="str">
        <f>VLOOKUP(C9,'Train Runs'!$A$13:$AE$922,22,0)</f>
        <v>https://search-rtdc-monitor-bjffxe2xuh6vdkpspy63sjmuny.us-east-1.es.amazonaws.com/_plugin/kibana/#/discover/Steve-Slow-Train-Analysis-(2080s-and-2083s)?_g=(refreshInterval:(display:Off,section:0,value:0),time:(from:'2016-07-08 06:32:09-0600',mode:absolute,to:'2016-07-08 07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9" s="77" t="str">
        <f>VLOOKUP(C9,'Train Runs'!$A$13:$AF$922,32,0)</f>
        <v>"C:\Program Files (x86)\AstroGrep\AstroGrep.exe" /spath="C:\Users\stu\Documents\Analysis\2016-02-23 RTDC Observations" /stypes="*4014*20160708*" /stext=" 12:.+((prompt.+disp)|(slice.+state.+chan)|(ment ac)|(system.+state.+chan)|(\|lc)|(penalty)|(\[timeout))" /e /r /s</v>
      </c>
      <c r="S9" s="9" t="str">
        <f t="shared" si="0"/>
        <v>4014</v>
      </c>
      <c r="T9" s="52">
        <f t="shared" si="1"/>
        <v>42559.538900462961</v>
      </c>
      <c r="U9" s="75" t="str">
        <f t="shared" si="2"/>
        <v>EC</v>
      </c>
      <c r="V9" s="75" t="str">
        <f t="shared" si="3"/>
        <v>KEEP</v>
      </c>
    </row>
    <row r="10" spans="1:22" s="1" customFormat="1" x14ac:dyDescent="0.25">
      <c r="A10" s="83">
        <v>42559.407824074071</v>
      </c>
      <c r="B10" s="69" t="s">
        <v>152</v>
      </c>
      <c r="C10" s="43" t="s">
        <v>373</v>
      </c>
      <c r="D10" s="43" t="s">
        <v>55</v>
      </c>
      <c r="E10" s="69" t="s">
        <v>58</v>
      </c>
      <c r="F10" s="71">
        <v>150</v>
      </c>
      <c r="G10" s="71">
        <v>201</v>
      </c>
      <c r="H10" s="71">
        <v>3935</v>
      </c>
      <c r="I10" s="69" t="s">
        <v>59</v>
      </c>
      <c r="J10" s="71">
        <v>0</v>
      </c>
      <c r="K10" s="43" t="s">
        <v>53</v>
      </c>
      <c r="L10" s="10" t="str">
        <f>VLOOKUP(C10,'Trips&amp;Operators'!$C$1:$E$9999,3,0)</f>
        <v>STARKS</v>
      </c>
      <c r="M10" s="9" t="s">
        <v>109</v>
      </c>
      <c r="N10" s="10"/>
      <c r="O10" s="43"/>
      <c r="P10" s="78" t="str">
        <f>VLOOKUP(C10,'Train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10" s="76" t="str">
        <f>VLOOKUP(C10,'Train Runs'!$A$13:$AE$922,22,0)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0" s="77" t="str">
        <f>VLOOKUP(C10,'Train Runs'!$A$13:$AF$922,32,0)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10" s="9" t="str">
        <f t="shared" si="0"/>
        <v>4040</v>
      </c>
      <c r="T10" s="52">
        <f t="shared" si="1"/>
        <v>42559.657824074071</v>
      </c>
      <c r="U10" s="75" t="str">
        <f t="shared" si="2"/>
        <v>EC</v>
      </c>
      <c r="V10" s="75" t="str">
        <f t="shared" si="3"/>
        <v>KEEP</v>
      </c>
    </row>
    <row r="11" spans="1:22" s="1" customFormat="1" x14ac:dyDescent="0.25">
      <c r="A11" s="83">
        <v>42559.499097222222</v>
      </c>
      <c r="B11" s="43" t="s">
        <v>126</v>
      </c>
      <c r="C11" s="43" t="s">
        <v>401</v>
      </c>
      <c r="D11" s="43" t="s">
        <v>50</v>
      </c>
      <c r="E11" s="43" t="s">
        <v>58</v>
      </c>
      <c r="F11" s="71">
        <v>450</v>
      </c>
      <c r="G11" s="71">
        <v>438</v>
      </c>
      <c r="H11" s="71">
        <v>17555</v>
      </c>
      <c r="I11" s="43" t="s">
        <v>59</v>
      </c>
      <c r="J11" s="71">
        <v>15167</v>
      </c>
      <c r="K11" s="43" t="s">
        <v>54</v>
      </c>
      <c r="L11" s="10" t="str">
        <f>VLOOKUP(C11,'Trips&amp;Operators'!$C$1:$E$9999,3,0)</f>
        <v>MOSES</v>
      </c>
      <c r="M11" s="9" t="s">
        <v>109</v>
      </c>
      <c r="N11" s="10"/>
      <c r="O11" s="43"/>
      <c r="P11" s="78" t="str">
        <f>VLOOKUP(C11,'Train Runs'!$A$13:$AE$922,31,0)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Q11" s="76" t="str">
        <f>VLOOKUP(C11,'Train Runs'!$A$13:$AE$922,22,0)</f>
        <v>https://search-rtdc-monitor-bjffxe2xuh6vdkpspy63sjmuny.us-east-1.es.amazonaws.com/_plugin/kibana/#/discover/Steve-Slow-Train-Analysis-(2080s-and-2083s)?_g=(refreshInterval:(display:Off,section:0,value:0),time:(from:'2016-07-08 11:16:43-0600',mode:absolute,to:'2016-07-08 12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1" s="77" t="str">
        <f>VLOOKUP(C11,'Train Runs'!$A$13:$AF$922,32,0)</f>
        <v>"C:\Program Files (x86)\AstroGrep\AstroGrep.exe" /spath="C:\Users\stu\Documents\Analysis\2016-02-23 RTDC Observations" /stypes="*4028*20160708*" /stext=" 17:.+((prompt.+disp)|(slice.+state.+chan)|(ment ac)|(system.+state.+chan)|(\|lc)|(penalty)|(\[timeout))" /e /r /s</v>
      </c>
      <c r="S11" s="9" t="str">
        <f t="shared" si="0"/>
        <v>4028</v>
      </c>
      <c r="T11" s="52">
        <f t="shared" si="1"/>
        <v>42559.749097222222</v>
      </c>
      <c r="U11" s="75" t="str">
        <f t="shared" si="2"/>
        <v>EC</v>
      </c>
      <c r="V11" s="75" t="str">
        <f t="shared" si="3"/>
        <v>KEEP</v>
      </c>
    </row>
    <row r="12" spans="1:22" s="1" customFormat="1" x14ac:dyDescent="0.25">
      <c r="A12" s="83">
        <v>42559.258483796293</v>
      </c>
      <c r="B12" s="70" t="s">
        <v>124</v>
      </c>
      <c r="C12" s="11" t="s">
        <v>346</v>
      </c>
      <c r="D12" s="11" t="s">
        <v>50</v>
      </c>
      <c r="E12" s="70" t="s">
        <v>58</v>
      </c>
      <c r="F12" s="72">
        <v>300</v>
      </c>
      <c r="G12" s="72">
        <v>485</v>
      </c>
      <c r="H12" s="72">
        <v>24128</v>
      </c>
      <c r="I12" s="70" t="s">
        <v>59</v>
      </c>
      <c r="J12" s="72">
        <v>21848</v>
      </c>
      <c r="K12" s="10" t="s">
        <v>54</v>
      </c>
      <c r="L12" s="10" t="str">
        <f>VLOOKUP(C12,'Trips&amp;Operators'!$C$1:$E$9999,3,0)</f>
        <v>MALAVE</v>
      </c>
      <c r="M12" s="9" t="s">
        <v>109</v>
      </c>
      <c r="N12" s="10"/>
      <c r="O12" s="75"/>
      <c r="P12" s="78" t="str">
        <f>VLOOKUP(C12,'Train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12" s="76" t="str">
        <f>VLOOKUP(C12,'Train Runs'!$A$13:$AE$922,22,0)</f>
        <v>https://search-rtdc-monitor-bjffxe2xuh6vdkpspy63sjmuny.us-east-1.es.amazonaws.com/_plugin/kibana/#/discover/Steve-Slow-Train-Analysis-(2080s-and-2083s)?_g=(refreshInterval:(display:Off,section:0,value:0),time:(from:'2016-07-08 05:36:22-0600',mode:absolute,to:'2016-07-08 06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2" s="77" t="str">
        <f>VLOOKUP(C12,'Train Runs'!$A$13:$AF$922,32,0)</f>
        <v>"C:\Program Files (x86)\AstroGrep\AstroGrep.exe" /spath="C:\Users\stu\Documents\Analysis\2016-02-23 RTDC Observations" /stypes="*4013*20160708*" /stext=" 11:.+((prompt.+disp)|(slice.+state.+chan)|(ment ac)|(system.+state.+chan)|(\|lc)|(penalty)|(\[timeout))" /e /r /s</v>
      </c>
      <c r="S12" s="9" t="str">
        <f t="shared" si="0"/>
        <v>4013</v>
      </c>
      <c r="T12" s="52">
        <f t="shared" si="1"/>
        <v>42559.508483796293</v>
      </c>
      <c r="U12" s="75" t="str">
        <f t="shared" si="2"/>
        <v>EC</v>
      </c>
      <c r="V12" s="75" t="str">
        <f t="shared" si="3"/>
        <v>KEEP</v>
      </c>
    </row>
    <row r="13" spans="1:22" s="1" customFormat="1" x14ac:dyDescent="0.25">
      <c r="A13" s="84">
        <v>42559.411261574074</v>
      </c>
      <c r="B13" s="69" t="s">
        <v>152</v>
      </c>
      <c r="C13" s="43" t="s">
        <v>373</v>
      </c>
      <c r="D13" s="43" t="s">
        <v>50</v>
      </c>
      <c r="E13" s="43" t="s">
        <v>58</v>
      </c>
      <c r="F13" s="71">
        <v>200</v>
      </c>
      <c r="G13" s="71">
        <v>445</v>
      </c>
      <c r="H13" s="71">
        <v>25438</v>
      </c>
      <c r="I13" s="43" t="s">
        <v>59</v>
      </c>
      <c r="J13" s="71">
        <v>27333</v>
      </c>
      <c r="K13" s="43" t="s">
        <v>53</v>
      </c>
      <c r="L13" s="10" t="str">
        <f>VLOOKUP(C13,'Trips&amp;Operators'!$C$1:$E$9999,3,0)</f>
        <v>STARKS</v>
      </c>
      <c r="M13" s="9" t="s">
        <v>109</v>
      </c>
      <c r="N13" s="10"/>
      <c r="O13" s="43"/>
      <c r="P13" s="78" t="str">
        <f>VLOOKUP(C13,'Train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13" s="76" t="str">
        <f>VLOOKUP(C13,'Train Runs'!$A$13:$AE$922,22,0)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3" s="77" t="str">
        <f>VLOOKUP(C13,'Train Runs'!$A$13:$AF$922,32,0)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13" s="9" t="str">
        <f t="shared" si="0"/>
        <v>4040</v>
      </c>
      <c r="T13" s="52">
        <f t="shared" si="1"/>
        <v>42559.661261574074</v>
      </c>
      <c r="U13" s="75" t="str">
        <f t="shared" si="2"/>
        <v>EC</v>
      </c>
      <c r="V13" s="75" t="str">
        <f t="shared" si="3"/>
        <v>KEEP</v>
      </c>
    </row>
    <row r="14" spans="1:22" s="1" customFormat="1" x14ac:dyDescent="0.25">
      <c r="A14" s="83">
        <v>42559.46597222222</v>
      </c>
      <c r="B14" s="69" t="s">
        <v>176</v>
      </c>
      <c r="C14" s="43" t="s">
        <v>378</v>
      </c>
      <c r="D14" s="43" t="s">
        <v>50</v>
      </c>
      <c r="E14" s="69" t="s">
        <v>58</v>
      </c>
      <c r="F14" s="71">
        <v>200</v>
      </c>
      <c r="G14" s="71">
        <v>164</v>
      </c>
      <c r="H14" s="71">
        <v>30792</v>
      </c>
      <c r="I14" s="69" t="s">
        <v>59</v>
      </c>
      <c r="J14" s="71">
        <v>30562</v>
      </c>
      <c r="K14" s="43" t="s">
        <v>54</v>
      </c>
      <c r="L14" s="10" t="str">
        <f>VLOOKUP(C14,'Trips&amp;Operators'!$C$1:$E$9999,3,0)</f>
        <v>STARKS</v>
      </c>
      <c r="M14" s="9" t="s">
        <v>109</v>
      </c>
      <c r="N14" s="10"/>
      <c r="O14" s="75"/>
      <c r="P14" s="78" t="str">
        <f>VLOOKUP(C14,'Train Runs'!$A$13:$AE$922,31,0)</f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Q14" s="76" t="str">
        <f>VLOOKUP(C14,'Train Runs'!$A$13:$AE$922,22,0)</f>
        <v>https://search-rtdc-monitor-bjffxe2xuh6vdkpspy63sjmuny.us-east-1.es.amazonaws.com/_plugin/kibana/#/discover/Steve-Slow-Train-Analysis-(2080s-and-2083s)?_g=(refreshInterval:(display:Off,section:0,value:0),time:(from:'2016-07-08 10:35:23-0600',mode:absolute,to:'2016-07-08 11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4" s="77" t="str">
        <f>VLOOKUP(C14,'Train Runs'!$A$13:$AF$922,32,0)</f>
        <v>"C:\Program Files (x86)\AstroGrep\AstroGrep.exe" /spath="C:\Users\stu\Documents\Analysis\2016-02-23 RTDC Observations" /stypes="*4039*20160708*" /stext=" 16:.+((prompt.+disp)|(slice.+state.+chan)|(ment ac)|(system.+state.+chan)|(\|lc)|(penalty)|(\[timeout))" /e /r /s</v>
      </c>
      <c r="S14" s="9" t="str">
        <f t="shared" si="0"/>
        <v>4039</v>
      </c>
      <c r="T14" s="52">
        <f t="shared" si="1"/>
        <v>42559.71597222222</v>
      </c>
      <c r="U14" s="75" t="str">
        <f t="shared" si="2"/>
        <v>EC</v>
      </c>
      <c r="V14" s="75" t="str">
        <f t="shared" si="3"/>
        <v>KEEP</v>
      </c>
    </row>
    <row r="15" spans="1:22" s="1" customFormat="1" x14ac:dyDescent="0.25">
      <c r="A15" s="84">
        <v>42559.466099537036</v>
      </c>
      <c r="B15" s="69" t="s">
        <v>124</v>
      </c>
      <c r="C15" s="43" t="s">
        <v>379</v>
      </c>
      <c r="D15" s="43" t="s">
        <v>50</v>
      </c>
      <c r="E15" s="69" t="s">
        <v>58</v>
      </c>
      <c r="F15" s="71">
        <v>400</v>
      </c>
      <c r="G15" s="71">
        <v>530</v>
      </c>
      <c r="H15" s="71">
        <v>121685</v>
      </c>
      <c r="I15" s="69" t="s">
        <v>59</v>
      </c>
      <c r="J15" s="71">
        <v>119716</v>
      </c>
      <c r="K15" s="43" t="s">
        <v>54</v>
      </c>
      <c r="L15" s="10" t="str">
        <f>VLOOKUP(C15,'Trips&amp;Operators'!$C$1:$E$9999,3,0)</f>
        <v>MALAVE</v>
      </c>
      <c r="M15" s="9" t="s">
        <v>109</v>
      </c>
      <c r="N15" s="10"/>
      <c r="O15" s="43"/>
      <c r="P15" s="78" t="str">
        <f>VLOOKUP(C15,'Train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15" s="76" t="str">
        <f>VLOOKUP(C15,'Train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5" s="77" t="str">
        <f>VLOOKUP(C15,'Train Runs'!$A$13:$AF$922,32,0)</f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S15" s="9" t="str">
        <f t="shared" si="0"/>
        <v>4013</v>
      </c>
      <c r="T15" s="52">
        <f t="shared" si="1"/>
        <v>42559.716099537036</v>
      </c>
      <c r="U15" s="75" t="str">
        <f t="shared" si="2"/>
        <v>EC</v>
      </c>
      <c r="V15" s="75" t="str">
        <f t="shared" si="3"/>
        <v>KEEP</v>
      </c>
    </row>
    <row r="16" spans="1:22" s="1" customFormat="1" x14ac:dyDescent="0.25">
      <c r="A16" s="83">
        <v>42559.364745370367</v>
      </c>
      <c r="B16" s="69" t="s">
        <v>123</v>
      </c>
      <c r="C16" s="43" t="s">
        <v>370</v>
      </c>
      <c r="D16" s="43" t="s">
        <v>55</v>
      </c>
      <c r="E16" s="69" t="s">
        <v>58</v>
      </c>
      <c r="F16" s="71">
        <v>600</v>
      </c>
      <c r="G16" s="71">
        <v>651</v>
      </c>
      <c r="H16" s="71">
        <v>189470</v>
      </c>
      <c r="I16" s="69" t="s">
        <v>59</v>
      </c>
      <c r="J16" s="71">
        <v>183829</v>
      </c>
      <c r="K16" s="43" t="s">
        <v>53</v>
      </c>
      <c r="L16" s="10" t="str">
        <f>VLOOKUP(C16,'Trips&amp;Operators'!$C$1:$E$9999,3,0)</f>
        <v>MALAVE</v>
      </c>
      <c r="M16" s="9" t="s">
        <v>109</v>
      </c>
      <c r="N16" s="10"/>
      <c r="O16" s="43"/>
      <c r="P16" s="78" t="str">
        <f>VLOOKUP(C16,'Train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16" s="76" t="str">
        <f>VLOOKUP(C16,'Train Runs'!$A$13:$AE$922,22,0)</f>
        <v>https://search-rtdc-monitor-bjffxe2xuh6vdkpspy63sjmuny.us-east-1.es.amazonaws.com/_plugin/kibana/#/discover/Steve-Slow-Train-Analysis-(2080s-and-2083s)?_g=(refreshInterval:(display:Off,section:0,value:0),time:(from:'2016-07-08 08:10:45-0600',mode:absolute,to:'2016-07-08 08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6" s="77" t="str">
        <f>VLOOKUP(C16,'Train Runs'!$A$13:$AF$922,32,0)</f>
        <v>"C:\Program Files (x86)\AstroGrep\AstroGrep.exe" /spath="C:\Users\stu\Documents\Analysis\2016-02-23 RTDC Observations" /stypes="*4014*20160708*" /stext=" 14:.+((prompt.+disp)|(slice.+state.+chan)|(ment ac)|(system.+state.+chan)|(\|lc)|(penalty)|(\[timeout))" /e /r /s</v>
      </c>
      <c r="S16" s="9" t="str">
        <f t="shared" si="0"/>
        <v>4014</v>
      </c>
      <c r="T16" s="52">
        <f t="shared" si="1"/>
        <v>42559.614745370367</v>
      </c>
      <c r="U16" s="75" t="str">
        <f t="shared" si="2"/>
        <v>EC</v>
      </c>
      <c r="V16" s="75" t="str">
        <f t="shared" si="3"/>
        <v>KEEP</v>
      </c>
    </row>
    <row r="17" spans="1:22" s="1" customFormat="1" x14ac:dyDescent="0.25">
      <c r="A17" s="83">
        <v>42559.533009259256</v>
      </c>
      <c r="B17" s="43" t="s">
        <v>131</v>
      </c>
      <c r="C17" s="43" t="s">
        <v>488</v>
      </c>
      <c r="D17" s="43" t="s">
        <v>50</v>
      </c>
      <c r="E17" s="43" t="s">
        <v>58</v>
      </c>
      <c r="F17" s="71">
        <v>600</v>
      </c>
      <c r="G17" s="71">
        <v>686</v>
      </c>
      <c r="H17" s="71">
        <v>182244</v>
      </c>
      <c r="I17" s="43" t="s">
        <v>59</v>
      </c>
      <c r="J17" s="71">
        <v>183829</v>
      </c>
      <c r="K17" s="43" t="s">
        <v>53</v>
      </c>
      <c r="L17" s="10" t="str">
        <f>VLOOKUP(C17,'Trips&amp;Operators'!$C$1:$E$9999,3,0)</f>
        <v>STEWART</v>
      </c>
      <c r="M17" s="9" t="s">
        <v>109</v>
      </c>
      <c r="N17" s="10"/>
      <c r="O17" s="43"/>
      <c r="P17" s="78" t="str">
        <f>VLOOKUP(C17,'Train Runs'!$A$13:$AE$922,31,0)</f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Q17" s="76" t="str">
        <f>VLOOKUP(C17,'Train Runs'!$A$13:$AE$922,22,0)</f>
        <v>https://search-rtdc-monitor-bjffxe2xuh6vdkpspy63sjmuny.us-east-1.es.amazonaws.com/_plugin/kibana/#/discover/Steve-Slow-Train-Analysis-(2080s-and-2083s)?_g=(refreshInterval:(display:Off,section:0,value:0),time:(from:'2016-07-08 12:07:00-0600',mode:absolute,to:'2016-07-08 12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7" s="77" t="str">
        <f>VLOOKUP(C17,'Train Runs'!$A$13:$AF$922,32,0)</f>
        <v>"C:\Program Files (x86)\AstroGrep\AstroGrep.exe" /spath="C:\Users\stu\Documents\Analysis\2016-02-23 RTDC Observations" /stypes="*4027*20160708*" /stext=" 18:.+((prompt.+disp)|(slice.+state.+chan)|(ment ac)|(system.+state.+chan)|(\|lc)|(penalty)|(\[timeout))" /e /r /s</v>
      </c>
      <c r="S17" s="9" t="str">
        <f t="shared" si="0"/>
        <v>4027</v>
      </c>
      <c r="T17" s="52">
        <f t="shared" si="1"/>
        <v>42559.783009259256</v>
      </c>
      <c r="U17" s="75" t="str">
        <f t="shared" si="2"/>
        <v>EC</v>
      </c>
      <c r="V17" s="75" t="str">
        <f t="shared" si="3"/>
        <v>KEEP</v>
      </c>
    </row>
    <row r="18" spans="1:22" s="1" customFormat="1" x14ac:dyDescent="0.25">
      <c r="A18" s="83">
        <v>42559.732048611113</v>
      </c>
      <c r="B18" s="43" t="s">
        <v>73</v>
      </c>
      <c r="C18" s="43" t="s">
        <v>499</v>
      </c>
      <c r="D18" s="43" t="s">
        <v>50</v>
      </c>
      <c r="E18" s="43" t="s">
        <v>58</v>
      </c>
      <c r="F18" s="71">
        <v>450</v>
      </c>
      <c r="G18" s="71">
        <v>448</v>
      </c>
      <c r="H18" s="71">
        <v>191263</v>
      </c>
      <c r="I18" s="43" t="s">
        <v>59</v>
      </c>
      <c r="J18" s="71">
        <v>191108</v>
      </c>
      <c r="K18" s="43" t="s">
        <v>54</v>
      </c>
      <c r="L18" s="10" t="str">
        <f>VLOOKUP(C18,'Trips&amp;Operators'!$C$1:$E$9999,3,0)</f>
        <v>HELVIE</v>
      </c>
      <c r="M18" s="9" t="s">
        <v>109</v>
      </c>
      <c r="N18" s="10"/>
      <c r="O18" s="43"/>
      <c r="P18" s="78" t="str">
        <f>VLOOKUP(C18,'Train Runs'!$A$13:$AE$922,31,0)</f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Q18" s="76" t="str">
        <f>VLOOKUP(C18,'Train Runs'!$A$13:$AE$922,22,0)</f>
        <v>https://search-rtdc-monitor-bjffxe2xuh6vdkpspy63sjmuny.us-east-1.es.amazonaws.com/_plugin/kibana/#/discover/Steve-Slow-Train-Analysis-(2080s-and-2083s)?_g=(refreshInterval:(display:Off,section:0,value:0),time:(from:'2016-07-08 17:21:36-0600',mode:absolute,to:'2016-07-08 18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8" s="77" t="str">
        <f>VLOOKUP(C18,'Train Runs'!$A$13:$AF$922,32,0)</f>
        <v>"C:\Program Files (x86)\AstroGrep\AstroGrep.exe" /spath="C:\Users\stu\Documents\Analysis\2016-02-23 RTDC Observations" /stypes="*4019*20160708*" /stext=" 23:.+((prompt.+disp)|(slice.+state.+chan)|(ment ac)|(system.+state.+chan)|(\|lc)|(penalty)|(\[timeout))" /e /r /s</v>
      </c>
      <c r="S18" s="9" t="str">
        <f t="shared" si="0"/>
        <v>4019</v>
      </c>
      <c r="T18" s="52">
        <f t="shared" si="1"/>
        <v>42559.982048611113</v>
      </c>
      <c r="U18" s="75" t="str">
        <f t="shared" si="2"/>
        <v>EC</v>
      </c>
      <c r="V18" s="75" t="str">
        <f t="shared" si="3"/>
        <v>KEEP</v>
      </c>
    </row>
    <row r="19" spans="1:22" s="1" customFormat="1" x14ac:dyDescent="0.25">
      <c r="A19" s="83">
        <v>42559.835150462961</v>
      </c>
      <c r="B19" s="43" t="s">
        <v>119</v>
      </c>
      <c r="C19" s="43" t="s">
        <v>598</v>
      </c>
      <c r="D19" s="43" t="s">
        <v>50</v>
      </c>
      <c r="E19" s="43" t="s">
        <v>58</v>
      </c>
      <c r="F19" s="71">
        <v>550</v>
      </c>
      <c r="G19" s="71">
        <v>715</v>
      </c>
      <c r="H19" s="71">
        <v>219612</v>
      </c>
      <c r="I19" s="43" t="s">
        <v>59</v>
      </c>
      <c r="J19" s="71">
        <v>222090</v>
      </c>
      <c r="K19" s="43" t="s">
        <v>53</v>
      </c>
      <c r="L19" s="10" t="str">
        <f>VLOOKUP(C19,'Trips&amp;Operators'!$C$1:$E$9999,3,0)</f>
        <v>LEVERE</v>
      </c>
      <c r="M19" s="9" t="s">
        <v>109</v>
      </c>
      <c r="N19" s="10"/>
      <c r="O19" s="43"/>
      <c r="P19" s="78" t="str">
        <f>VLOOKUP(C19,'Train Runs'!$A$13:$AE$922,31,0)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Q19" s="76" t="str">
        <f>VLOOKUP(C19,'Train Runs'!$A$13:$AE$922,22,0)</f>
        <v>https://search-rtdc-monitor-bjffxe2xuh6vdkpspy63sjmuny.us-east-1.es.amazonaws.com/_plugin/kibana/#/discover/Steve-Slow-Train-Analysis-(2080s-and-2083s)?_g=(refreshInterval:(display:Off,section:0,value:0),time:(from:'2016-07-08 19:24:53-0600',mode:absolute,to:'2016-07-08 20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9" s="77" t="str">
        <f>VLOOKUP(C19,'Train Runs'!$A$13:$AF$922,32,0)</f>
        <v>"C:\Program Files (x86)\AstroGrep\AstroGrep.exe" /spath="C:\Users\stu\Documents\Analysis\2016-02-23 RTDC Observations" /stypes="*4011*20160709*" /stext=" 01:.+((prompt.+disp)|(slice.+state.+chan)|(ment ac)|(system.+state.+chan)|(\|lc)|(penalty)|(\[timeout))" /e /r /s</v>
      </c>
      <c r="S19" s="9" t="str">
        <f t="shared" si="0"/>
        <v>4011</v>
      </c>
      <c r="T19" s="52">
        <f t="shared" si="1"/>
        <v>42560.085150462961</v>
      </c>
      <c r="U19" s="75" t="str">
        <f t="shared" si="2"/>
        <v>EC</v>
      </c>
      <c r="V19" s="75" t="str">
        <f t="shared" si="3"/>
        <v>KEEP</v>
      </c>
    </row>
    <row r="20" spans="1:22" s="1" customFormat="1" x14ac:dyDescent="0.25">
      <c r="A20" s="83">
        <v>42559.282708333332</v>
      </c>
      <c r="B20" s="69" t="s">
        <v>152</v>
      </c>
      <c r="C20" s="43" t="s">
        <v>364</v>
      </c>
      <c r="D20" s="43" t="s">
        <v>50</v>
      </c>
      <c r="E20" s="43" t="s">
        <v>58</v>
      </c>
      <c r="F20" s="71">
        <v>350</v>
      </c>
      <c r="G20" s="71">
        <v>546</v>
      </c>
      <c r="H20" s="71">
        <v>222779</v>
      </c>
      <c r="I20" s="43" t="s">
        <v>59</v>
      </c>
      <c r="J20" s="71">
        <v>224578</v>
      </c>
      <c r="K20" s="43" t="s">
        <v>53</v>
      </c>
      <c r="L20" s="10" t="str">
        <f>VLOOKUP(C20,'Trips&amp;Operators'!$C$1:$E$9999,3,0)</f>
        <v>STARKS</v>
      </c>
      <c r="M20" s="9" t="s">
        <v>109</v>
      </c>
      <c r="N20" s="10"/>
      <c r="O20" s="43"/>
      <c r="P20" s="78" t="str">
        <f>VLOOKUP(C20,'Train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20" s="76" t="str">
        <f>VLOOKUP(C20,'Train Runs'!$A$13:$AE$922,22,0)</f>
        <v>https://search-rtdc-monitor-bjffxe2xuh6vdkpspy63sjmuny.us-east-1.es.amazonaws.com/_plugin/kibana/#/discover/Steve-Slow-Train-Analysis-(2080s-and-2083s)?_g=(refreshInterval:(display:Off,section:0,value:0),time:(from:'2016-07-08 06:09:36-0600',mode:absolute,to:'2016-07-08 06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0" s="77" t="str">
        <f>VLOOKUP(C20,'Train Runs'!$A$13:$AF$922,32,0)</f>
        <v>"C:\Program Files (x86)\AstroGrep\AstroGrep.exe" /spath="C:\Users\stu\Documents\Analysis\2016-02-23 RTDC Observations" /stypes="*4040*20160708*" /stext=" 12:.+((prompt.+disp)|(slice.+state.+chan)|(ment ac)|(system.+state.+chan)|(\|lc)|(penalty)|(\[timeout))" /e /r /s</v>
      </c>
      <c r="S20" s="9" t="str">
        <f t="shared" si="0"/>
        <v>4040</v>
      </c>
      <c r="T20" s="52">
        <f t="shared" si="1"/>
        <v>42559.532708333332</v>
      </c>
      <c r="U20" s="75" t="str">
        <f t="shared" si="2"/>
        <v>EC</v>
      </c>
      <c r="V20" s="75" t="str">
        <f t="shared" si="3"/>
        <v>KEEP</v>
      </c>
    </row>
    <row r="21" spans="1:22" s="1" customFormat="1" x14ac:dyDescent="0.25">
      <c r="A21" s="83">
        <v>42559.300729166665</v>
      </c>
      <c r="B21" s="69" t="s">
        <v>176</v>
      </c>
      <c r="C21" s="43" t="s">
        <v>366</v>
      </c>
      <c r="D21" s="43" t="s">
        <v>50</v>
      </c>
      <c r="E21" s="69" t="s">
        <v>58</v>
      </c>
      <c r="F21" s="71">
        <v>150</v>
      </c>
      <c r="G21" s="71">
        <v>155</v>
      </c>
      <c r="H21" s="71">
        <v>229434</v>
      </c>
      <c r="I21" s="69" t="s">
        <v>59</v>
      </c>
      <c r="J21" s="71">
        <v>229055</v>
      </c>
      <c r="K21" s="43" t="s">
        <v>54</v>
      </c>
      <c r="L21" s="10" t="str">
        <f>VLOOKUP(C21,'Trips&amp;Operators'!$C$1:$E$9999,3,0)</f>
        <v>STARKS</v>
      </c>
      <c r="M21" s="9" t="s">
        <v>109</v>
      </c>
      <c r="N21" s="10"/>
      <c r="O21" s="75"/>
      <c r="P21" s="78" t="str">
        <f>VLOOKUP(C21,'Train Runs'!$A$13:$AE$922,31,0)</f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Q21" s="76" t="str">
        <f>VLOOKUP(C21,'Train Runs'!$A$13:$AE$922,22,0)</f>
        <v>https://search-rtdc-monitor-bjffxe2xuh6vdkpspy63sjmuny.us-east-1.es.amazonaws.com/_plugin/kibana/#/discover/Steve-Slow-Train-Analysis-(2080s-and-2083s)?_g=(refreshInterval:(display:Off,section:0,value:0),time:(from:'2016-07-08 07:07:39-0600',mode:absolute,to:'2016-07-08 07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1" s="77" t="str">
        <f>VLOOKUP(C21,'Train Runs'!$A$13:$AF$922,32,0)</f>
        <v>"C:\Program Files (x86)\AstroGrep\AstroGrep.exe" /spath="C:\Users\stu\Documents\Analysis\2016-02-23 RTDC Observations" /stypes="*4039*20160708*" /stext=" 13:.+((prompt.+disp)|(slice.+state.+chan)|(ment ac)|(system.+state.+chan)|(\|lc)|(penalty)|(\[timeout))" /e /r /s</v>
      </c>
      <c r="S21" s="9" t="str">
        <f t="shared" si="0"/>
        <v>4039</v>
      </c>
      <c r="T21" s="52">
        <f t="shared" si="1"/>
        <v>42559.550729166665</v>
      </c>
      <c r="U21" s="75" t="str">
        <f t="shared" si="2"/>
        <v>EC</v>
      </c>
      <c r="V21" s="75" t="str">
        <f t="shared" si="3"/>
        <v>KEEP</v>
      </c>
    </row>
    <row r="22" spans="1:22" s="1" customFormat="1" x14ac:dyDescent="0.25">
      <c r="A22" s="83">
        <v>42559.51358796296</v>
      </c>
      <c r="B22" s="43" t="s">
        <v>123</v>
      </c>
      <c r="C22" s="43" t="s">
        <v>392</v>
      </c>
      <c r="D22" s="43" t="s">
        <v>50</v>
      </c>
      <c r="E22" s="43" t="s">
        <v>58</v>
      </c>
      <c r="F22" s="71">
        <v>150</v>
      </c>
      <c r="G22" s="71">
        <v>126</v>
      </c>
      <c r="H22" s="71">
        <v>231675</v>
      </c>
      <c r="I22" s="43" t="s">
        <v>59</v>
      </c>
      <c r="J22" s="71">
        <v>232080</v>
      </c>
      <c r="K22" s="43" t="s">
        <v>53</v>
      </c>
      <c r="L22" s="10" t="str">
        <f>VLOOKUP(C22,'Trips&amp;Operators'!$C$1:$E$9999,3,0)</f>
        <v>LOCKLEAR</v>
      </c>
      <c r="M22" s="9" t="s">
        <v>109</v>
      </c>
      <c r="N22" s="10"/>
      <c r="O22" s="43"/>
      <c r="P22" s="78" t="str">
        <f>VLOOKUP(C22,'Train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22" s="76" t="str">
        <f>VLOOKUP(C22,'Train Runs'!$A$13:$AE$922,22,0)</f>
        <v>https://search-rtdc-monitor-bjffxe2xuh6vdkpspy63sjmuny.us-east-1.es.amazonaws.com/_plugin/kibana/#/discover/Steve-Slow-Train-Analysis-(2080s-and-2083s)?_g=(refreshInterval:(display:Off,section:0,value:0),time:(from:'2016-07-08 11:35:51-0600',mode:absolute,to:'2016-07-08 12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22" s="77" t="str">
        <f>VLOOKUP(C22,'Train Runs'!$A$13:$AF$922,32,0)</f>
        <v>"C:\Program Files (x86)\AstroGrep\AstroGrep.exe" /spath="C:\Users\stu\Documents\Analysis\2016-02-23 RTDC Observations" /stypes="*4014*20160708*" /stext=" 17:.+((prompt.+disp)|(slice.+state.+chan)|(ment ac)|(system.+state.+chan)|(\|lc)|(penalty)|(\[timeout))" /e /r /s</v>
      </c>
      <c r="S22" s="9" t="str">
        <f t="shared" si="0"/>
        <v>4014</v>
      </c>
      <c r="T22" s="52">
        <f t="shared" si="1"/>
        <v>42559.76358796296</v>
      </c>
      <c r="U22" s="75" t="str">
        <f t="shared" si="2"/>
        <v>EC</v>
      </c>
      <c r="V22" s="75" t="str">
        <f t="shared" si="3"/>
        <v>KEEP</v>
      </c>
    </row>
    <row r="23" spans="1:22" s="1" customFormat="1" x14ac:dyDescent="0.25">
      <c r="A23" s="52">
        <v>42559.446018518516</v>
      </c>
      <c r="B23" s="69" t="s">
        <v>122</v>
      </c>
      <c r="C23" s="43" t="s">
        <v>376</v>
      </c>
      <c r="D23" s="43" t="s">
        <v>50</v>
      </c>
      <c r="E23" s="69" t="s">
        <v>56</v>
      </c>
      <c r="F23" s="71">
        <v>0</v>
      </c>
      <c r="G23" s="71">
        <v>656</v>
      </c>
      <c r="H23" s="71">
        <v>45906</v>
      </c>
      <c r="I23" s="69" t="s">
        <v>57</v>
      </c>
      <c r="J23" s="71">
        <v>43664</v>
      </c>
      <c r="K23" s="43" t="s">
        <v>54</v>
      </c>
      <c r="L23" s="10" t="str">
        <f>VLOOKUP(C23,'Trips&amp;Operators'!$C$1:$E$9999,3,0)</f>
        <v>STURGEON</v>
      </c>
      <c r="M23" s="9" t="s">
        <v>108</v>
      </c>
      <c r="N23" s="10" t="s">
        <v>136</v>
      </c>
      <c r="O23" s="75"/>
      <c r="P23" s="78" t="str">
        <f>VLOOKUP(C23,'Train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23" s="76" t="str">
        <f>VLOOKUP(C23,'Train Runs'!$A$13:$AE$922,22,0)</f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3" s="77" t="str">
        <f>VLOOKUP(C23,'Train Runs'!$A$13:$AF$922,32,0)</f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S23" s="9" t="str">
        <f t="shared" si="0"/>
        <v>4026</v>
      </c>
      <c r="T23" s="52">
        <f t="shared" si="1"/>
        <v>42559.696018518516</v>
      </c>
      <c r="U23" s="75" t="str">
        <f t="shared" si="2"/>
        <v>EC</v>
      </c>
      <c r="V23" s="75" t="str">
        <f t="shared" si="3"/>
        <v>KEEP</v>
      </c>
    </row>
    <row r="24" spans="1:22" s="1" customFormat="1" x14ac:dyDescent="0.25">
      <c r="A24" s="52">
        <v>42559.41988425926</v>
      </c>
      <c r="B24" s="69" t="s">
        <v>152</v>
      </c>
      <c r="C24" s="43" t="s">
        <v>373</v>
      </c>
      <c r="D24" s="43" t="s">
        <v>50</v>
      </c>
      <c r="E24" s="69" t="s">
        <v>56</v>
      </c>
      <c r="F24" s="71">
        <v>0</v>
      </c>
      <c r="G24" s="71">
        <v>794</v>
      </c>
      <c r="H24" s="71">
        <v>101591</v>
      </c>
      <c r="I24" s="69" t="s">
        <v>57</v>
      </c>
      <c r="J24" s="71">
        <v>107939</v>
      </c>
      <c r="K24" s="43" t="s">
        <v>53</v>
      </c>
      <c r="L24" s="10" t="str">
        <f>VLOOKUP(C24,'Trips&amp;Operators'!$C$1:$E$9999,3,0)</f>
        <v>STARKS</v>
      </c>
      <c r="M24" s="9" t="s">
        <v>109</v>
      </c>
      <c r="N24" s="10" t="s">
        <v>486</v>
      </c>
      <c r="O24" s="75"/>
      <c r="P24" s="78" t="str">
        <f>VLOOKUP(C24,'Train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24" s="76" t="str">
        <f>VLOOKUP(C24,'Train Runs'!$A$13:$AE$922,22,0)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77" t="str">
        <f>VLOOKUP(C24,'Train Runs'!$A$13:$AF$922,32,0)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24" s="9" t="str">
        <f t="shared" si="0"/>
        <v>4040</v>
      </c>
      <c r="T24" s="52">
        <f t="shared" si="1"/>
        <v>42559.66988425926</v>
      </c>
      <c r="U24" s="75" t="str">
        <f t="shared" si="2"/>
        <v>EC</v>
      </c>
      <c r="V24" s="75" t="str">
        <f t="shared" si="3"/>
        <v>KEEP</v>
      </c>
    </row>
    <row r="25" spans="1:22" s="1" customFormat="1" x14ac:dyDescent="0.25">
      <c r="A25" s="52">
        <v>42559.685520833336</v>
      </c>
      <c r="B25" s="43" t="s">
        <v>124</v>
      </c>
      <c r="C25" s="43" t="s">
        <v>498</v>
      </c>
      <c r="D25" s="43" t="s">
        <v>50</v>
      </c>
      <c r="E25" s="43" t="s">
        <v>56</v>
      </c>
      <c r="F25" s="71">
        <v>0</v>
      </c>
      <c r="G25" s="71">
        <v>477</v>
      </c>
      <c r="H25" s="71">
        <v>130551</v>
      </c>
      <c r="I25" s="43" t="s">
        <v>57</v>
      </c>
      <c r="J25" s="71">
        <v>127587</v>
      </c>
      <c r="K25" s="43" t="s">
        <v>54</v>
      </c>
      <c r="L25" s="10" t="str">
        <f>VLOOKUP(C25,'Trips&amp;Operators'!$C$1:$E$9999,3,0)</f>
        <v>LOCKLEAR</v>
      </c>
      <c r="M25" s="9" t="s">
        <v>109</v>
      </c>
      <c r="N25" s="10" t="s">
        <v>649</v>
      </c>
      <c r="O25" s="43"/>
      <c r="P25" s="78" t="str">
        <f>VLOOKUP(C25,'Train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25" s="76" t="str">
        <f>VLOOKUP(C25,'Train Runs'!$A$13:$AE$922,22,0)</f>
        <v>https://search-rtdc-monitor-bjffxe2xuh6vdkpspy63sjmuny.us-east-1.es.amazonaws.com/_plugin/kibana/#/discover/Steve-Slow-Train-Analysis-(2080s-and-2083s)?_g=(refreshInterval:(display:Off,section:0,value:0),time:(from:'2016-07-08 16:07:39-0600',mode:absolute,to:'2016-07-08 17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5" s="77" t="str">
        <f>VLOOKUP(C25,'Train Runs'!$A$13:$AF$922,32,0)</f>
        <v>"C:\Program Files (x86)\AstroGrep\AstroGrep.exe" /spath="C:\Users\stu\Documents\Analysis\2016-02-23 RTDC Observations" /stypes="*4013*20160708*" /stext=" 22:.+((prompt.+disp)|(slice.+state.+chan)|(ment ac)|(system.+state.+chan)|(\|lc)|(penalty)|(\[timeout))" /e /r /s</v>
      </c>
      <c r="S25" s="9" t="str">
        <f t="shared" si="0"/>
        <v>4013</v>
      </c>
      <c r="T25" s="52">
        <f t="shared" si="1"/>
        <v>42559.935520833336</v>
      </c>
      <c r="U25" s="75" t="str">
        <f t="shared" si="2"/>
        <v>EC</v>
      </c>
      <c r="V25" s="75" t="str">
        <f t="shared" si="3"/>
        <v>KEEP</v>
      </c>
    </row>
    <row r="26" spans="1:22" s="1" customFormat="1" x14ac:dyDescent="0.25">
      <c r="A26" s="52">
        <v>42559.152326388888</v>
      </c>
      <c r="B26" s="69" t="s">
        <v>119</v>
      </c>
      <c r="C26" s="43" t="s">
        <v>336</v>
      </c>
      <c r="D26" s="43" t="s">
        <v>50</v>
      </c>
      <c r="E26" s="43" t="s">
        <v>56</v>
      </c>
      <c r="F26" s="71">
        <v>0</v>
      </c>
      <c r="G26" s="71">
        <v>427</v>
      </c>
      <c r="H26" s="71">
        <v>130246</v>
      </c>
      <c r="I26" s="43" t="s">
        <v>57</v>
      </c>
      <c r="J26" s="71">
        <v>133155</v>
      </c>
      <c r="K26" s="43" t="s">
        <v>53</v>
      </c>
      <c r="L26" s="10" t="str">
        <f>VLOOKUP(C26,'Trips&amp;Operators'!$C$1:$E$9999,3,0)</f>
        <v>YORK</v>
      </c>
      <c r="M26" s="9" t="s">
        <v>108</v>
      </c>
      <c r="N26" s="10" t="s">
        <v>484</v>
      </c>
      <c r="O26" s="75"/>
      <c r="P26" s="78" t="str">
        <f>VLOOKUP(C26,'Train Runs'!$A$13:$AE$922,31,0)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Q26" s="76" t="str">
        <f>VLOOKUP(C26,'Train Runs'!$A$13:$AE$922,22,0)</f>
        <v>https://search-rtdc-monitor-bjffxe2xuh6vdkpspy63sjmuny.us-east-1.es.amazonaws.com/_plugin/kibana/#/discover/Steve-Slow-Train-Analysis-(2080s-and-2083s)?_g=(refreshInterval:(display:Off,section:0,value:0),time:(from:'2016-07-08 03:01:48-0600',mode:absolute,to:'2016-07-08 03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26" s="77" t="str">
        <f>VLOOKUP(C26,'Train Runs'!$A$13:$AF$922,32,0)</f>
        <v>"C:\Program Files (x86)\AstroGrep\AstroGrep.exe" /spath="C:\Users\stu\Documents\Analysis\2016-02-23 RTDC Observations" /stypes="*4011*20160708*" /stext=" 09:.+((prompt.+disp)|(slice.+state.+chan)|(ment ac)|(system.+state.+chan)|(\|lc)|(penalty)|(\[timeout))" /e /r /s</v>
      </c>
      <c r="S26" s="9" t="str">
        <f t="shared" si="0"/>
        <v>4011</v>
      </c>
      <c r="T26" s="52">
        <f t="shared" si="1"/>
        <v>42559.402326388888</v>
      </c>
      <c r="U26" s="75" t="str">
        <f t="shared" si="2"/>
        <v>EC</v>
      </c>
      <c r="V26" s="75" t="str">
        <f t="shared" si="3"/>
        <v>KEEP</v>
      </c>
    </row>
    <row r="27" spans="1:22" s="1" customFormat="1" x14ac:dyDescent="0.25">
      <c r="A27" s="52">
        <v>42559.433981481481</v>
      </c>
      <c r="B27" s="69" t="s">
        <v>123</v>
      </c>
      <c r="C27" s="43" t="s">
        <v>377</v>
      </c>
      <c r="D27" s="43" t="s">
        <v>50</v>
      </c>
      <c r="E27" s="69" t="s">
        <v>56</v>
      </c>
      <c r="F27" s="71">
        <v>0</v>
      </c>
      <c r="G27" s="71">
        <v>795</v>
      </c>
      <c r="H27" s="71">
        <v>144964</v>
      </c>
      <c r="I27" s="69" t="s">
        <v>57</v>
      </c>
      <c r="J27" s="71">
        <v>149694</v>
      </c>
      <c r="K27" s="43" t="s">
        <v>53</v>
      </c>
      <c r="L27" s="10" t="str">
        <f>VLOOKUP(C27,'Trips&amp;Operators'!$C$1:$E$9999,3,0)</f>
        <v>MALAVE</v>
      </c>
      <c r="M27" s="9" t="s">
        <v>108</v>
      </c>
      <c r="N27" s="10" t="s">
        <v>136</v>
      </c>
      <c r="O27" s="75"/>
      <c r="P27" s="78" t="str">
        <f>VLOOKUP(C27,'Train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27" s="76" t="str">
        <f>VLOOKUP(C27,'Train Runs'!$A$13:$AE$922,22,0)</f>
        <v>https://search-rtdc-monitor-bjffxe2xuh6vdkpspy63sjmuny.us-east-1.es.amazonaws.com/_plugin/kibana/#/discover/Steve-Slow-Train-Analysis-(2080s-and-2083s)?_g=(refreshInterval:(display:Off,section:0,value:0),time:(from:'2016-07-08 09:57:22-0600',mode:absolute,to:'2016-07-08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27" s="77" t="str">
        <f>VLOOKUP(C27,'Train Runs'!$A$13:$AF$922,32,0)</f>
        <v>"C:\Program Files (x86)\AstroGrep\AstroGrep.exe" /spath="C:\Users\stu\Documents\Analysis\2016-02-23 RTDC Observations" /stypes="*4014*20160708*" /stext=" 15:.+((prompt.+disp)|(slice.+state.+chan)|(ment ac)|(system.+state.+chan)|(\|lc)|(penalty)|(\[timeout))" /e /r /s</v>
      </c>
      <c r="S27" s="9" t="str">
        <f t="shared" si="0"/>
        <v>4014</v>
      </c>
      <c r="T27" s="52">
        <f t="shared" si="1"/>
        <v>42559.683981481481</v>
      </c>
      <c r="U27" s="75" t="str">
        <f t="shared" si="2"/>
        <v>EC</v>
      </c>
      <c r="V27" s="75" t="str">
        <f t="shared" si="3"/>
        <v>KEEP</v>
      </c>
    </row>
    <row r="28" spans="1:22" x14ac:dyDescent="0.25">
      <c r="A28" s="52">
        <v>42559.271504629629</v>
      </c>
      <c r="B28" s="69" t="s">
        <v>348</v>
      </c>
      <c r="C28" s="43" t="s">
        <v>349</v>
      </c>
      <c r="D28" s="43" t="s">
        <v>50</v>
      </c>
      <c r="E28" s="69" t="s">
        <v>56</v>
      </c>
      <c r="F28" s="71">
        <v>0</v>
      </c>
      <c r="G28" s="71">
        <v>459</v>
      </c>
      <c r="H28" s="71">
        <v>194679</v>
      </c>
      <c r="I28" s="69" t="s">
        <v>57</v>
      </c>
      <c r="J28" s="71">
        <v>191723</v>
      </c>
      <c r="K28" s="43" t="s">
        <v>54</v>
      </c>
      <c r="L28" s="10" t="str">
        <f>VLOOKUP(C28,'Trips&amp;Operators'!$C$1:$E$9999,3,0)</f>
        <v>KILLION</v>
      </c>
      <c r="M28" s="9" t="s">
        <v>109</v>
      </c>
      <c r="N28" s="10" t="s">
        <v>485</v>
      </c>
      <c r="O28" s="43"/>
      <c r="P28" s="78" t="str">
        <f>VLOOKUP(C28,'Train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28" s="76" t="str">
        <f>VLOOKUP(C28,'Train Runs'!$A$13:$AE$922,22,0)</f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8" s="77" t="str">
        <f>VLOOKUP(C28,'Train Runs'!$A$13:$AF$922,32,0)</f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S28" s="9" t="str">
        <f t="shared" si="0"/>
        <v>4015</v>
      </c>
      <c r="T28" s="52">
        <f t="shared" si="1"/>
        <v>42559.521504629629</v>
      </c>
      <c r="U28" s="75" t="str">
        <f t="shared" si="2"/>
        <v>EC</v>
      </c>
      <c r="V28" s="75" t="str">
        <f t="shared" si="3"/>
        <v>KEEP</v>
      </c>
    </row>
    <row r="29" spans="1:22" x14ac:dyDescent="0.25">
      <c r="A29" s="52">
        <v>42559.189976851849</v>
      </c>
      <c r="B29" s="69" t="s">
        <v>126</v>
      </c>
      <c r="C29" s="43" t="s">
        <v>355</v>
      </c>
      <c r="D29" s="43" t="s">
        <v>50</v>
      </c>
      <c r="E29" s="69" t="s">
        <v>106</v>
      </c>
      <c r="F29" s="71">
        <v>0</v>
      </c>
      <c r="G29" s="71">
        <v>794</v>
      </c>
      <c r="H29" s="71">
        <v>74878</v>
      </c>
      <c r="I29" s="69" t="s">
        <v>107</v>
      </c>
      <c r="J29" s="71">
        <v>69363</v>
      </c>
      <c r="K29" s="43" t="s">
        <v>54</v>
      </c>
      <c r="L29" s="10" t="str">
        <f>VLOOKUP(C29,'Trips&amp;Operators'!$C$1:$E$9999,3,0)</f>
        <v>YORK</v>
      </c>
      <c r="M29" s="9" t="s">
        <v>108</v>
      </c>
      <c r="N29" s="10" t="s">
        <v>487</v>
      </c>
      <c r="O29" s="75"/>
      <c r="P29" s="78" t="str">
        <f>VLOOKUP(C29,'Train Runs'!$A$13:$AE$922,31,0)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Q29" s="76" t="str">
        <f>VLOOKUP(C29,'Train Runs'!$A$13:$AE$922,22,0)</f>
        <v>https://search-rtdc-monitor-bjffxe2xuh6vdkpspy63sjmuny.us-east-1.es.amazonaws.com/_plugin/kibana/#/discover/Steve-Slow-Train-Analysis-(2080s-and-2083s)?_g=(refreshInterval:(display:Off,section:0,value:0),time:(from:'2016-07-08 03:54:02-0600',mode:absolute,to:'2016-07-08 04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9" s="77" t="str">
        <f>VLOOKUP(C29,'Train Runs'!$A$13:$AF$922,32,0)</f>
        <v>"C:\Program Files (x86)\AstroGrep\AstroGrep.exe" /spath="C:\Users\stu\Documents\Analysis\2016-02-23 RTDC Observations" /stypes="*4028*20160708*" /stext=" 09:.+((prompt.+disp)|(slice.+state.+chan)|(ment ac)|(system.+state.+chan)|(\|lc)|(penalty)|(\[timeout))" /e /r /s</v>
      </c>
      <c r="S29" s="9" t="str">
        <f t="shared" si="0"/>
        <v>4028</v>
      </c>
      <c r="T29" s="52">
        <f t="shared" si="1"/>
        <v>42559.439976851849</v>
      </c>
      <c r="U29" s="75" t="str">
        <f t="shared" si="2"/>
        <v>EC</v>
      </c>
      <c r="V29" s="75" t="str">
        <f t="shared" si="3"/>
        <v>KEEP</v>
      </c>
    </row>
    <row r="30" spans="1:22" x14ac:dyDescent="0.25">
      <c r="A30" s="52">
        <v>42559.425671296296</v>
      </c>
      <c r="B30" s="69" t="s">
        <v>122</v>
      </c>
      <c r="C30" s="43" t="s">
        <v>376</v>
      </c>
      <c r="D30" s="43" t="s">
        <v>55</v>
      </c>
      <c r="E30" s="69" t="s">
        <v>106</v>
      </c>
      <c r="F30" s="71">
        <v>0</v>
      </c>
      <c r="G30" s="71">
        <v>147</v>
      </c>
      <c r="H30" s="71">
        <v>228991</v>
      </c>
      <c r="I30" s="69" t="s">
        <v>107</v>
      </c>
      <c r="J30" s="71">
        <v>229055</v>
      </c>
      <c r="K30" s="43" t="s">
        <v>54</v>
      </c>
      <c r="L30" s="10" t="str">
        <f>VLOOKUP(C30,'Trips&amp;Operators'!$C$1:$E$9999,3,0)</f>
        <v>STURGEON</v>
      </c>
      <c r="M30" s="9" t="s">
        <v>108</v>
      </c>
      <c r="N30" s="10" t="s">
        <v>136</v>
      </c>
      <c r="O30" s="43"/>
      <c r="P30" s="78" t="str">
        <f>VLOOKUP(C30,'Train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30" s="76" t="str">
        <f>VLOOKUP(C30,'Train Runs'!$A$13:$AE$922,22,0)</f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0" s="77" t="str">
        <f>VLOOKUP(C30,'Train Runs'!$A$13:$AF$922,32,0)</f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S30" s="9" t="str">
        <f t="shared" si="0"/>
        <v>4026</v>
      </c>
      <c r="T30" s="52">
        <f t="shared" si="1"/>
        <v>42559.675671296296</v>
      </c>
      <c r="U30" s="75" t="str">
        <f t="shared" si="2"/>
        <v>EC</v>
      </c>
      <c r="V30" s="75" t="str">
        <f t="shared" si="3"/>
        <v>KEEP</v>
      </c>
    </row>
    <row r="31" spans="1:22" x14ac:dyDescent="0.25">
      <c r="A31" s="52">
        <v>42559.612407407411</v>
      </c>
      <c r="B31" s="43" t="s">
        <v>120</v>
      </c>
      <c r="C31" s="43" t="s">
        <v>493</v>
      </c>
      <c r="D31" s="43" t="s">
        <v>50</v>
      </c>
      <c r="E31" s="43" t="s">
        <v>106</v>
      </c>
      <c r="F31" s="71">
        <v>0</v>
      </c>
      <c r="G31" s="71">
        <v>168</v>
      </c>
      <c r="H31" s="71">
        <v>232009</v>
      </c>
      <c r="I31" s="43" t="s">
        <v>107</v>
      </c>
      <c r="J31" s="71">
        <v>231147</v>
      </c>
      <c r="K31" s="43" t="s">
        <v>54</v>
      </c>
      <c r="L31" s="10" t="str">
        <f>VLOOKUP(C31,'Trips&amp;Operators'!$C$1:$E$9999,3,0)</f>
        <v>YANAI</v>
      </c>
      <c r="M31" s="9" t="s">
        <v>108</v>
      </c>
      <c r="N31" s="10" t="s">
        <v>136</v>
      </c>
      <c r="O31" s="43"/>
      <c r="P31" s="78" t="str">
        <f>VLOOKUP(C31,'Train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31" s="76" t="str">
        <f>VLOOKUP(C31,'Train Runs'!$A$13:$AE$922,22,0)</f>
        <v>https://search-rtdc-monitor-bjffxe2xuh6vdkpspy63sjmuny.us-east-1.es.amazonaws.com/_plugin/kibana/#/discover/Steve-Slow-Train-Analysis-(2080s-and-2083s)?_g=(refreshInterval:(display:Off,section:0,value:0),time:(from:'2016-07-08 14:32:22-0600',mode:absolute,to:'2016-07-08 15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1" s="77" t="str">
        <f>VLOOKUP(C31,'Train Runs'!$A$13:$AF$922,32,0)</f>
        <v>"C:\Program Files (x86)\AstroGrep\AstroGrep.exe" /spath="C:\Users\stu\Documents\Analysis\2016-02-23 RTDC Observations" /stypes="*4012*20160708*" /stext=" 20:.+((prompt.+disp)|(slice.+state.+chan)|(ment ac)|(system.+state.+chan)|(\|lc)|(penalty)|(\[timeout))" /e /r /s</v>
      </c>
      <c r="S31" s="9" t="str">
        <f t="shared" si="0"/>
        <v>4012</v>
      </c>
      <c r="T31" s="52">
        <f t="shared" si="1"/>
        <v>42559.862407407411</v>
      </c>
      <c r="U31" s="75" t="str">
        <f t="shared" si="2"/>
        <v>EC</v>
      </c>
      <c r="V31" s="75" t="str">
        <f t="shared" si="3"/>
        <v>KEEP</v>
      </c>
    </row>
    <row r="32" spans="1:22" x14ac:dyDescent="0.25">
      <c r="A32" s="52">
        <v>42559.656909722224</v>
      </c>
      <c r="B32" s="43" t="s">
        <v>147</v>
      </c>
      <c r="C32" s="43" t="s">
        <v>495</v>
      </c>
      <c r="D32" s="43" t="s">
        <v>55</v>
      </c>
      <c r="E32" s="43" t="s">
        <v>106</v>
      </c>
      <c r="F32" s="71">
        <v>0</v>
      </c>
      <c r="G32" s="71">
        <v>163</v>
      </c>
      <c r="H32" s="71">
        <v>230921</v>
      </c>
      <c r="I32" s="43" t="s">
        <v>107</v>
      </c>
      <c r="J32" s="71">
        <v>231147</v>
      </c>
      <c r="K32" s="43" t="s">
        <v>54</v>
      </c>
      <c r="L32" s="10" t="str">
        <f>VLOOKUP(C32,'Trips&amp;Operators'!$C$1:$E$9999,3,0)</f>
        <v>SPECTOR</v>
      </c>
      <c r="M32" s="9" t="s">
        <v>108</v>
      </c>
      <c r="N32" s="10" t="s">
        <v>136</v>
      </c>
      <c r="O32" s="43"/>
      <c r="P32" s="78" t="str">
        <f>VLOOKUP(C32,'Train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32" s="76" t="str">
        <f>VLOOKUP(C32,'Train Runs'!$A$13:$AE$922,22,0)</f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2" s="77" t="str">
        <f>VLOOKUP(C32,'Train Runs'!$A$13:$AF$922,32,0)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S32" s="9" t="str">
        <f t="shared" si="0"/>
        <v>4043</v>
      </c>
      <c r="T32" s="52">
        <f t="shared" si="1"/>
        <v>42559.906909722224</v>
      </c>
      <c r="U32" s="75" t="str">
        <f t="shared" si="2"/>
        <v>EC</v>
      </c>
      <c r="V32" s="75" t="str">
        <f t="shared" si="3"/>
        <v>KEEP</v>
      </c>
    </row>
    <row r="33" spans="1:22" x14ac:dyDescent="0.25">
      <c r="A33" s="52">
        <v>42559.800173611111</v>
      </c>
      <c r="B33" s="43" t="s">
        <v>348</v>
      </c>
      <c r="C33" s="43" t="s">
        <v>593</v>
      </c>
      <c r="D33" s="43" t="s">
        <v>50</v>
      </c>
      <c r="E33" s="43" t="s">
        <v>106</v>
      </c>
      <c r="F33" s="71">
        <v>0</v>
      </c>
      <c r="G33" s="71">
        <v>148</v>
      </c>
      <c r="H33" s="71">
        <v>232028</v>
      </c>
      <c r="I33" s="43" t="s">
        <v>107</v>
      </c>
      <c r="J33" s="71">
        <v>231650</v>
      </c>
      <c r="K33" s="43" t="s">
        <v>54</v>
      </c>
      <c r="L33" s="10" t="str">
        <f>VLOOKUP(C33,'Trips&amp;Operators'!$C$1:$E$9999,3,0)</f>
        <v>BRUDER</v>
      </c>
      <c r="M33" s="9" t="s">
        <v>108</v>
      </c>
      <c r="N33" s="10" t="s">
        <v>136</v>
      </c>
      <c r="O33" s="43"/>
      <c r="P33" s="78" t="str">
        <f>VLOOKUP(C33,'Train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33" s="76" t="str">
        <f>VLOOKUP(C33,'Train Runs'!$A$13:$AE$922,22,0)</f>
        <v>https://search-rtdc-monitor-bjffxe2xuh6vdkpspy63sjmuny.us-east-1.es.amazonaws.com/_plugin/kibana/#/discover/Steve-Slow-Train-Analysis-(2080s-and-2083s)?_g=(refreshInterval:(display:Off,section:0,value:0),time:(from:'2016-07-08 19:08:37-0600',mode:absolute,to:'2016-07-08 19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3" s="77" t="str">
        <f>VLOOKUP(C33,'Train Runs'!$A$13:$AF$922,32,0)</f>
        <v>"C:\Program Files (x86)\AstroGrep\AstroGrep.exe" /spath="C:\Users\stu\Documents\Analysis\2016-02-23 RTDC Observations" /stypes="*4015*20160709*" /stext=" 01:.+((prompt.+disp)|(slice.+state.+chan)|(ment ac)|(system.+state.+chan)|(\|lc)|(penalty)|(\[timeout))" /e /r /s</v>
      </c>
      <c r="S33" s="9" t="str">
        <f t="shared" si="0"/>
        <v>4015</v>
      </c>
      <c r="T33" s="52">
        <f t="shared" si="1"/>
        <v>42560.050173611111</v>
      </c>
      <c r="U33" s="75" t="str">
        <f t="shared" si="2"/>
        <v>EC</v>
      </c>
      <c r="V33" s="75" t="str">
        <f t="shared" si="3"/>
        <v>KEEP</v>
      </c>
    </row>
    <row r="34" spans="1:22" hidden="1" x14ac:dyDescent="0.25">
      <c r="A34" s="52">
        <v>42559.273472222223</v>
      </c>
      <c r="B34" s="69" t="s">
        <v>120</v>
      </c>
      <c r="C34" s="43" t="s">
        <v>337</v>
      </c>
      <c r="D34" s="43" t="s">
        <v>50</v>
      </c>
      <c r="E34" s="69" t="s">
        <v>51</v>
      </c>
      <c r="F34" s="71">
        <v>0</v>
      </c>
      <c r="G34" s="71">
        <v>5</v>
      </c>
      <c r="H34" s="71">
        <v>139</v>
      </c>
      <c r="I34" s="69" t="s">
        <v>52</v>
      </c>
      <c r="J34" s="71">
        <v>1</v>
      </c>
      <c r="K34" s="43" t="s">
        <v>54</v>
      </c>
      <c r="L34" s="10" t="str">
        <f>VLOOKUP(C34,'Trips&amp;Operators'!$C$1:$E$9999,3,0)</f>
        <v>MOSES</v>
      </c>
      <c r="M34" s="9" t="s">
        <v>109</v>
      </c>
      <c r="N34" s="10"/>
      <c r="O34" s="43"/>
      <c r="P34" s="78" t="str">
        <f>VLOOKUP(C34,'Train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34" s="76" t="str">
        <f>VLOOKUP(C34,'Train Runs'!$A$13:$AE$922,22,0)</f>
        <v>https://search-rtdc-monitor-bjffxe2xuh6vdkpspy63sjmuny.us-east-1.es.amazonaws.com/_plugin/kibana/#/discover/Steve-Slow-Train-Analysis-(2080s-and-2083s)?_g=(refreshInterval:(display:Off,section:0,value:0),time:(from:'2016-07-08 05:49:33-0600',mode:absolute,to:'2016-07-08 06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4" s="77" t="str">
        <f>VLOOKUP(C34,'Train Runs'!$A$13:$AF$922,32,0)</f>
        <v>"C:\Program Files (x86)\AstroGrep\AstroGrep.exe" /spath="C:\Users\stu\Documents\Analysis\2016-02-23 RTDC Observations" /stypes="*4012*20160708*" /stext=" 11:.+((prompt.+disp)|(slice.+state.+chan)|(ment ac)|(system.+state.+chan)|(\|lc)|(penalty)|(\[timeout))" /e /r /s</v>
      </c>
      <c r="S34" s="9" t="str">
        <f t="shared" si="0"/>
        <v>4012</v>
      </c>
      <c r="T34" s="52">
        <f t="shared" si="1"/>
        <v>42559.523472222223</v>
      </c>
      <c r="U34" s="75" t="str">
        <f t="shared" si="2"/>
        <v>EC</v>
      </c>
      <c r="V34" s="75" t="str">
        <f t="shared" si="3"/>
        <v>OMIT</v>
      </c>
    </row>
    <row r="35" spans="1:22" x14ac:dyDescent="0.25">
      <c r="A35" s="52">
        <v>42559.293356481481</v>
      </c>
      <c r="B35" s="69" t="s">
        <v>348</v>
      </c>
      <c r="C35" s="43" t="s">
        <v>349</v>
      </c>
      <c r="D35" s="43" t="s">
        <v>50</v>
      </c>
      <c r="E35" s="69" t="s">
        <v>51</v>
      </c>
      <c r="F35" s="71">
        <v>0</v>
      </c>
      <c r="G35" s="71">
        <v>53</v>
      </c>
      <c r="H35" s="71">
        <v>194</v>
      </c>
      <c r="I35" s="69" t="s">
        <v>52</v>
      </c>
      <c r="J35" s="71">
        <v>1</v>
      </c>
      <c r="K35" s="43" t="s">
        <v>54</v>
      </c>
      <c r="L35" s="10" t="str">
        <f>VLOOKUP(C35,'Trips&amp;Operators'!$C$1:$E$9999,3,0)</f>
        <v>KILLION</v>
      </c>
      <c r="M35" s="9" t="s">
        <v>109</v>
      </c>
      <c r="N35" s="10"/>
      <c r="O35" s="43"/>
      <c r="P35" s="78" t="str">
        <f>VLOOKUP(C35,'Train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35" s="76" t="str">
        <f>VLOOKUP(C35,'Train Runs'!$A$13:$AE$922,22,0)</f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5" s="77" t="str">
        <f>VLOOKUP(C35,'Train Runs'!$A$13:$AF$922,32,0)</f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S35" s="9" t="str">
        <f t="shared" si="0"/>
        <v>4015</v>
      </c>
      <c r="T35" s="52">
        <f t="shared" si="1"/>
        <v>42559.543356481481</v>
      </c>
      <c r="U35" s="75" t="str">
        <f t="shared" si="2"/>
        <v>EC</v>
      </c>
      <c r="V35" s="75" t="str">
        <f t="shared" si="3"/>
        <v>KEEP</v>
      </c>
    </row>
    <row r="36" spans="1:22" x14ac:dyDescent="0.25">
      <c r="A36" s="52">
        <v>42559.366793981484</v>
      </c>
      <c r="B36" s="69" t="s">
        <v>348</v>
      </c>
      <c r="C36" s="43" t="s">
        <v>371</v>
      </c>
      <c r="D36" s="43" t="s">
        <v>50</v>
      </c>
      <c r="E36" s="69" t="s">
        <v>51</v>
      </c>
      <c r="F36" s="71">
        <v>0</v>
      </c>
      <c r="G36" s="71">
        <v>58</v>
      </c>
      <c r="H36" s="71">
        <v>203</v>
      </c>
      <c r="I36" s="69" t="s">
        <v>52</v>
      </c>
      <c r="J36" s="71">
        <v>1</v>
      </c>
      <c r="K36" s="43" t="s">
        <v>54</v>
      </c>
      <c r="L36" s="10" t="str">
        <f>VLOOKUP(C36,'Trips&amp;Operators'!$C$1:$E$9999,3,0)</f>
        <v>KILLION</v>
      </c>
      <c r="M36" s="9" t="s">
        <v>109</v>
      </c>
      <c r="N36" s="10"/>
      <c r="O36" s="75"/>
      <c r="P36" s="78" t="str">
        <f>VLOOKUP(C36,'Train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36" s="76" t="str">
        <f>VLOOKUP(C36,'Train Runs'!$A$13:$AE$922,22,0)</f>
        <v>https://search-rtdc-monitor-bjffxe2xuh6vdkpspy63sjmuny.us-east-1.es.amazonaws.com/_plugin/kibana/#/discover/Steve-Slow-Train-Analysis-(2080s-and-2083s)?_g=(refreshInterval:(display:Off,section:0,value:0),time:(from:'2016-07-08 08:09:34-0600',mode:absolute,to:'2016-07-08 08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6" s="77" t="str">
        <f>VLOOKUP(C36,'Train Runs'!$A$13:$AF$922,32,0)</f>
        <v>"C:\Program Files (x86)\AstroGrep\AstroGrep.exe" /spath="C:\Users\stu\Documents\Analysis\2016-02-23 RTDC Observations" /stypes="*4015*20160708*" /stext=" 14:.+((prompt.+disp)|(slice.+state.+chan)|(ment ac)|(system.+state.+chan)|(\|lc)|(penalty)|(\[timeout))" /e /r /s</v>
      </c>
      <c r="S36" s="9" t="str">
        <f t="shared" si="0"/>
        <v>4015</v>
      </c>
      <c r="T36" s="52">
        <f t="shared" si="1"/>
        <v>42559.616793981484</v>
      </c>
      <c r="U36" s="75" t="str">
        <f t="shared" si="2"/>
        <v>EC</v>
      </c>
      <c r="V36" s="75" t="str">
        <f t="shared" si="3"/>
        <v>KEEP</v>
      </c>
    </row>
    <row r="37" spans="1:22" hidden="1" x14ac:dyDescent="0.25">
      <c r="A37" s="52">
        <v>42559.408078703702</v>
      </c>
      <c r="B37" s="69" t="s">
        <v>124</v>
      </c>
      <c r="C37" s="43" t="s">
        <v>374</v>
      </c>
      <c r="D37" s="43" t="s">
        <v>50</v>
      </c>
      <c r="E37" s="69" t="s">
        <v>51</v>
      </c>
      <c r="F37" s="71">
        <v>0</v>
      </c>
      <c r="G37" s="71">
        <v>8</v>
      </c>
      <c r="H37" s="71">
        <v>118</v>
      </c>
      <c r="I37" s="69" t="s">
        <v>52</v>
      </c>
      <c r="J37" s="71">
        <v>1</v>
      </c>
      <c r="K37" s="43" t="s">
        <v>54</v>
      </c>
      <c r="L37" s="10" t="str">
        <f>VLOOKUP(C37,'Trips&amp;Operators'!$C$1:$E$9999,3,0)</f>
        <v>MALAVE</v>
      </c>
      <c r="M37" s="9" t="s">
        <v>109</v>
      </c>
      <c r="N37" s="10"/>
      <c r="O37" s="75"/>
      <c r="P37" s="78" t="str">
        <f>VLOOKUP(C37,'Train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37" s="76" t="str">
        <f>VLOOKUP(C37,'Train Runs'!$A$13:$AE$922,22,0)</f>
        <v>https://search-rtdc-monitor-bjffxe2xuh6vdkpspy63sjmuny.us-east-1.es.amazonaws.com/_plugin/kibana/#/discover/Steve-Slow-Train-Analysis-(2080s-and-2083s)?_g=(refreshInterval:(display:Off,section:0,value:0),time:(from:'2016-07-08 09:06:27-0600',mode:absolute,to:'2016-07-08 09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7" s="77" t="str">
        <f>VLOOKUP(C37,'Train Runs'!$A$13:$AF$922,32,0)</f>
        <v>"C:\Program Files (x86)\AstroGrep\AstroGrep.exe" /spath="C:\Users\stu\Documents\Analysis\2016-02-23 RTDC Observations" /stypes="*4013*20160708*" /stext=" 15:.+((prompt.+disp)|(slice.+state.+chan)|(ment ac)|(system.+state.+chan)|(\|lc)|(penalty)|(\[timeout))" /e /r /s</v>
      </c>
      <c r="S37" s="9" t="str">
        <f t="shared" si="0"/>
        <v>4013</v>
      </c>
      <c r="T37" s="52">
        <f t="shared" si="1"/>
        <v>42559.658078703702</v>
      </c>
      <c r="U37" s="75" t="str">
        <f t="shared" si="2"/>
        <v>EC</v>
      </c>
      <c r="V37" s="75" t="str">
        <f t="shared" si="3"/>
        <v>OMIT</v>
      </c>
    </row>
    <row r="38" spans="1:22" hidden="1" x14ac:dyDescent="0.25">
      <c r="A38" s="52">
        <v>42559.418854166666</v>
      </c>
      <c r="B38" s="69" t="s">
        <v>120</v>
      </c>
      <c r="C38" s="43" t="s">
        <v>375</v>
      </c>
      <c r="D38" s="43" t="s">
        <v>50</v>
      </c>
      <c r="E38" s="69" t="s">
        <v>51</v>
      </c>
      <c r="F38" s="71">
        <v>0</v>
      </c>
      <c r="G38" s="71">
        <v>8</v>
      </c>
      <c r="H38" s="71">
        <v>143</v>
      </c>
      <c r="I38" s="69" t="s">
        <v>52</v>
      </c>
      <c r="J38" s="71">
        <v>1</v>
      </c>
      <c r="K38" s="43" t="s">
        <v>54</v>
      </c>
      <c r="L38" s="10" t="str">
        <f>VLOOKUP(C38,'Trips&amp;Operators'!$C$1:$E$9999,3,0)</f>
        <v>MOSES</v>
      </c>
      <c r="M38" s="9" t="s">
        <v>109</v>
      </c>
      <c r="N38" s="10"/>
      <c r="O38" s="75"/>
      <c r="P38" s="78" t="str">
        <f>VLOOKUP(C38,'Train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38" s="76" t="str">
        <f>VLOOKUP(C38,'Train Runs'!$A$13:$AE$922,22,0)</f>
        <v>https://search-rtdc-monitor-bjffxe2xuh6vdkpspy63sjmuny.us-east-1.es.amazonaws.com/_plugin/kibana/#/discover/Steve-Slow-Train-Analysis-(2080s-and-2083s)?_g=(refreshInterval:(display:Off,section:0,value:0),time:(from:'2016-07-08 09:18:28-0600',mode:absolute,to:'2016-07-08 10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8" s="77" t="str">
        <f>VLOOKUP(C38,'Train Runs'!$A$13:$AF$922,32,0)</f>
        <v>"C:\Program Files (x86)\AstroGrep\AstroGrep.exe" /spath="C:\Users\stu\Documents\Analysis\2016-02-23 RTDC Observations" /stypes="*4012*20160708*" /stext=" 15:.+((prompt.+disp)|(slice.+state.+chan)|(ment ac)|(system.+state.+chan)|(\|lc)|(penalty)|(\[timeout))" /e /r /s</v>
      </c>
      <c r="S38" s="9" t="str">
        <f t="shared" si="0"/>
        <v>4012</v>
      </c>
      <c r="T38" s="52">
        <f t="shared" si="1"/>
        <v>42559.668854166666</v>
      </c>
      <c r="U38" s="75" t="str">
        <f t="shared" si="2"/>
        <v>EC</v>
      </c>
      <c r="V38" s="75" t="str">
        <f t="shared" si="3"/>
        <v>OMIT</v>
      </c>
    </row>
    <row r="39" spans="1:22" hidden="1" x14ac:dyDescent="0.25">
      <c r="A39" s="52">
        <v>42559.481469907405</v>
      </c>
      <c r="B39" s="69" t="s">
        <v>124</v>
      </c>
      <c r="C39" s="43" t="s">
        <v>379</v>
      </c>
      <c r="D39" s="43" t="s">
        <v>50</v>
      </c>
      <c r="E39" s="69" t="s">
        <v>51</v>
      </c>
      <c r="F39" s="71">
        <v>0</v>
      </c>
      <c r="G39" s="71">
        <v>9</v>
      </c>
      <c r="H39" s="71">
        <v>132</v>
      </c>
      <c r="I39" s="69" t="s">
        <v>52</v>
      </c>
      <c r="J39" s="71">
        <v>1</v>
      </c>
      <c r="K39" s="43" t="s">
        <v>54</v>
      </c>
      <c r="L39" s="10" t="str">
        <f>VLOOKUP(C39,'Trips&amp;Operators'!$C$1:$E$9999,3,0)</f>
        <v>MALAVE</v>
      </c>
      <c r="M39" s="9" t="s">
        <v>109</v>
      </c>
      <c r="N39" s="10"/>
      <c r="O39" s="75"/>
      <c r="P39" s="78" t="str">
        <f>VLOOKUP(C39,'Train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39" s="76" t="str">
        <f>VLOOKUP(C39,'Train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9" s="77" t="str">
        <f>VLOOKUP(C39,'Train Runs'!$A$13:$AF$922,32,0)</f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S39" s="9" t="str">
        <f t="shared" ref="S39:S70" si="4">MID(B39,13,4)</f>
        <v>4013</v>
      </c>
      <c r="T39" s="52">
        <f t="shared" ref="T39:T70" si="5">A39+6/24</f>
        <v>42559.731469907405</v>
      </c>
      <c r="U39" s="75" t="str">
        <f t="shared" ref="U39:U70" si="6">IF(VALUE(LEFT(C39,3))&lt;300,"EC","NWGL")</f>
        <v>EC</v>
      </c>
      <c r="V39" s="75" t="str">
        <f t="shared" si="3"/>
        <v>OMIT</v>
      </c>
    </row>
    <row r="40" spans="1:22" hidden="1" x14ac:dyDescent="0.25">
      <c r="A40" s="52">
        <v>42559.491331018522</v>
      </c>
      <c r="B40" s="69" t="s">
        <v>120</v>
      </c>
      <c r="C40" s="43" t="s">
        <v>382</v>
      </c>
      <c r="D40" s="43" t="s">
        <v>50</v>
      </c>
      <c r="E40" s="69" t="s">
        <v>51</v>
      </c>
      <c r="F40" s="71">
        <v>0</v>
      </c>
      <c r="G40" s="71">
        <v>8</v>
      </c>
      <c r="H40" s="108">
        <v>125</v>
      </c>
      <c r="I40" s="106" t="s">
        <v>52</v>
      </c>
      <c r="J40" s="108">
        <v>1</v>
      </c>
      <c r="K40" s="107" t="s">
        <v>54</v>
      </c>
      <c r="L40" s="109" t="str">
        <f>VLOOKUP(C40,'Trips&amp;Operators'!$C$1:$E$9999,3,0)</f>
        <v>YANAI</v>
      </c>
      <c r="M40" s="110" t="s">
        <v>109</v>
      </c>
      <c r="N40" s="109"/>
      <c r="O40" s="88"/>
      <c r="P40" s="111" t="str">
        <f>VLOOKUP(C40,'Train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40" s="76" t="str">
        <f>VLOOKUP(C40,'Train Runs'!$A$13:$AE$922,22,0)</f>
        <v>https://search-rtdc-monitor-bjffxe2xuh6vdkpspy63sjmuny.us-east-1.es.amazonaws.com/_plugin/kibana/#/discover/Steve-Slow-Train-Analysis-(2080s-and-2083s)?_g=(refreshInterval:(display:Off,section:0,value:0),time:(from:'2016-07-08 11:10:40-0600',mode:absolute,to:'2016-07-08 11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0" s="77" t="str">
        <f>VLOOKUP(C40,'Train Runs'!$A$13:$AF$922,32,0)</f>
        <v>"C:\Program Files (x86)\AstroGrep\AstroGrep.exe" /spath="C:\Users\stu\Documents\Analysis\2016-02-23 RTDC Observations" /stypes="*4012*20160708*" /stext=" 17:.+((prompt.+disp)|(slice.+state.+chan)|(ment ac)|(system.+state.+chan)|(\|lc)|(penalty)|(\[timeout))" /e /r /s</v>
      </c>
      <c r="S40" s="9" t="str">
        <f t="shared" si="4"/>
        <v>4012</v>
      </c>
      <c r="T40" s="52">
        <f t="shared" si="5"/>
        <v>42559.741331018522</v>
      </c>
      <c r="U40" s="75" t="str">
        <f t="shared" si="6"/>
        <v>EC</v>
      </c>
      <c r="V40" s="75" t="str">
        <f t="shared" si="3"/>
        <v>OMIT</v>
      </c>
    </row>
    <row r="41" spans="1:22" hidden="1" x14ac:dyDescent="0.25">
      <c r="A41" s="52">
        <v>42559.522916666669</v>
      </c>
      <c r="B41" s="43" t="s">
        <v>122</v>
      </c>
      <c r="C41" s="43" t="s">
        <v>388</v>
      </c>
      <c r="D41" s="43" t="s">
        <v>50</v>
      </c>
      <c r="E41" s="43" t="s">
        <v>51</v>
      </c>
      <c r="F41" s="71">
        <v>0</v>
      </c>
      <c r="G41" s="71">
        <v>9</v>
      </c>
      <c r="H41" s="71">
        <v>139</v>
      </c>
      <c r="I41" s="43" t="s">
        <v>52</v>
      </c>
      <c r="J41" s="71">
        <v>1</v>
      </c>
      <c r="K41" s="43" t="s">
        <v>54</v>
      </c>
      <c r="L41" s="10" t="str">
        <f>VLOOKUP(C41,'Trips&amp;Operators'!$C$1:$E$9999,3,0)</f>
        <v>KILLION</v>
      </c>
      <c r="M41" s="9" t="s">
        <v>109</v>
      </c>
      <c r="N41" s="10"/>
      <c r="O41" s="43"/>
      <c r="P41" s="78" t="str">
        <f>VLOOKUP(C41,'Train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41" s="76" t="str">
        <f>VLOOKUP(C41,'Train Runs'!$A$13:$AE$922,22,0)</f>
        <v>https://search-rtdc-monitor-bjffxe2xuh6vdkpspy63sjmuny.us-east-1.es.amazonaws.com/_plugin/kibana/#/discover/Steve-Slow-Train-Analysis-(2080s-and-2083s)?_g=(refreshInterval:(display:Off,section:0,value:0),time:(from:'2016-07-08 11:42:53-0600',mode:absolute,to:'2016-07-08 12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1" s="77" t="str">
        <f>VLOOKUP(C41,'Train Runs'!$A$13:$AF$922,32,0)</f>
        <v>"C:\Program Files (x86)\AstroGrep\AstroGrep.exe" /spath="C:\Users\stu\Documents\Analysis\2016-02-23 RTDC Observations" /stypes="*4026*20160708*" /stext=" 17:.+((prompt.+disp)|(slice.+state.+chan)|(ment ac)|(system.+state.+chan)|(\|lc)|(penalty)|(\[timeout))" /e /r /s</v>
      </c>
      <c r="S41" s="9" t="str">
        <f t="shared" si="4"/>
        <v>4026</v>
      </c>
      <c r="T41" s="52">
        <f t="shared" si="5"/>
        <v>42559.772916666669</v>
      </c>
      <c r="U41" s="75" t="str">
        <f t="shared" si="6"/>
        <v>EC</v>
      </c>
      <c r="V41" s="75" t="str">
        <f t="shared" si="3"/>
        <v>OMIT</v>
      </c>
    </row>
    <row r="42" spans="1:22" x14ac:dyDescent="0.25">
      <c r="A42" s="52">
        <v>42559.555381944447</v>
      </c>
      <c r="B42" s="43" t="s">
        <v>124</v>
      </c>
      <c r="C42" s="43" t="s">
        <v>489</v>
      </c>
      <c r="D42" s="43" t="s">
        <v>50</v>
      </c>
      <c r="E42" s="43" t="s">
        <v>51</v>
      </c>
      <c r="F42" s="71">
        <v>0</v>
      </c>
      <c r="G42" s="71">
        <v>55</v>
      </c>
      <c r="H42" s="71">
        <v>165</v>
      </c>
      <c r="I42" s="43" t="s">
        <v>52</v>
      </c>
      <c r="J42" s="71">
        <v>1</v>
      </c>
      <c r="K42" s="43" t="s">
        <v>54</v>
      </c>
      <c r="L42" s="10" t="str">
        <f>VLOOKUP(C42,'Trips&amp;Operators'!$C$1:$E$9999,3,0)</f>
        <v>LOCKLEAR</v>
      </c>
      <c r="M42" s="9" t="s">
        <v>109</v>
      </c>
      <c r="N42" s="10"/>
      <c r="O42" s="43"/>
      <c r="P42" s="78" t="str">
        <f>VLOOKUP(C42,'Train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42" s="76" t="str">
        <f>VLOOKUP(C42,'Train Runs'!$A$13:$AE$922,22,0)</f>
        <v>https://search-rtdc-monitor-bjffxe2xuh6vdkpspy63sjmuny.us-east-1.es.amazonaws.com/_plugin/kibana/#/discover/Steve-Slow-Train-Analysis-(2080s-and-2083s)?_g=(refreshInterval:(display:Off,section:0,value:0),time:(from:'2016-07-08 12:35:36-0600',mode:absolute,to:'2016-07-08 13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2" s="77" t="str">
        <f>VLOOKUP(C42,'Train Runs'!$A$13:$AF$922,32,0)</f>
        <v>"C:\Program Files (x86)\AstroGrep\AstroGrep.exe" /spath="C:\Users\stu\Documents\Analysis\2016-02-23 RTDC Observations" /stypes="*4013*20160708*" /stext=" 18:.+((prompt.+disp)|(slice.+state.+chan)|(ment ac)|(system.+state.+chan)|(\|lc)|(penalty)|(\[timeout))" /e /r /s</v>
      </c>
      <c r="S42" s="9" t="str">
        <f t="shared" si="4"/>
        <v>4013</v>
      </c>
      <c r="T42" s="52">
        <f t="shared" si="5"/>
        <v>42559.805381944447</v>
      </c>
      <c r="U42" s="75" t="str">
        <f t="shared" si="6"/>
        <v>EC</v>
      </c>
      <c r="V42" s="75" t="str">
        <f t="shared" si="3"/>
        <v>KEEP</v>
      </c>
    </row>
    <row r="43" spans="1:22" hidden="1" x14ac:dyDescent="0.25">
      <c r="A43" s="52">
        <v>42559.584733796299</v>
      </c>
      <c r="B43" s="43" t="s">
        <v>348</v>
      </c>
      <c r="C43" s="43" t="s">
        <v>492</v>
      </c>
      <c r="D43" s="43" t="s">
        <v>50</v>
      </c>
      <c r="E43" s="43" t="s">
        <v>51</v>
      </c>
      <c r="F43" s="71">
        <v>0</v>
      </c>
      <c r="G43" s="71">
        <v>3</v>
      </c>
      <c r="H43" s="71">
        <v>119</v>
      </c>
      <c r="I43" s="43" t="s">
        <v>52</v>
      </c>
      <c r="J43" s="71">
        <v>1</v>
      </c>
      <c r="K43" s="43" t="s">
        <v>54</v>
      </c>
      <c r="L43" s="10" t="str">
        <f>VLOOKUP(C43,'Trips&amp;Operators'!$C$1:$E$9999,3,0)</f>
        <v>ROCHA</v>
      </c>
      <c r="M43" s="9" t="s">
        <v>109</v>
      </c>
      <c r="N43" s="10"/>
      <c r="O43" s="43"/>
      <c r="P43" s="78" t="str">
        <f>VLOOKUP(C43,'Train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43" s="76" t="str">
        <f>VLOOKUP(C43,'Train Runs'!$A$13:$AE$922,22,0)</f>
        <v>https://search-rtdc-monitor-bjffxe2xuh6vdkpspy63sjmuny.us-east-1.es.amazonaws.com/_plugin/kibana/#/discover/Steve-Slow-Train-Analysis-(2080s-and-2083s)?_g=(refreshInterval:(display:Off,section:0,value:0),time:(from:'2016-07-08 13:23:50-0600',mode:absolute,to:'2016-07-08 14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3" s="77" t="str">
        <f>VLOOKUP(C43,'Train Runs'!$A$13:$AF$922,32,0)</f>
        <v>"C:\Program Files (x86)\AstroGrep\AstroGrep.exe" /spath="C:\Users\stu\Documents\Analysis\2016-02-23 RTDC Observations" /stypes="*4015*20160708*" /stext=" 19:.+((prompt.+disp)|(slice.+state.+chan)|(ment ac)|(system.+state.+chan)|(\|lc)|(penalty)|(\[timeout))" /e /r /s</v>
      </c>
      <c r="S43" s="9" t="str">
        <f t="shared" si="4"/>
        <v>4015</v>
      </c>
      <c r="T43" s="52">
        <f t="shared" si="5"/>
        <v>42559.834733796299</v>
      </c>
      <c r="U43" s="75" t="str">
        <f t="shared" si="6"/>
        <v>EC</v>
      </c>
      <c r="V43" s="75" t="str">
        <f t="shared" si="3"/>
        <v>OMIT</v>
      </c>
    </row>
    <row r="44" spans="1:22" hidden="1" x14ac:dyDescent="0.25">
      <c r="A44" s="52">
        <v>42559.669641203705</v>
      </c>
      <c r="B44" s="43" t="s">
        <v>122</v>
      </c>
      <c r="C44" s="43" t="s">
        <v>496</v>
      </c>
      <c r="D44" s="43" t="s">
        <v>50</v>
      </c>
      <c r="E44" s="43" t="s">
        <v>51</v>
      </c>
      <c r="F44" s="71">
        <v>0</v>
      </c>
      <c r="G44" s="71">
        <v>2</v>
      </c>
      <c r="H44" s="71">
        <v>112</v>
      </c>
      <c r="I44" s="43" t="s">
        <v>52</v>
      </c>
      <c r="J44" s="71">
        <v>1</v>
      </c>
      <c r="K44" s="43" t="s">
        <v>54</v>
      </c>
      <c r="L44" s="10" t="str">
        <f>VLOOKUP(C44,'Trips&amp;Operators'!$C$1:$E$9999,3,0)</f>
        <v>WEBSTER</v>
      </c>
      <c r="M44" s="9" t="s">
        <v>109</v>
      </c>
      <c r="N44" s="10"/>
      <c r="O44" s="43"/>
      <c r="P44" s="78" t="str">
        <f>VLOOKUP(C44,'Train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44" s="76" t="str">
        <f>VLOOKUP(C44,'Train Runs'!$A$13:$AE$922,22,0)</f>
        <v>https://search-rtdc-monitor-bjffxe2xuh6vdkpspy63sjmuny.us-east-1.es.amazonaws.com/_plugin/kibana/#/discover/Steve-Slow-Train-Analysis-(2080s-and-2083s)?_g=(refreshInterval:(display:Off,section:0,value:0),time:(from:'2016-07-08 15:17:42-0600',mode:absolute,to:'2016-07-08 16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4" s="77" t="str">
        <f>VLOOKUP(C44,'Train Runs'!$A$13:$AF$922,32,0)</f>
        <v>"C:\Program Files (x86)\AstroGrep\AstroGrep.exe" /spath="C:\Users\stu\Documents\Analysis\2016-02-23 RTDC Observations" /stypes="*4026*20160708*" /stext=" 21:.+((prompt.+disp)|(slice.+state.+chan)|(ment ac)|(system.+state.+chan)|(\|lc)|(penalty)|(\[timeout))" /e /r /s</v>
      </c>
      <c r="S44" s="9" t="str">
        <f t="shared" si="4"/>
        <v>4026</v>
      </c>
      <c r="T44" s="52">
        <f t="shared" si="5"/>
        <v>42559.919641203705</v>
      </c>
      <c r="U44" s="75" t="str">
        <f t="shared" si="6"/>
        <v>EC</v>
      </c>
      <c r="V44" s="75" t="str">
        <f t="shared" si="3"/>
        <v>OMIT</v>
      </c>
    </row>
    <row r="45" spans="1:22" hidden="1" x14ac:dyDescent="0.25">
      <c r="A45" s="52">
        <v>42559.69636574074</v>
      </c>
      <c r="B45" s="43" t="s">
        <v>147</v>
      </c>
      <c r="C45" s="43" t="s">
        <v>495</v>
      </c>
      <c r="D45" s="43" t="s">
        <v>50</v>
      </c>
      <c r="E45" s="43" t="s">
        <v>51</v>
      </c>
      <c r="F45" s="71">
        <v>0</v>
      </c>
      <c r="G45" s="71">
        <v>5</v>
      </c>
      <c r="H45" s="71">
        <v>136</v>
      </c>
      <c r="I45" s="43" t="s">
        <v>52</v>
      </c>
      <c r="J45" s="71">
        <v>1</v>
      </c>
      <c r="K45" s="43" t="s">
        <v>54</v>
      </c>
      <c r="L45" s="10" t="str">
        <f>VLOOKUP(C45,'Trips&amp;Operators'!$C$1:$E$9999,3,0)</f>
        <v>SPECTOR</v>
      </c>
      <c r="M45" s="9" t="s">
        <v>109</v>
      </c>
      <c r="N45" s="10"/>
      <c r="O45" s="43"/>
      <c r="P45" s="78" t="str">
        <f>VLOOKUP(C45,'Train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45" s="76" t="str">
        <f>VLOOKUP(C45,'Train Runs'!$A$13:$AE$922,22,0)</f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45" s="77" t="str">
        <f>VLOOKUP(C45,'Train Runs'!$A$13:$AF$922,32,0)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S45" s="9" t="str">
        <f t="shared" si="4"/>
        <v>4043</v>
      </c>
      <c r="T45" s="52">
        <f t="shared" si="5"/>
        <v>42559.94636574074</v>
      </c>
      <c r="U45" s="75" t="str">
        <f t="shared" si="6"/>
        <v>EC</v>
      </c>
      <c r="V45" s="75" t="str">
        <f t="shared" si="3"/>
        <v>OMIT</v>
      </c>
    </row>
    <row r="46" spans="1:22" hidden="1" x14ac:dyDescent="0.25">
      <c r="A46" s="52">
        <v>42559.710300925923</v>
      </c>
      <c r="B46" s="43" t="s">
        <v>124</v>
      </c>
      <c r="C46" s="43" t="s">
        <v>498</v>
      </c>
      <c r="D46" s="43" t="s">
        <v>50</v>
      </c>
      <c r="E46" s="43" t="s">
        <v>51</v>
      </c>
      <c r="F46" s="71">
        <v>0</v>
      </c>
      <c r="G46" s="71">
        <v>9</v>
      </c>
      <c r="H46" s="71">
        <v>449</v>
      </c>
      <c r="I46" s="43" t="s">
        <v>52</v>
      </c>
      <c r="J46" s="71">
        <v>1</v>
      </c>
      <c r="K46" s="43" t="s">
        <v>54</v>
      </c>
      <c r="L46" s="10" t="str">
        <f>VLOOKUP(C46,'Trips&amp;Operators'!$C$1:$E$9999,3,0)</f>
        <v>LOCKLEAR</v>
      </c>
      <c r="M46" s="9" t="s">
        <v>109</v>
      </c>
      <c r="N46" s="10"/>
      <c r="O46" s="43"/>
      <c r="P46" s="78" t="str">
        <f>VLOOKUP(C46,'Train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46" s="76" t="str">
        <f>VLOOKUP(C46,'Train Runs'!$A$13:$AE$922,22,0)</f>
        <v>https://search-rtdc-monitor-bjffxe2xuh6vdkpspy63sjmuny.us-east-1.es.amazonaws.com/_plugin/kibana/#/discover/Steve-Slow-Train-Analysis-(2080s-and-2083s)?_g=(refreshInterval:(display:Off,section:0,value:0),time:(from:'2016-07-08 16:07:39-0600',mode:absolute,to:'2016-07-08 17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6" s="77" t="str">
        <f>VLOOKUP(C46,'Train Runs'!$A$13:$AF$922,32,0)</f>
        <v>"C:\Program Files (x86)\AstroGrep\AstroGrep.exe" /spath="C:\Users\stu\Documents\Analysis\2016-02-23 RTDC Observations" /stypes="*4013*20160708*" /stext=" 22:.+((prompt.+disp)|(slice.+state.+chan)|(ment ac)|(system.+state.+chan)|(\|lc)|(penalty)|(\[timeout))" /e /r /s</v>
      </c>
      <c r="S46" s="9" t="str">
        <f t="shared" si="4"/>
        <v>4013</v>
      </c>
      <c r="T46" s="52">
        <f t="shared" si="5"/>
        <v>42559.960300925923</v>
      </c>
      <c r="U46" s="75" t="str">
        <f t="shared" si="6"/>
        <v>EC</v>
      </c>
      <c r="V46" s="75" t="str">
        <f t="shared" si="3"/>
        <v>OMIT</v>
      </c>
    </row>
    <row r="47" spans="1:22" x14ac:dyDescent="0.25">
      <c r="A47" s="52">
        <v>42559.736122685186</v>
      </c>
      <c r="B47" s="43" t="s">
        <v>348</v>
      </c>
      <c r="C47" s="43" t="s">
        <v>508</v>
      </c>
      <c r="D47" s="43" t="s">
        <v>50</v>
      </c>
      <c r="E47" s="43" t="s">
        <v>51</v>
      </c>
      <c r="F47" s="71">
        <v>0</v>
      </c>
      <c r="G47" s="71">
        <v>47</v>
      </c>
      <c r="H47" s="71">
        <v>169</v>
      </c>
      <c r="I47" s="43" t="s">
        <v>52</v>
      </c>
      <c r="J47" s="71">
        <v>1</v>
      </c>
      <c r="K47" s="43" t="s">
        <v>54</v>
      </c>
      <c r="L47" s="10" t="str">
        <f>VLOOKUP(C47,'Trips&amp;Operators'!$C$1:$E$9999,3,0)</f>
        <v>ROCHA</v>
      </c>
      <c r="M47" s="9" t="s">
        <v>109</v>
      </c>
      <c r="N47" s="10"/>
      <c r="O47" s="43"/>
      <c r="P47" s="78" t="str">
        <f>VLOOKUP(C47,'Train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47" s="76" t="str">
        <f>VLOOKUP(C47,'Train Runs'!$A$13:$AE$922,22,0)</f>
        <v>https://search-rtdc-monitor-bjffxe2xuh6vdkpspy63sjmuny.us-east-1.es.amazonaws.com/_plugin/kibana/#/discover/Steve-Slow-Train-Analysis-(2080s-and-2083s)?_g=(refreshInterval:(display:Off,section:0,value:0),time:(from:'2016-07-08 16:56:03-0600',mode:absolute,to:'2016-07-08 17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7" s="77" t="str">
        <f>VLOOKUP(C47,'Train Runs'!$A$13:$AF$922,32,0)</f>
        <v>"C:\Program Files (x86)\AstroGrep\AstroGrep.exe" /spath="C:\Users\stu\Documents\Analysis\2016-02-23 RTDC Observations" /stypes="*4015*20160708*" /stext=" 22:.+((prompt.+disp)|(slice.+state.+chan)|(ment ac)|(system.+state.+chan)|(\|lc)|(penalty)|(\[timeout))" /e /r /s</v>
      </c>
      <c r="S47" s="9" t="str">
        <f t="shared" si="4"/>
        <v>4015</v>
      </c>
      <c r="T47" s="52">
        <f t="shared" si="5"/>
        <v>42559.986122685186</v>
      </c>
      <c r="U47" s="75" t="str">
        <f t="shared" si="6"/>
        <v>EC</v>
      </c>
      <c r="V47" s="75" t="str">
        <f t="shared" si="3"/>
        <v>KEEP</v>
      </c>
    </row>
    <row r="48" spans="1:22" hidden="1" x14ac:dyDescent="0.25">
      <c r="A48" s="52">
        <v>42560.002025462964</v>
      </c>
      <c r="B48" s="43" t="s">
        <v>147</v>
      </c>
      <c r="C48" s="43" t="s">
        <v>603</v>
      </c>
      <c r="D48" s="43" t="s">
        <v>50</v>
      </c>
      <c r="E48" s="43" t="s">
        <v>51</v>
      </c>
      <c r="F48" s="71">
        <v>0</v>
      </c>
      <c r="G48" s="71">
        <v>9</v>
      </c>
      <c r="H48" s="71">
        <v>121</v>
      </c>
      <c r="I48" s="43" t="s">
        <v>52</v>
      </c>
      <c r="J48" s="71">
        <v>1</v>
      </c>
      <c r="K48" s="43" t="s">
        <v>54</v>
      </c>
      <c r="L48" s="10" t="str">
        <f>VLOOKUP(C48,'Trips&amp;Operators'!$C$1:$E$9999,3,0)</f>
        <v>GRASTON</v>
      </c>
      <c r="M48" s="9" t="s">
        <v>109</v>
      </c>
      <c r="N48" s="10"/>
      <c r="O48" s="43"/>
      <c r="P48" s="78" t="str">
        <f>VLOOKUP(C48,'Train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48" s="76" t="str">
        <f>VLOOKUP(C48,'Train Runs'!$A$13:$AE$922,22,0)</f>
        <v>https://search-rtdc-monitor-bjffxe2xuh6vdkpspy63sjmuny.us-east-1.es.amazonaws.com/_plugin/kibana/#/discover/Steve-Slow-Train-Analysis-(2080s-and-2083s)?_g=(refreshInterval:(display:Off,section:0,value:0),time:(from:'2016-07-08 23:20:13-0600',mode:absolute,to:'2016-07-09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48" s="77" t="str">
        <f>VLOOKUP(C48,'Train Runs'!$A$13:$AF$922,32,0)</f>
        <v>"C:\Program Files (x86)\AstroGrep\AstroGrep.exe" /spath="C:\Users\stu\Documents\Analysis\2016-02-23 RTDC Observations" /stypes="*4043*20160709*" /stext=" 05:.+((prompt.+disp)|(slice.+state.+chan)|(ment ac)|(system.+state.+chan)|(\|lc)|(penalty)|(\[timeout))" /e /r /s</v>
      </c>
      <c r="S48" s="9" t="str">
        <f t="shared" si="4"/>
        <v>4043</v>
      </c>
      <c r="T48" s="52">
        <f t="shared" si="5"/>
        <v>42560.252025462964</v>
      </c>
      <c r="U48" s="75" t="str">
        <f t="shared" si="6"/>
        <v>EC</v>
      </c>
      <c r="V48" s="75" t="str">
        <f t="shared" si="3"/>
        <v>OMIT</v>
      </c>
    </row>
    <row r="49" spans="1:22" hidden="1" x14ac:dyDescent="0.25">
      <c r="A49" s="52">
        <v>42560.064375000002</v>
      </c>
      <c r="B49" s="43" t="s">
        <v>73</v>
      </c>
      <c r="C49" s="43" t="s">
        <v>604</v>
      </c>
      <c r="D49" s="43" t="s">
        <v>50</v>
      </c>
      <c r="E49" s="43" t="s">
        <v>51</v>
      </c>
      <c r="F49" s="71">
        <v>0</v>
      </c>
      <c r="G49" s="71">
        <v>9</v>
      </c>
      <c r="H49" s="71">
        <v>116</v>
      </c>
      <c r="I49" s="43" t="s">
        <v>52</v>
      </c>
      <c r="J49" s="71">
        <v>1</v>
      </c>
      <c r="K49" s="43" t="s">
        <v>54</v>
      </c>
      <c r="L49" s="10" t="str">
        <f>VLOOKUP(C49,'Trips&amp;Operators'!$C$1:$E$9999,3,0)</f>
        <v>BRUDER</v>
      </c>
      <c r="M49" s="9" t="s">
        <v>109</v>
      </c>
      <c r="N49" s="10"/>
      <c r="O49" s="43"/>
      <c r="P49" s="78" t="str">
        <f>VLOOKUP(C49,'Train Runs'!$A$13:$AE$922,31,0)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49" s="76" t="str">
        <f>VLOOKUP(C49,'Train Runs'!$A$13:$AE$922,22,0)</f>
        <v>https://search-rtdc-monitor-bjffxe2xuh6vdkpspy63sjmuny.us-east-1.es.amazonaws.com/_plugin/kibana/#/discover/Steve-Slow-Train-Analysis-(2080s-and-2083s)?_g=(refreshInterval:(display:Off,section:0,value:0),time:(from:'2016-07-09 00:50:25-0600',mode:absolute,to:'2016-07-09 01:33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9" s="77" t="str">
        <f>VLOOKUP(C49,'Train Runs'!$A$13:$AF$922,32,0)</f>
        <v>"C:\Program Files (x86)\AstroGrep\AstroGrep.exe" /spath="C:\Users\stu\Documents\Analysis\2016-02-23 RTDC Observations" /stypes="*4019*20160709*" /stext=" 06:.+((prompt.+disp)|(slice.+state.+chan)|(ment ac)|(system.+state.+chan)|(\|lc)|(penalty)|(\[timeout))" /e /r /s</v>
      </c>
      <c r="S49" s="9" t="str">
        <f t="shared" si="4"/>
        <v>4019</v>
      </c>
      <c r="T49" s="52">
        <f t="shared" si="5"/>
        <v>42560.314375000002</v>
      </c>
      <c r="U49" s="75" t="str">
        <f t="shared" si="6"/>
        <v>EC</v>
      </c>
      <c r="V49" s="75" t="str">
        <f t="shared" si="3"/>
        <v>OMIT</v>
      </c>
    </row>
    <row r="50" spans="1:22" hidden="1" x14ac:dyDescent="0.25">
      <c r="A50" s="52">
        <v>42559.338935185187</v>
      </c>
      <c r="B50" s="70" t="s">
        <v>125</v>
      </c>
      <c r="C50" s="11" t="s">
        <v>368</v>
      </c>
      <c r="D50" s="11" t="s">
        <v>50</v>
      </c>
      <c r="E50" s="70" t="s">
        <v>51</v>
      </c>
      <c r="F50" s="72">
        <v>0</v>
      </c>
      <c r="G50" s="72">
        <v>8</v>
      </c>
      <c r="H50" s="72">
        <v>233308</v>
      </c>
      <c r="I50" s="70" t="s">
        <v>52</v>
      </c>
      <c r="J50" s="72">
        <v>233491</v>
      </c>
      <c r="K50" s="10" t="s">
        <v>53</v>
      </c>
      <c r="L50" s="10" t="str">
        <f>VLOOKUP(C50,'Trips&amp;Operators'!$C$1:$E$9999,3,0)</f>
        <v>STURGEON</v>
      </c>
      <c r="M50" s="9" t="s">
        <v>109</v>
      </c>
      <c r="N50" s="10"/>
      <c r="O50" s="75"/>
      <c r="P50" s="78" t="str">
        <f>VLOOKUP(C50,'Train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0" s="76" t="str">
        <f>VLOOKUP(C50,'Train Runs'!$A$13:$AE$922,22,0)</f>
        <v>https://search-rtdc-monitor-bjffxe2xuh6vdkpspy63sjmuny.us-east-1.es.amazonaws.com/_plugin/kibana/#/discover/Steve-Slow-Train-Analysis-(2080s-and-2083s)?_g=(refreshInterval:(display:Off,section:0,value:0),time:(from:'2016-07-08 07:29:47-0600',mode:absolute,to:'2016-07-08 08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0" s="77" t="str">
        <f>VLOOKUP(C50,'Train Runs'!$A$13:$AF$922,32,0)</f>
        <v>"C:\Program Files (x86)\AstroGrep\AstroGrep.exe" /spath="C:\Users\stu\Documents\Analysis\2016-02-23 RTDC Observations" /stypes="*4025*20160708*" /stext=" 13:.+((prompt.+disp)|(slice.+state.+chan)|(ment ac)|(system.+state.+chan)|(\|lc)|(penalty)|(\[timeout))" /e /r /s</v>
      </c>
      <c r="S50" s="9" t="str">
        <f t="shared" si="4"/>
        <v>4025</v>
      </c>
      <c r="T50" s="52">
        <f t="shared" si="5"/>
        <v>42559.588935185187</v>
      </c>
      <c r="U50" s="75" t="str">
        <f t="shared" si="6"/>
        <v>EC</v>
      </c>
      <c r="V50" s="75" t="str">
        <f t="shared" si="3"/>
        <v>OMIT</v>
      </c>
    </row>
    <row r="51" spans="1:22" hidden="1" x14ac:dyDescent="0.25">
      <c r="A51" s="52">
        <v>42559.472083333334</v>
      </c>
      <c r="B51" s="69" t="s">
        <v>359</v>
      </c>
      <c r="C51" s="43" t="s">
        <v>380</v>
      </c>
      <c r="D51" s="43" t="s">
        <v>50</v>
      </c>
      <c r="E51" s="69" t="s">
        <v>51</v>
      </c>
      <c r="F51" s="71">
        <v>0</v>
      </c>
      <c r="G51" s="71">
        <v>5</v>
      </c>
      <c r="H51" s="71">
        <v>233339</v>
      </c>
      <c r="I51" s="69" t="s">
        <v>52</v>
      </c>
      <c r="J51" s="71">
        <v>233491</v>
      </c>
      <c r="K51" s="43" t="s">
        <v>53</v>
      </c>
      <c r="L51" s="10" t="str">
        <f>VLOOKUP(C51,'Trips&amp;Operators'!$C$1:$E$9999,3,0)</f>
        <v>ROCHA</v>
      </c>
      <c r="M51" s="9" t="s">
        <v>109</v>
      </c>
      <c r="N51" s="10"/>
      <c r="O51" s="75"/>
      <c r="P51" s="78" t="str">
        <f>VLOOKUP(C51,'Train Runs'!$A$13:$AE$922,31,0)</f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Q51" s="76" t="str">
        <f>VLOOKUP(C51,'Train Runs'!$A$13:$AE$922,22,0)</f>
        <v>https://search-rtdc-monitor-bjffxe2xuh6vdkpspy63sjmuny.us-east-1.es.amazonaws.com/_plugin/kibana/#/discover/Steve-Slow-Train-Analysis-(2080s-and-2083s)?_g=(refreshInterval:(display:Off,section:0,value:0),time:(from:'2016-07-08 10:37:38-0600',mode:absolute,to:'2016-07-08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1" s="77" t="str">
        <f>VLOOKUP(C51,'Train Runs'!$A$13:$AF$922,32,0)</f>
        <v>"C:\Program Files (x86)\AstroGrep\AstroGrep.exe" /spath="C:\Users\stu\Documents\Analysis\2016-02-23 RTDC Observations" /stypes="*4016*20160708*" /stext=" 16:.+((prompt.+disp)|(slice.+state.+chan)|(ment ac)|(system.+state.+chan)|(\|lc)|(penalty)|(\[timeout))" /e /r /s</v>
      </c>
      <c r="S51" s="9" t="str">
        <f t="shared" si="4"/>
        <v>4016</v>
      </c>
      <c r="T51" s="52">
        <f t="shared" si="5"/>
        <v>42559.722083333334</v>
      </c>
      <c r="U51" s="75" t="str">
        <f t="shared" si="6"/>
        <v>EC</v>
      </c>
      <c r="V51" s="75" t="str">
        <f t="shared" si="3"/>
        <v>OMIT</v>
      </c>
    </row>
    <row r="52" spans="1:22" x14ac:dyDescent="0.25">
      <c r="A52" s="52">
        <v>42559.482939814814</v>
      </c>
      <c r="B52" s="69" t="s">
        <v>125</v>
      </c>
      <c r="C52" s="43" t="s">
        <v>381</v>
      </c>
      <c r="D52" s="43" t="s">
        <v>50</v>
      </c>
      <c r="E52" s="69" t="s">
        <v>51</v>
      </c>
      <c r="F52" s="71">
        <v>0</v>
      </c>
      <c r="G52" s="71">
        <v>91</v>
      </c>
      <c r="H52" s="71">
        <v>233110</v>
      </c>
      <c r="I52" s="69" t="s">
        <v>52</v>
      </c>
      <c r="J52" s="71">
        <v>233491</v>
      </c>
      <c r="K52" s="43" t="s">
        <v>53</v>
      </c>
      <c r="L52" s="10" t="str">
        <f>VLOOKUP(C52,'Trips&amp;Operators'!$C$1:$E$9999,3,0)</f>
        <v>KILLION</v>
      </c>
      <c r="M52" s="9" t="s">
        <v>109</v>
      </c>
      <c r="N52" s="10"/>
      <c r="O52" s="75"/>
      <c r="P52" s="78" t="str">
        <f>VLOOKUP(C52,'Train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2" s="76" t="str">
        <f>VLOOKUP(C52,'Train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2" s="77" t="str">
        <f>VLOOKUP(C52,'Train Runs'!$A$13:$AF$922,32,0)</f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S52" s="9" t="str">
        <f t="shared" si="4"/>
        <v>4025</v>
      </c>
      <c r="T52" s="52">
        <f t="shared" si="5"/>
        <v>42559.732939814814</v>
      </c>
      <c r="U52" s="75" t="str">
        <f t="shared" si="6"/>
        <v>EC</v>
      </c>
      <c r="V52" s="75" t="str">
        <f t="shared" si="3"/>
        <v>KEEP</v>
      </c>
    </row>
    <row r="53" spans="1:22" x14ac:dyDescent="0.25">
      <c r="A53" s="52">
        <v>42559.48333333333</v>
      </c>
      <c r="B53" s="69" t="s">
        <v>125</v>
      </c>
      <c r="C53" s="43" t="s">
        <v>381</v>
      </c>
      <c r="D53" s="43" t="s">
        <v>50</v>
      </c>
      <c r="E53" s="43" t="s">
        <v>51</v>
      </c>
      <c r="F53" s="71">
        <v>0</v>
      </c>
      <c r="G53" s="71">
        <v>45</v>
      </c>
      <c r="H53" s="71">
        <v>233251</v>
      </c>
      <c r="I53" s="43" t="s">
        <v>52</v>
      </c>
      <c r="J53" s="71">
        <v>233491</v>
      </c>
      <c r="K53" s="43" t="s">
        <v>53</v>
      </c>
      <c r="L53" s="10" t="str">
        <f>VLOOKUP(C53,'Trips&amp;Operators'!$C$1:$E$9999,3,0)</f>
        <v>KILLION</v>
      </c>
      <c r="M53" s="9" t="s">
        <v>109</v>
      </c>
      <c r="N53" s="10"/>
      <c r="O53" s="43"/>
      <c r="P53" s="78" t="str">
        <f>VLOOKUP(C53,'Train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3" s="76" t="str">
        <f>VLOOKUP(C53,'Train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3" s="77" t="str">
        <f>VLOOKUP(C53,'Train Runs'!$A$13:$AF$922,32,0)</f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S53" s="9" t="str">
        <f t="shared" si="4"/>
        <v>4025</v>
      </c>
      <c r="T53" s="52">
        <f t="shared" si="5"/>
        <v>42559.73333333333</v>
      </c>
      <c r="U53" s="75" t="str">
        <f t="shared" si="6"/>
        <v>EC</v>
      </c>
      <c r="V53" s="75" t="str">
        <f t="shared" si="3"/>
        <v>KEEP</v>
      </c>
    </row>
    <row r="54" spans="1:22" hidden="1" x14ac:dyDescent="0.25">
      <c r="A54" s="52">
        <v>42559.556307870371</v>
      </c>
      <c r="B54" s="43" t="s">
        <v>125</v>
      </c>
      <c r="C54" s="43" t="s">
        <v>490</v>
      </c>
      <c r="D54" s="43" t="s">
        <v>50</v>
      </c>
      <c r="E54" s="43" t="s">
        <v>51</v>
      </c>
      <c r="F54" s="71">
        <v>0</v>
      </c>
      <c r="G54" s="71">
        <v>4</v>
      </c>
      <c r="H54" s="71">
        <v>233330</v>
      </c>
      <c r="I54" s="43" t="s">
        <v>52</v>
      </c>
      <c r="J54" s="71">
        <v>233491</v>
      </c>
      <c r="K54" s="43" t="s">
        <v>53</v>
      </c>
      <c r="L54" s="10" t="str">
        <f>VLOOKUP(C54,'Trips&amp;Operators'!$C$1:$E$9999,3,0)</f>
        <v>WEBSTER</v>
      </c>
      <c r="M54" s="9" t="s">
        <v>109</v>
      </c>
      <c r="N54" s="10"/>
      <c r="O54" s="43"/>
      <c r="P54" s="78" t="str">
        <f>VLOOKUP(C54,'Train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4" s="76" t="str">
        <f>VLOOKUP(C54,'Train Runs'!$A$13:$AE$922,22,0)</f>
        <v>https://search-rtdc-monitor-bjffxe2xuh6vdkpspy63sjmuny.us-east-1.es.amazonaws.com/_plugin/kibana/#/discover/Steve-Slow-Train-Analysis-(2080s-and-2083s)?_g=(refreshInterval:(display:Off,section:0,value:0),time:(from:'2016-07-08 12:35:26-0600',mode:absolute,to:'2016-07-08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4" s="77" t="str">
        <f>VLOOKUP(C54,'Train Runs'!$A$13:$AF$922,32,0)</f>
        <v>"C:\Program Files (x86)\AstroGrep\AstroGrep.exe" /spath="C:\Users\stu\Documents\Analysis\2016-02-23 RTDC Observations" /stypes="*4025*20160708*" /stext=" 18:.+((prompt.+disp)|(slice.+state.+chan)|(ment ac)|(system.+state.+chan)|(\|lc)|(penalty)|(\[timeout))" /e /r /s</v>
      </c>
      <c r="S54" s="9" t="str">
        <f t="shared" si="4"/>
        <v>4025</v>
      </c>
      <c r="T54" s="52">
        <f t="shared" si="5"/>
        <v>42559.806307870371</v>
      </c>
      <c r="U54" s="75" t="str">
        <f t="shared" si="6"/>
        <v>EC</v>
      </c>
      <c r="V54" s="75" t="str">
        <f t="shared" si="3"/>
        <v>OMIT</v>
      </c>
    </row>
    <row r="55" spans="1:22" hidden="1" x14ac:dyDescent="0.25">
      <c r="A55" s="52">
        <v>42559.576284722221</v>
      </c>
      <c r="B55" s="43" t="s">
        <v>152</v>
      </c>
      <c r="C55" s="43" t="s">
        <v>491</v>
      </c>
      <c r="D55" s="43" t="s">
        <v>50</v>
      </c>
      <c r="E55" s="43" t="s">
        <v>51</v>
      </c>
      <c r="F55" s="71">
        <v>0</v>
      </c>
      <c r="G55" s="71">
        <v>9</v>
      </c>
      <c r="H55" s="71">
        <v>233324</v>
      </c>
      <c r="I55" s="43" t="s">
        <v>52</v>
      </c>
      <c r="J55" s="71">
        <v>233491</v>
      </c>
      <c r="K55" s="43" t="s">
        <v>53</v>
      </c>
      <c r="L55" s="10" t="str">
        <f>VLOOKUP(C55,'Trips&amp;Operators'!$C$1:$E$9999,3,0)</f>
        <v>LOZA</v>
      </c>
      <c r="M55" s="9" t="s">
        <v>109</v>
      </c>
      <c r="N55" s="10"/>
      <c r="O55" s="43"/>
      <c r="P55" s="78" t="str">
        <f>VLOOKUP(C55,'Train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55" s="76" t="str">
        <f>VLOOKUP(C55,'Train Runs'!$A$13:$AE$922,22,0)</f>
        <v>https://search-rtdc-monitor-bjffxe2xuh6vdkpspy63sjmuny.us-east-1.es.amazonaws.com/_plugin/kibana/#/discover/Steve-Slow-Train-Analysis-(2080s-and-2083s)?_g=(refreshInterval:(display:Off,section:0,value:0),time:(from:'2016-07-08 13:09:21-0600',mode:absolute,to:'2016-07-08 13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5" s="77" t="str">
        <f>VLOOKUP(C55,'Train Runs'!$A$13:$AF$922,32,0)</f>
        <v>"C:\Program Files (x86)\AstroGrep\AstroGrep.exe" /spath="C:\Users\stu\Documents\Analysis\2016-02-23 RTDC Observations" /stypes="*4040*20160708*" /stext=" 19:.+((prompt.+disp)|(slice.+state.+chan)|(ment ac)|(system.+state.+chan)|(\|lc)|(penalty)|(\[timeout))" /e /r /s</v>
      </c>
      <c r="S55" s="9" t="str">
        <f t="shared" si="4"/>
        <v>4040</v>
      </c>
      <c r="T55" s="52">
        <f t="shared" si="5"/>
        <v>42559.826284722221</v>
      </c>
      <c r="U55" s="75" t="str">
        <f t="shared" si="6"/>
        <v>EC</v>
      </c>
      <c r="V55" s="75" t="str">
        <f t="shared" si="3"/>
        <v>OMIT</v>
      </c>
    </row>
    <row r="56" spans="1:22" hidden="1" x14ac:dyDescent="0.25">
      <c r="A56" s="52">
        <v>42559.61787037037</v>
      </c>
      <c r="B56" s="43" t="s">
        <v>359</v>
      </c>
      <c r="C56" s="43" t="s">
        <v>494</v>
      </c>
      <c r="D56" s="43" t="s">
        <v>50</v>
      </c>
      <c r="E56" s="43" t="s">
        <v>51</v>
      </c>
      <c r="F56" s="71">
        <v>0</v>
      </c>
      <c r="G56" s="71">
        <v>7</v>
      </c>
      <c r="H56" s="71">
        <v>233322</v>
      </c>
      <c r="I56" s="43" t="s">
        <v>52</v>
      </c>
      <c r="J56" s="71">
        <v>233491</v>
      </c>
      <c r="K56" s="43" t="s">
        <v>53</v>
      </c>
      <c r="L56" s="10" t="str">
        <f>VLOOKUP(C56,'Trips&amp;Operators'!$C$1:$E$9999,3,0)</f>
        <v>ROCHA</v>
      </c>
      <c r="M56" s="9" t="s">
        <v>109</v>
      </c>
      <c r="N56" s="10"/>
      <c r="O56" s="43"/>
      <c r="P56" s="78" t="str">
        <f>VLOOKUP(C56,'Train Runs'!$A$13:$AE$922,31,0)</f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Q56" s="76" t="str">
        <f>VLOOKUP(C56,'Train Runs'!$A$13:$AE$922,22,0)</f>
        <v>https://search-rtdc-monitor-bjffxe2xuh6vdkpspy63sjmuny.us-east-1.es.amazonaws.com/_plugin/kibana/#/discover/Steve-Slow-Train-Analysis-(2080s-and-2083s)?_g=(refreshInterval:(display:Off,section:0,value:0),time:(from:'2016-07-08 14:09:39-0600',mode:absolute,to:'2016-07-08 14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6" s="77" t="str">
        <f>VLOOKUP(C56,'Train Runs'!$A$13:$AF$922,32,0)</f>
        <v>"C:\Program Files (x86)\AstroGrep\AstroGrep.exe" /spath="C:\Users\stu\Documents\Analysis\2016-02-23 RTDC Observations" /stypes="*4016*20160708*" /stext=" 20:.+((prompt.+disp)|(slice.+state.+chan)|(ment ac)|(system.+state.+chan)|(\|lc)|(penalty)|(\[timeout))" /e /r /s</v>
      </c>
      <c r="S56" s="9" t="str">
        <f t="shared" si="4"/>
        <v>4016</v>
      </c>
      <c r="T56" s="52">
        <f t="shared" si="5"/>
        <v>42559.86787037037</v>
      </c>
      <c r="U56" s="75" t="str">
        <f t="shared" si="6"/>
        <v>EC</v>
      </c>
      <c r="V56" s="75" t="str">
        <f t="shared" si="3"/>
        <v>OMIT</v>
      </c>
    </row>
    <row r="57" spans="1:22" x14ac:dyDescent="0.25">
      <c r="A57" s="52">
        <v>42559.683657407404</v>
      </c>
      <c r="B57" s="43" t="s">
        <v>131</v>
      </c>
      <c r="C57" s="43" t="s">
        <v>497</v>
      </c>
      <c r="D57" s="43" t="s">
        <v>50</v>
      </c>
      <c r="E57" s="43" t="s">
        <v>51</v>
      </c>
      <c r="F57" s="71">
        <v>0</v>
      </c>
      <c r="G57" s="71">
        <v>79</v>
      </c>
      <c r="H57" s="71">
        <v>233213</v>
      </c>
      <c r="I57" s="43" t="s">
        <v>52</v>
      </c>
      <c r="J57" s="71">
        <v>233491</v>
      </c>
      <c r="K57" s="43" t="s">
        <v>53</v>
      </c>
      <c r="L57" s="10" t="str">
        <f>VLOOKUP(C57,'Trips&amp;Operators'!$C$1:$E$9999,3,0)</f>
        <v>STEWART</v>
      </c>
      <c r="M57" s="9" t="s">
        <v>109</v>
      </c>
      <c r="N57" s="10"/>
      <c r="O57" s="43"/>
      <c r="P57" s="78" t="str">
        <f>VLOOKUP(C57,'Train Runs'!$A$13:$AE$922,31,0)</f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Q57" s="76" t="str">
        <f>VLOOKUP(C57,'Train Runs'!$A$13:$AE$922,22,0)</f>
        <v>https://search-rtdc-monitor-bjffxe2xuh6vdkpspy63sjmuny.us-east-1.es.amazonaws.com/_plugin/kibana/#/discover/Steve-Slow-Train-Analysis-(2080s-and-2083s)?_g=(refreshInterval:(display:Off,section:0,value:0),time:(from:'2016-07-08 15:37:36-0600',mode:absolute,to:'2016-07-08 16:26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7" s="77" t="str">
        <f>VLOOKUP(C57,'Train Runs'!$A$13:$AF$922,32,0)</f>
        <v>"C:\Program Files (x86)\AstroGrep\AstroGrep.exe" /spath="C:\Users\stu\Documents\Analysis\2016-02-23 RTDC Observations" /stypes="*4027*20160708*" /stext=" 21:.+((prompt.+disp)|(slice.+state.+chan)|(ment ac)|(system.+state.+chan)|(\|lc)|(penalty)|(\[timeout))" /e /r /s</v>
      </c>
      <c r="S57" s="9" t="str">
        <f t="shared" si="4"/>
        <v>4027</v>
      </c>
      <c r="T57" s="52">
        <f t="shared" si="5"/>
        <v>42559.933657407404</v>
      </c>
      <c r="U57" s="75" t="str">
        <f t="shared" si="6"/>
        <v>EC</v>
      </c>
      <c r="V57" s="75" t="str">
        <f t="shared" si="3"/>
        <v>KEEP</v>
      </c>
    </row>
    <row r="58" spans="1:22" hidden="1" x14ac:dyDescent="0.25">
      <c r="A58" s="52">
        <v>42559.734756944446</v>
      </c>
      <c r="B58" s="43" t="s">
        <v>152</v>
      </c>
      <c r="C58" s="43" t="s">
        <v>525</v>
      </c>
      <c r="D58" s="43" t="s">
        <v>50</v>
      </c>
      <c r="E58" s="43" t="s">
        <v>51</v>
      </c>
      <c r="F58" s="71">
        <v>0</v>
      </c>
      <c r="G58" s="71">
        <v>7</v>
      </c>
      <c r="H58" s="71">
        <v>233326</v>
      </c>
      <c r="I58" s="43" t="s">
        <v>52</v>
      </c>
      <c r="J58" s="71">
        <v>233491</v>
      </c>
      <c r="K58" s="43" t="s">
        <v>53</v>
      </c>
      <c r="L58" s="10" t="str">
        <f>VLOOKUP(C58,'Trips&amp;Operators'!$C$1:$E$9999,3,0)</f>
        <v>LOZA</v>
      </c>
      <c r="M58" s="9" t="s">
        <v>109</v>
      </c>
      <c r="N58" s="10"/>
      <c r="O58" s="43"/>
      <c r="P58" s="78" t="str">
        <f>VLOOKUP(C58,'Train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58" s="76" t="str">
        <f>VLOOKUP(C58,'Train Runs'!$A$13:$AE$922,22,0)</f>
        <v>https://search-rtdc-monitor-bjffxe2xuh6vdkpspy63sjmuny.us-east-1.es.amazonaws.com/_plugin/kibana/#/discover/Steve-Slow-Train-Analysis-(2080s-and-2083s)?_g=(refreshInterval:(display:Off,section:0,value:0),time:(from:'2016-07-08 16:53:34-0600',mode:absolute,to:'2016-07-08 17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8" s="77" t="str">
        <f>VLOOKUP(C58,'Train Runs'!$A$13:$AF$922,32,0)</f>
        <v>"C:\Program Files (x86)\AstroGrep\AstroGrep.exe" /spath="C:\Users\stu\Documents\Analysis\2016-02-23 RTDC Observations" /stypes="*4040*20160708*" /stext=" 22:.+((prompt.+disp)|(slice.+state.+chan)|(ment ac)|(system.+state.+chan)|(\|lc)|(penalty)|(\[timeout))" /e /r /s</v>
      </c>
      <c r="S58" s="9" t="str">
        <f t="shared" si="4"/>
        <v>4040</v>
      </c>
      <c r="T58" s="52">
        <f t="shared" si="5"/>
        <v>42559.984756944446</v>
      </c>
      <c r="U58" s="75" t="str">
        <f t="shared" si="6"/>
        <v>EC</v>
      </c>
      <c r="V58" s="75" t="str">
        <f t="shared" si="3"/>
        <v>OMIT</v>
      </c>
    </row>
    <row r="59" spans="1:22" hidden="1" x14ac:dyDescent="0.25">
      <c r="A59" s="52">
        <v>42559.775671296295</v>
      </c>
      <c r="B59" s="43" t="s">
        <v>125</v>
      </c>
      <c r="C59" s="43" t="s">
        <v>535</v>
      </c>
      <c r="D59" s="43" t="s">
        <v>50</v>
      </c>
      <c r="E59" s="43" t="s">
        <v>51</v>
      </c>
      <c r="F59" s="71">
        <v>0</v>
      </c>
      <c r="G59" s="71">
        <v>5</v>
      </c>
      <c r="H59" s="71">
        <v>233343</v>
      </c>
      <c r="I59" s="43" t="s">
        <v>52</v>
      </c>
      <c r="J59" s="71">
        <v>233491</v>
      </c>
      <c r="K59" s="43" t="s">
        <v>53</v>
      </c>
      <c r="L59" s="10" t="str">
        <f>VLOOKUP(C59,'Trips&amp;Operators'!$C$1:$E$9999,3,0)</f>
        <v>WEBSTER</v>
      </c>
      <c r="M59" s="9" t="s">
        <v>109</v>
      </c>
      <c r="N59" s="10"/>
      <c r="O59" s="43"/>
      <c r="P59" s="78" t="str">
        <f>VLOOKUP(C59,'Train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9" s="76" t="str">
        <f>VLOOKUP(C59,'Train Runs'!$A$13:$AE$922,22,0)</f>
        <v>https://search-rtdc-monitor-bjffxe2xuh6vdkpspy63sjmuny.us-east-1.es.amazonaws.com/_plugin/kibana/#/discover/Steve-Slow-Train-Analysis-(2080s-and-2083s)?_g=(refreshInterval:(display:Off,section:0,value:0),time:(from:'2016-07-08 17:53:49-0600',mode:absolute,to:'2016-07-08 18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9" s="77" t="str">
        <f>VLOOKUP(C59,'Train Runs'!$A$13:$AF$922,32,0)</f>
        <v>"C:\Program Files (x86)\AstroGrep\AstroGrep.exe" /spath="C:\Users\stu\Documents\Analysis\2016-02-23 RTDC Observations" /stypes="*4025*20160708*" /stext=" 23:.+((prompt.+disp)|(slice.+state.+chan)|(ment ac)|(system.+state.+chan)|(\|lc)|(penalty)|(\[timeout))" /e /r /s</v>
      </c>
      <c r="S59" s="9" t="str">
        <f t="shared" si="4"/>
        <v>4025</v>
      </c>
      <c r="T59" s="52">
        <f t="shared" si="5"/>
        <v>42560.025671296295</v>
      </c>
      <c r="U59" s="75" t="str">
        <f t="shared" si="6"/>
        <v>EC</v>
      </c>
      <c r="V59" s="75" t="str">
        <f t="shared" si="3"/>
        <v>OMIT</v>
      </c>
    </row>
    <row r="60" spans="1:22" hidden="1" x14ac:dyDescent="0.25">
      <c r="A60" s="52">
        <v>42559.941099537034</v>
      </c>
      <c r="B60" s="43" t="s">
        <v>74</v>
      </c>
      <c r="C60" s="43" t="s">
        <v>600</v>
      </c>
      <c r="D60" s="43" t="s">
        <v>50</v>
      </c>
      <c r="E60" s="43" t="s">
        <v>51</v>
      </c>
      <c r="F60" s="71">
        <v>0</v>
      </c>
      <c r="G60" s="71">
        <v>3</v>
      </c>
      <c r="H60" s="71">
        <v>233318</v>
      </c>
      <c r="I60" s="43" t="s">
        <v>52</v>
      </c>
      <c r="J60" s="71">
        <v>233491</v>
      </c>
      <c r="K60" s="43" t="s">
        <v>53</v>
      </c>
      <c r="L60" s="10" t="str">
        <f>VLOOKUP(C60,'Trips&amp;Operators'!$C$1:$E$9999,3,0)</f>
        <v>BRUDER</v>
      </c>
      <c r="M60" s="9" t="s">
        <v>109</v>
      </c>
      <c r="N60" s="10"/>
      <c r="O60" s="43"/>
      <c r="P60" s="78" t="str">
        <f>VLOOKUP(C60,'Train Runs'!$A$13:$AE$922,31,0)</f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Q60" s="76" t="str">
        <f>VLOOKUP(C60,'Train Runs'!$A$13:$AE$922,22,0)</f>
        <v>https://search-rtdc-monitor-bjffxe2xuh6vdkpspy63sjmuny.us-east-1.es.amazonaws.com/_plugin/kibana/#/discover/Steve-Slow-Train-Analysis-(2080s-and-2083s)?_g=(refreshInterval:(display:Off,section:0,value:0),time:(from:'2016-07-08 21:54:44-0600',mode:absolute,to:'2016-07-08 22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0" s="77" t="str">
        <f>VLOOKUP(C60,'Train Runs'!$A$13:$AF$922,32,0)</f>
        <v>"C:\Program Files (x86)\AstroGrep\AstroGrep.exe" /spath="C:\Users\stu\Documents\Analysis\2016-02-23 RTDC Observations" /stypes="*4020*20160709*" /stext=" 03:.+((prompt.+disp)|(slice.+state.+chan)|(ment ac)|(system.+state.+chan)|(\|lc)|(penalty)|(\[timeout))" /e /r /s</v>
      </c>
      <c r="S60" s="9" t="str">
        <f t="shared" si="4"/>
        <v>4020</v>
      </c>
      <c r="T60" s="52">
        <f t="shared" si="5"/>
        <v>42560.191099537034</v>
      </c>
      <c r="U60" s="75" t="str">
        <f t="shared" si="6"/>
        <v>EC</v>
      </c>
      <c r="V60" s="75" t="str">
        <f t="shared" si="3"/>
        <v>OMIT</v>
      </c>
    </row>
    <row r="61" spans="1:22" hidden="1" x14ac:dyDescent="0.25">
      <c r="A61" s="52">
        <v>42559.961851851855</v>
      </c>
      <c r="B61" s="43" t="s">
        <v>143</v>
      </c>
      <c r="C61" s="43" t="s">
        <v>601</v>
      </c>
      <c r="D61" s="43" t="s">
        <v>50</v>
      </c>
      <c r="E61" s="43" t="s">
        <v>51</v>
      </c>
      <c r="F61" s="71">
        <v>0</v>
      </c>
      <c r="G61" s="71">
        <v>5</v>
      </c>
      <c r="H61" s="71">
        <v>233328</v>
      </c>
      <c r="I61" s="43" t="s">
        <v>52</v>
      </c>
      <c r="J61" s="71">
        <v>233491</v>
      </c>
      <c r="K61" s="43" t="s">
        <v>53</v>
      </c>
      <c r="L61" s="10" t="str">
        <f>VLOOKUP(C61,'Trips&amp;Operators'!$C$1:$E$9999,3,0)</f>
        <v>GRASTON</v>
      </c>
      <c r="M61" s="9" t="s">
        <v>109</v>
      </c>
      <c r="N61" s="10"/>
      <c r="O61" s="43"/>
      <c r="P61" s="78" t="str">
        <f>VLOOKUP(C61,'Train Runs'!$A$13:$AE$922,31,0)</f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Q61" s="76" t="str">
        <f>VLOOKUP(C61,'Train Runs'!$A$13:$AE$922,22,0)</f>
        <v>https://search-rtdc-monitor-bjffxe2xuh6vdkpspy63sjmuny.us-east-1.es.amazonaws.com/_plugin/kibana/#/discover/Steve-Slow-Train-Analysis-(2080s-and-2083s)?_g=(refreshInterval:(display:Off,section:0,value:0),time:(from:'2016-07-08 22:23:15-0600',mode:absolute,to:'2016-07-08 23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1" s="77" t="str">
        <f>VLOOKUP(C61,'Train Runs'!$A$13:$AF$922,32,0)</f>
        <v>"C:\Program Files (x86)\AstroGrep\AstroGrep.exe" /spath="C:\Users\stu\Documents\Analysis\2016-02-23 RTDC Observations" /stypes="*4044*20160709*" /stext=" 04:.+((prompt.+disp)|(slice.+state.+chan)|(ment ac)|(system.+state.+chan)|(\|lc)|(penalty)|(\[timeout))" /e /r /s</v>
      </c>
      <c r="S61" s="9" t="str">
        <f t="shared" si="4"/>
        <v>4044</v>
      </c>
      <c r="T61" s="52">
        <f t="shared" si="5"/>
        <v>42560.211851851855</v>
      </c>
      <c r="U61" s="75" t="str">
        <f t="shared" si="6"/>
        <v>EC</v>
      </c>
      <c r="V61" s="75" t="str">
        <f t="shared" si="3"/>
        <v>OMIT</v>
      </c>
    </row>
    <row r="62" spans="1:22" hidden="1" x14ac:dyDescent="0.25">
      <c r="A62" s="52">
        <v>42559.984016203707</v>
      </c>
      <c r="B62" s="43" t="s">
        <v>123</v>
      </c>
      <c r="C62" s="43" t="s">
        <v>602</v>
      </c>
      <c r="D62" s="43" t="s">
        <v>50</v>
      </c>
      <c r="E62" s="43" t="s">
        <v>51</v>
      </c>
      <c r="F62" s="71">
        <v>0</v>
      </c>
      <c r="G62" s="71">
        <v>6</v>
      </c>
      <c r="H62" s="71">
        <v>233289</v>
      </c>
      <c r="I62" s="43" t="s">
        <v>52</v>
      </c>
      <c r="J62" s="71">
        <v>233491</v>
      </c>
      <c r="K62" s="43" t="s">
        <v>53</v>
      </c>
      <c r="L62" s="10" t="str">
        <f>VLOOKUP(C62,'Trips&amp;Operators'!$C$1:$E$9999,3,0)</f>
        <v>HELVIE</v>
      </c>
      <c r="M62" s="9" t="s">
        <v>109</v>
      </c>
      <c r="N62" s="10"/>
      <c r="O62" s="43"/>
      <c r="P62" s="78" t="str">
        <f>VLOOKUP(C62,'Train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62" s="76" t="str">
        <f>VLOOKUP(C62,'Train Runs'!$A$13:$AE$922,22,0)</f>
        <v>https://search-rtdc-monitor-bjffxe2xuh6vdkpspy63sjmuny.us-east-1.es.amazonaws.com/_plugin/kibana/#/discover/Steve-Slow-Train-Analysis-(2080s-and-2083s)?_g=(refreshInterval:(display:Off,section:0,value:0),time:(from:'2016-07-08 22:49:09-0600',mode:absolute,to:'2016-07-08 23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62" s="77" t="str">
        <f>VLOOKUP(C62,'Train Runs'!$A$13:$AF$922,32,0)</f>
        <v>"C:\Program Files (x86)\AstroGrep\AstroGrep.exe" /spath="C:\Users\stu\Documents\Analysis\2016-02-23 RTDC Observations" /stypes="*4014*20160709*" /stext=" 04:.+((prompt.+disp)|(slice.+state.+chan)|(ment ac)|(system.+state.+chan)|(\|lc)|(penalty)|(\[timeout))" /e /r /s</v>
      </c>
      <c r="S62" s="9" t="str">
        <f t="shared" si="4"/>
        <v>4014</v>
      </c>
      <c r="T62" s="52">
        <f t="shared" si="5"/>
        <v>42560.234016203707</v>
      </c>
      <c r="U62" s="75" t="str">
        <f t="shared" si="6"/>
        <v>EC</v>
      </c>
      <c r="V62" s="75" t="str">
        <f t="shared" si="3"/>
        <v>OMIT</v>
      </c>
    </row>
    <row r="63" spans="1:22" x14ac:dyDescent="0.25">
      <c r="A63" s="52">
        <v>42560.068171296298</v>
      </c>
      <c r="B63" s="43" t="s">
        <v>123</v>
      </c>
      <c r="C63" s="43" t="s">
        <v>605</v>
      </c>
      <c r="D63" s="43" t="s">
        <v>50</v>
      </c>
      <c r="E63" s="43" t="s">
        <v>51</v>
      </c>
      <c r="F63" s="71">
        <v>0</v>
      </c>
      <c r="G63" s="71">
        <v>53</v>
      </c>
      <c r="H63" s="71">
        <v>233318</v>
      </c>
      <c r="I63" s="43" t="s">
        <v>52</v>
      </c>
      <c r="J63" s="71">
        <v>233491</v>
      </c>
      <c r="K63" s="43" t="s">
        <v>53</v>
      </c>
      <c r="L63" s="105" t="b">
        <f>VLOOKUP(C63,'Trips&amp;Operators'!$C$1:$E$9999,3,0)</f>
        <v>1</v>
      </c>
      <c r="M63" s="9" t="s">
        <v>109</v>
      </c>
      <c r="N63" s="10"/>
      <c r="O63" s="43"/>
      <c r="P63" s="78" t="e">
        <f>VLOOKUP(C63,'Train Runs'!$A$13:$AE$922,31,0)</f>
        <v>#N/A</v>
      </c>
      <c r="Q63" s="76" t="e">
        <f>VLOOKUP(C63,'Train Runs'!$A$13:$AE$922,22,0)</f>
        <v>#N/A</v>
      </c>
      <c r="R63" s="77" t="e">
        <f>VLOOKUP(C63,'Train Runs'!$A$13:$AF$922,32,0)</f>
        <v>#N/A</v>
      </c>
      <c r="S63" s="9" t="str">
        <f t="shared" si="4"/>
        <v>4014</v>
      </c>
      <c r="T63" s="52">
        <f t="shared" si="5"/>
        <v>42560.318171296298</v>
      </c>
      <c r="U63" s="75" t="str">
        <f t="shared" si="6"/>
        <v>EC</v>
      </c>
      <c r="V63" s="75" t="str">
        <f t="shared" si="3"/>
        <v>KEEP</v>
      </c>
    </row>
    <row r="64" spans="1:22" x14ac:dyDescent="0.25">
      <c r="A64" s="52">
        <v>42559.247048611112</v>
      </c>
      <c r="B64" s="69" t="s">
        <v>77</v>
      </c>
      <c r="C64" s="43" t="s">
        <v>342</v>
      </c>
      <c r="D64" s="43" t="s">
        <v>50</v>
      </c>
      <c r="E64" s="43" t="s">
        <v>58</v>
      </c>
      <c r="F64" s="71">
        <v>300</v>
      </c>
      <c r="G64" s="71">
        <v>309</v>
      </c>
      <c r="H64" s="71">
        <v>20150</v>
      </c>
      <c r="I64" s="43" t="s">
        <v>59</v>
      </c>
      <c r="J64" s="71">
        <v>21314</v>
      </c>
      <c r="K64" s="43" t="s">
        <v>53</v>
      </c>
      <c r="L64" s="10" t="str">
        <f>VLOOKUP(C64,'Trips&amp;Operators'!$C$1:$E$9999,3,0)</f>
        <v>BEAM</v>
      </c>
      <c r="M64" s="9" t="s">
        <v>652</v>
      </c>
      <c r="N64" s="10"/>
      <c r="O64" s="43"/>
      <c r="P64" s="78" t="str">
        <f>VLOOKUP(C64,'Train Runs'!$A$13:$AE$922,31,0)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64" s="76">
        <f>VLOOKUP(C64,'Train Runs'!$A$13:$AE$922,22,0)</f>
        <v>0</v>
      </c>
      <c r="R64" s="77" t="str">
        <f>VLOOKUP(C64,'Train Runs'!$A$13:$AF$922,32,0)</f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S64" s="9" t="str">
        <f t="shared" si="4"/>
        <v>4031</v>
      </c>
      <c r="T64" s="52">
        <f t="shared" si="5"/>
        <v>42559.497048611112</v>
      </c>
      <c r="U64" s="75" t="str">
        <f t="shared" si="6"/>
        <v>NWGL</v>
      </c>
      <c r="V64" s="75" t="str">
        <f t="shared" si="3"/>
        <v>KEEP</v>
      </c>
    </row>
    <row r="65" spans="1:22" x14ac:dyDescent="0.25">
      <c r="A65" s="52">
        <v>42559.34275462963</v>
      </c>
      <c r="B65" s="69" t="s">
        <v>68</v>
      </c>
      <c r="C65" s="43" t="s">
        <v>369</v>
      </c>
      <c r="D65" s="43" t="s">
        <v>55</v>
      </c>
      <c r="E65" s="69" t="s">
        <v>58</v>
      </c>
      <c r="F65" s="71">
        <v>150</v>
      </c>
      <c r="G65" s="71">
        <v>203</v>
      </c>
      <c r="H65" s="71">
        <v>56690</v>
      </c>
      <c r="I65" s="69" t="s">
        <v>59</v>
      </c>
      <c r="J65" s="71">
        <v>59050</v>
      </c>
      <c r="K65" s="43" t="s">
        <v>54</v>
      </c>
      <c r="L65" s="10" t="str">
        <f>VLOOKUP(C65,'Trips&amp;Operators'!$C$1:$E$9999,3,0)</f>
        <v>BEAM</v>
      </c>
      <c r="M65" s="9" t="s">
        <v>652</v>
      </c>
      <c r="N65" s="10"/>
      <c r="O65" s="75"/>
      <c r="P65" s="78" t="str">
        <f>VLOOKUP(C65,'Train Runs'!$A$13:$AE$922,31,0)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65" s="76">
        <f>VLOOKUP(C65,'Train Runs'!$A$13:$AE$922,22,0)</f>
        <v>0</v>
      </c>
      <c r="R65" s="77" t="str">
        <f>VLOOKUP(C65,'Train Runs'!$A$13:$AF$922,32,0)</f>
        <v>"C:\Program Files (x86)\AstroGrep\AstroGrep.exe" /spath="C:\Users\stu\Documents\Analysis\2016-02-23 RTDC Observations" /stypes="*4032*20160708*" /stext=" 14:.+((prompt.+disp)|(slice.+state.+chan)|(ment ac)|(system.+state.+chan)|(\|lc)|(penalty)|(\[timeout))" /e /r /s</v>
      </c>
      <c r="S65" s="9" t="str">
        <f t="shared" si="4"/>
        <v>4032</v>
      </c>
      <c r="T65" s="52">
        <f t="shared" si="5"/>
        <v>42559.59275462963</v>
      </c>
      <c r="U65" s="75" t="str">
        <f t="shared" si="6"/>
        <v>NWGL</v>
      </c>
      <c r="V65" s="75" t="str">
        <f t="shared" si="3"/>
        <v>KEEP</v>
      </c>
    </row>
    <row r="66" spans="1:22" x14ac:dyDescent="0.25">
      <c r="A66" s="52">
        <v>42559.224618055552</v>
      </c>
      <c r="B66" s="69" t="s">
        <v>68</v>
      </c>
      <c r="C66" s="43" t="s">
        <v>341</v>
      </c>
      <c r="D66" s="43" t="s">
        <v>50</v>
      </c>
      <c r="E66" s="69" t="s">
        <v>56</v>
      </c>
      <c r="F66" s="71">
        <v>0</v>
      </c>
      <c r="G66" s="71">
        <v>171</v>
      </c>
      <c r="H66" s="71">
        <v>5230</v>
      </c>
      <c r="I66" s="69" t="s">
        <v>57</v>
      </c>
      <c r="J66" s="71">
        <v>4798</v>
      </c>
      <c r="K66" s="43" t="s">
        <v>54</v>
      </c>
      <c r="L66" s="10" t="str">
        <f>VLOOKUP(C66,'Trips&amp;Operators'!$C$1:$E$9999,3,0)</f>
        <v>BEAM</v>
      </c>
      <c r="M66" s="9" t="s">
        <v>652</v>
      </c>
      <c r="N66" s="10"/>
      <c r="O66" s="75"/>
      <c r="P66" s="78" t="str">
        <f>VLOOKUP(C66,'Train Runs'!$A$13:$AE$922,31,0)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66" s="76">
        <f>VLOOKUP(C66,'Train Runs'!$A$13:$AE$922,22,0)</f>
        <v>0</v>
      </c>
      <c r="R66" s="77" t="str">
        <f>VLOOKUP(C66,'Train Runs'!$A$13:$AF$922,32,0)</f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S66" s="9" t="str">
        <f t="shared" si="4"/>
        <v>4032</v>
      </c>
      <c r="T66" s="52">
        <f t="shared" si="5"/>
        <v>42559.474618055552</v>
      </c>
      <c r="U66" s="75" t="str">
        <f t="shared" si="6"/>
        <v>NWGL</v>
      </c>
      <c r="V66" s="75" t="str">
        <f t="shared" si="3"/>
        <v>KEEP</v>
      </c>
    </row>
    <row r="67" spans="1:22" x14ac:dyDescent="0.25">
      <c r="A67" s="52">
        <v>42559.368831018517</v>
      </c>
      <c r="B67" s="69" t="s">
        <v>127</v>
      </c>
      <c r="C67" s="43" t="s">
        <v>372</v>
      </c>
      <c r="D67" s="43" t="s">
        <v>50</v>
      </c>
      <c r="E67" s="69" t="s">
        <v>56</v>
      </c>
      <c r="F67" s="71">
        <v>0</v>
      </c>
      <c r="G67" s="71">
        <v>309</v>
      </c>
      <c r="H67" s="71">
        <v>7657</v>
      </c>
      <c r="I67" s="69" t="s">
        <v>57</v>
      </c>
      <c r="J67" s="71">
        <v>6799</v>
      </c>
      <c r="K67" s="43" t="s">
        <v>54</v>
      </c>
      <c r="L67" s="10" t="str">
        <f>VLOOKUP(C67,'Trips&amp;Operators'!$C$1:$E$9999,3,0)</f>
        <v>NELSON</v>
      </c>
      <c r="M67" s="9" t="s">
        <v>652</v>
      </c>
      <c r="N67" s="10"/>
      <c r="O67" s="75"/>
      <c r="P67" s="78" t="str">
        <f>VLOOKUP(C67,'Train Runs'!$A$13:$AE$922,31,0)</f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Q67" s="76">
        <f>VLOOKUP(C67,'Train Runs'!$A$13:$AE$922,22,0)</f>
        <v>0</v>
      </c>
      <c r="R67" s="77" t="str">
        <f>VLOOKUP(C67,'Train Runs'!$A$13:$AF$922,32,0)</f>
        <v>"C:\Program Files (x86)\AstroGrep\AstroGrep.exe" /spath="C:\Users\stu\Documents\Analysis\2016-02-23 RTDC Observations" /stypes="*4037*20160708*" /stext=" 14:.+((prompt.+disp)|(slice.+state.+chan)|(ment ac)|(system.+state.+chan)|(\|lc)|(penalty)|(\[timeout))" /e /r /s</v>
      </c>
      <c r="S67" s="9" t="str">
        <f t="shared" si="4"/>
        <v>4037</v>
      </c>
      <c r="T67" s="52">
        <f t="shared" si="5"/>
        <v>42559.618831018517</v>
      </c>
      <c r="U67" s="75" t="str">
        <f t="shared" si="6"/>
        <v>NWGL</v>
      </c>
      <c r="V67" s="75" t="str">
        <f t="shared" si="3"/>
        <v>KEEP</v>
      </c>
    </row>
    <row r="68" spans="1:22" x14ac:dyDescent="0.25">
      <c r="A68" s="52">
        <v>42559.210810185185</v>
      </c>
      <c r="B68" s="69" t="s">
        <v>77</v>
      </c>
      <c r="C68" s="43" t="s">
        <v>339</v>
      </c>
      <c r="D68" s="43" t="s">
        <v>50</v>
      </c>
      <c r="E68" s="43" t="s">
        <v>106</v>
      </c>
      <c r="F68" s="71">
        <v>0</v>
      </c>
      <c r="G68" s="71">
        <v>287</v>
      </c>
      <c r="H68" s="71">
        <v>41090</v>
      </c>
      <c r="I68" s="43" t="s">
        <v>107</v>
      </c>
      <c r="J68" s="71">
        <v>41168</v>
      </c>
      <c r="K68" s="43" t="s">
        <v>53</v>
      </c>
      <c r="L68" s="10" t="str">
        <f>VLOOKUP(C68,'Trips&amp;Operators'!$C$1:$E$9999,3,0)</f>
        <v>BEAM</v>
      </c>
      <c r="M68" s="9" t="s">
        <v>652</v>
      </c>
      <c r="N68" s="10"/>
      <c r="O68" s="43"/>
      <c r="P68" s="78" t="str">
        <f>VLOOKUP(C68,'Train Runs'!$A$13:$AE$922,31,0)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68" s="76">
        <f>VLOOKUP(C68,'Train Runs'!$A$13:$AE$922,22,0)</f>
        <v>0</v>
      </c>
      <c r="R68" s="77" t="str">
        <f>VLOOKUP(C68,'Train Runs'!$A$13:$AF$922,32,0)</f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S68" s="9" t="str">
        <f t="shared" si="4"/>
        <v>4031</v>
      </c>
      <c r="T68" s="52">
        <f t="shared" si="5"/>
        <v>42559.460810185185</v>
      </c>
      <c r="U68" s="75" t="str">
        <f t="shared" si="6"/>
        <v>NWGL</v>
      </c>
      <c r="V68" s="75" t="str">
        <f t="shared" si="3"/>
        <v>KEEP</v>
      </c>
    </row>
    <row r="69" spans="1:22" hidden="1" x14ac:dyDescent="0.25">
      <c r="A69" s="52">
        <v>42559.226620370369</v>
      </c>
      <c r="B69" s="69" t="s">
        <v>68</v>
      </c>
      <c r="C69" s="43" t="s">
        <v>341</v>
      </c>
      <c r="D69" s="43" t="s">
        <v>50</v>
      </c>
      <c r="E69" s="43" t="s">
        <v>51</v>
      </c>
      <c r="F69" s="71">
        <v>0</v>
      </c>
      <c r="G69" s="71">
        <v>8</v>
      </c>
      <c r="H69" s="71">
        <v>691</v>
      </c>
      <c r="I69" s="43" t="s">
        <v>52</v>
      </c>
      <c r="J69" s="71">
        <v>575</v>
      </c>
      <c r="K69" s="43" t="s">
        <v>54</v>
      </c>
      <c r="L69" s="10" t="str">
        <f>VLOOKUP(C69,'Trips&amp;Operators'!$C$1:$E$9999,3,0)</f>
        <v>BEAM</v>
      </c>
      <c r="M69" s="9" t="s">
        <v>652</v>
      </c>
      <c r="N69" s="10"/>
      <c r="O69" s="43"/>
      <c r="P69" s="78" t="str">
        <f>VLOOKUP(C69,'Train Runs'!$A$13:$AE$922,31,0)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69" s="76">
        <f>VLOOKUP(C69,'Train Runs'!$A$13:$AE$922,22,0)</f>
        <v>0</v>
      </c>
      <c r="R69" s="77" t="str">
        <f>VLOOKUP(C69,'Train Runs'!$A$13:$AF$922,32,0)</f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S69" s="9" t="str">
        <f t="shared" si="4"/>
        <v>4032</v>
      </c>
      <c r="T69" s="52">
        <f t="shared" si="5"/>
        <v>42559.476620370369</v>
      </c>
      <c r="U69" s="75" t="str">
        <f t="shared" si="6"/>
        <v>NWGL</v>
      </c>
      <c r="V69" s="75" t="str">
        <f t="shared" si="3"/>
        <v>OMIT</v>
      </c>
    </row>
    <row r="70" spans="1:22" x14ac:dyDescent="0.25">
      <c r="A70" s="52">
        <v>42559.335520833331</v>
      </c>
      <c r="B70" s="69" t="s">
        <v>77</v>
      </c>
      <c r="C70" s="43" t="s">
        <v>367</v>
      </c>
      <c r="D70" s="43" t="s">
        <v>50</v>
      </c>
      <c r="E70" s="69" t="s">
        <v>51</v>
      </c>
      <c r="F70" s="71">
        <v>0</v>
      </c>
      <c r="G70" s="71">
        <v>42</v>
      </c>
      <c r="H70" s="71">
        <v>58943</v>
      </c>
      <c r="I70" s="69" t="s">
        <v>52</v>
      </c>
      <c r="J70" s="71">
        <v>59048</v>
      </c>
      <c r="K70" s="43" t="s">
        <v>53</v>
      </c>
      <c r="L70" s="10" t="str">
        <f>VLOOKUP(C70,'Trips&amp;Operators'!$C$1:$E$9999,3,0)</f>
        <v>BEAM</v>
      </c>
      <c r="M70" s="9" t="s">
        <v>652</v>
      </c>
      <c r="N70" s="10"/>
      <c r="O70" s="43"/>
      <c r="P70" s="78" t="str">
        <f>VLOOKUP(C70,'Train Runs'!$A$13:$AE$922,31,0)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70" s="76">
        <f>VLOOKUP(C70,'Train Runs'!$A$13:$AE$922,22,0)</f>
        <v>0</v>
      </c>
      <c r="R70" s="77" t="str">
        <f>VLOOKUP(C70,'Train Runs'!$A$13:$AF$922,32,0)</f>
        <v>"C:\Program Files (x86)\AstroGrep\AstroGrep.exe" /spath="C:\Users\stu\Documents\Analysis\2016-02-23 RTDC Observations" /stypes="*4031*20160708*" /stext=" 13:.+((prompt.+disp)|(slice.+state.+chan)|(ment ac)|(system.+state.+chan)|(\|lc)|(penalty)|(\[timeout))" /e /r /s</v>
      </c>
      <c r="S70" s="9" t="str">
        <f t="shared" si="4"/>
        <v>4031</v>
      </c>
      <c r="T70" s="52">
        <f t="shared" si="5"/>
        <v>42559.585520833331</v>
      </c>
      <c r="U70" s="75" t="str">
        <f t="shared" si="6"/>
        <v>NWGL</v>
      </c>
      <c r="V70" s="75" t="str">
        <f t="shared" si="3"/>
        <v>KEEP</v>
      </c>
    </row>
  </sheetData>
  <autoFilter ref="A6:V70">
    <filterColumn colId="21">
      <filters>
        <filter val="KEEP"/>
      </filters>
    </filterColumn>
  </autoFilter>
  <sortState ref="A7:U70">
    <sortCondition ref="U7:U70"/>
    <sortCondition ref="E7:E70"/>
    <sortCondition ref="J7:J70"/>
    <sortCondition ref="C7:C70"/>
    <sortCondition ref="F7:F70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7 A8:K33 L8:N70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sqref="A1:E1"/>
    </sheetView>
  </sheetViews>
  <sheetFormatPr defaultRowHeight="15" x14ac:dyDescent="0.25"/>
  <cols>
    <col min="1" max="1" width="9.140625" customWidth="1"/>
    <col min="2" max="2" width="8" style="37" bestFit="1" customWidth="1"/>
    <col min="3" max="3" width="7.85546875" style="39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7" customFormat="1" x14ac:dyDescent="0.25">
      <c r="A1" s="130" t="str">
        <f>"Trips that did not appear in PTC Data "&amp;TEXT(Variables!$A$2,"YYYY-mm-dd")</f>
        <v>Trips that did not appear in PTC Data 2016-07-08</v>
      </c>
      <c r="B1" s="130"/>
      <c r="C1" s="130"/>
      <c r="D1" s="130"/>
      <c r="E1" s="130"/>
    </row>
    <row r="2" spans="1:10" s="31" customFormat="1" ht="45" x14ac:dyDescent="0.25">
      <c r="A2" s="30" t="s">
        <v>80</v>
      </c>
      <c r="B2" s="40" t="s">
        <v>81</v>
      </c>
      <c r="C2" s="38" t="s">
        <v>82</v>
      </c>
      <c r="D2" s="31" t="s">
        <v>78</v>
      </c>
      <c r="E2" s="31" t="s">
        <v>79</v>
      </c>
      <c r="F2" s="31" t="s">
        <v>85</v>
      </c>
      <c r="G2" s="41" t="s">
        <v>86</v>
      </c>
    </row>
    <row r="3" spans="1:10" x14ac:dyDescent="0.25">
      <c r="A3" s="43" t="s">
        <v>647</v>
      </c>
      <c r="B3" s="43"/>
      <c r="C3" s="43"/>
      <c r="D3" s="43" t="s">
        <v>648</v>
      </c>
      <c r="E3" s="28" t="e">
        <f>VLOOKUP(A3,'Trips&amp;Operators'!$C$2:$E$10000,3,FALSE)</f>
        <v>#N/A</v>
      </c>
      <c r="F3" s="28" t="e">
        <f>VLOOKUP(A3,'Trips&amp;Operators'!$C$1:$F$10000,4,FALSE)</f>
        <v>#N/A</v>
      </c>
      <c r="G3" s="42" t="e">
        <f>VLOOKUP(A3,'Trips&amp;Operators'!$C$1:$H$10000,5,FALSE)</f>
        <v>#N/A</v>
      </c>
      <c r="H3" s="27"/>
      <c r="I3" s="27"/>
      <c r="J3" s="27"/>
    </row>
    <row r="4" spans="1:10" x14ac:dyDescent="0.25">
      <c r="A4" s="43"/>
      <c r="B4" s="43"/>
      <c r="C4" s="43"/>
      <c r="D4" s="43"/>
      <c r="E4" s="28" t="e">
        <f>VLOOKUP(A4,'Trips&amp;Operators'!$C$2:$E$10000,3,FALSE)</f>
        <v>#N/A</v>
      </c>
      <c r="F4" s="28" t="e">
        <f>VLOOKUP(A4,'Trips&amp;Operators'!$C$1:$F$10000,4,FALSE)</f>
        <v>#N/A</v>
      </c>
      <c r="G4" s="42" t="e">
        <f>VLOOKUP(A4,'Trips&amp;Operators'!$C$1:$H$10000,5,FALSE)</f>
        <v>#N/A</v>
      </c>
      <c r="H4" s="27"/>
      <c r="I4" s="27"/>
      <c r="J4" s="27"/>
    </row>
    <row r="5" spans="1:10" x14ac:dyDescent="0.25">
      <c r="A5" s="43"/>
      <c r="B5" s="43"/>
      <c r="C5" s="43"/>
      <c r="D5" s="43"/>
      <c r="E5" s="28" t="e">
        <f>VLOOKUP(A5,'Trips&amp;Operators'!$C$2:$E$10000,3,FALSE)</f>
        <v>#N/A</v>
      </c>
      <c r="F5" s="28" t="e">
        <f>VLOOKUP(A5,'Trips&amp;Operators'!$C$1:$F$10000,4,FALSE)</f>
        <v>#N/A</v>
      </c>
      <c r="G5" s="42" t="e">
        <f>VLOOKUP(A5,'Trips&amp;Operators'!$C$1:$H$10000,5,FALSE)</f>
        <v>#N/A</v>
      </c>
      <c r="H5" s="27"/>
      <c r="I5" s="27"/>
      <c r="J5" s="27"/>
    </row>
    <row r="6" spans="1:10" x14ac:dyDescent="0.25">
      <c r="A6" s="43"/>
      <c r="B6" s="43"/>
      <c r="C6" s="43"/>
      <c r="D6" s="43"/>
      <c r="E6" s="28" t="e">
        <f>VLOOKUP(A6,'Trips&amp;Operators'!$C$2:$E$10000,3,FALSE)</f>
        <v>#N/A</v>
      </c>
      <c r="F6" s="28" t="e">
        <f>VLOOKUP(A6,'Trips&amp;Operators'!$C$1:$F$10000,4,FALSE)</f>
        <v>#N/A</v>
      </c>
      <c r="G6" s="42" t="e">
        <f>VLOOKUP(A6,'Trips&amp;Operators'!$C$1:$H$10000,5,FALSE)</f>
        <v>#N/A</v>
      </c>
      <c r="H6" s="27"/>
      <c r="I6" s="27"/>
      <c r="J6" s="27"/>
    </row>
    <row r="7" spans="1:10" x14ac:dyDescent="0.25">
      <c r="A7" s="41"/>
      <c r="B7"/>
      <c r="C7"/>
      <c r="H7" s="27"/>
      <c r="I7" s="27"/>
      <c r="J7" s="27"/>
    </row>
    <row r="8" spans="1:10" x14ac:dyDescent="0.25">
      <c r="A8" s="41"/>
      <c r="B8"/>
      <c r="C8"/>
      <c r="H8" s="27"/>
      <c r="I8" s="27"/>
      <c r="J8" s="27"/>
    </row>
    <row r="9" spans="1:10" x14ac:dyDescent="0.25">
      <c r="A9" s="41"/>
      <c r="B9"/>
      <c r="C9"/>
      <c r="H9" s="27"/>
      <c r="I9" s="27"/>
      <c r="J9" s="27"/>
    </row>
    <row r="10" spans="1:10" x14ac:dyDescent="0.25">
      <c r="A10" s="41"/>
      <c r="B10"/>
      <c r="C10"/>
      <c r="H10" s="27"/>
      <c r="I10" s="27"/>
      <c r="J10" s="27"/>
    </row>
    <row r="11" spans="1:10" x14ac:dyDescent="0.25">
      <c r="B11"/>
      <c r="C11"/>
      <c r="H11" s="27"/>
      <c r="I11" s="27"/>
      <c r="J11" s="27"/>
    </row>
    <row r="12" spans="1:10" x14ac:dyDescent="0.25">
      <c r="B12"/>
      <c r="C12"/>
      <c r="H12" s="27"/>
      <c r="I12" s="27"/>
      <c r="J12" s="27"/>
    </row>
    <row r="13" spans="1:10" x14ac:dyDescent="0.25">
      <c r="B13"/>
      <c r="C13"/>
      <c r="H13" s="27"/>
      <c r="I13" s="27"/>
      <c r="J13" s="27"/>
    </row>
    <row r="14" spans="1:10" x14ac:dyDescent="0.25">
      <c r="B14"/>
      <c r="C14"/>
      <c r="H14" s="27"/>
      <c r="I14" s="27"/>
      <c r="J14" s="27"/>
    </row>
    <row r="15" spans="1:10" x14ac:dyDescent="0.25">
      <c r="B15"/>
      <c r="C15"/>
      <c r="H15" s="27"/>
      <c r="I15" s="27"/>
      <c r="J15" s="27"/>
    </row>
    <row r="16" spans="1:10" x14ac:dyDescent="0.25">
      <c r="B16"/>
      <c r="C16"/>
      <c r="H16" s="27"/>
      <c r="I16" s="27"/>
      <c r="J16" s="27"/>
    </row>
    <row r="17" spans="2:10" x14ac:dyDescent="0.25">
      <c r="B17"/>
      <c r="C17"/>
      <c r="H17" s="27"/>
      <c r="I17" s="27"/>
      <c r="J17" s="27"/>
    </row>
    <row r="18" spans="2:10" x14ac:dyDescent="0.25">
      <c r="B18"/>
      <c r="C18"/>
      <c r="H18" s="27"/>
      <c r="I18" s="27"/>
      <c r="J18" s="27"/>
    </row>
    <row r="19" spans="2:10" x14ac:dyDescent="0.25">
      <c r="B19"/>
      <c r="C19"/>
      <c r="H19" s="27"/>
      <c r="I19" s="27"/>
      <c r="J19" s="27"/>
    </row>
    <row r="20" spans="2:10" x14ac:dyDescent="0.25">
      <c r="B20"/>
      <c r="C20"/>
      <c r="H20" s="27"/>
      <c r="I20" s="27"/>
      <c r="J20" s="27"/>
    </row>
    <row r="21" spans="2:10" x14ac:dyDescent="0.25">
      <c r="B21"/>
      <c r="C21"/>
      <c r="H21" s="27"/>
      <c r="I21" s="27"/>
      <c r="J21" s="27"/>
    </row>
    <row r="22" spans="2:10" x14ac:dyDescent="0.25">
      <c r="B22"/>
      <c r="C22"/>
      <c r="H22" s="27"/>
      <c r="I22" s="27"/>
      <c r="J22" s="27"/>
    </row>
    <row r="23" spans="2:10" x14ac:dyDescent="0.25">
      <c r="B23"/>
      <c r="C23"/>
      <c r="H23" s="27"/>
      <c r="I23" s="27"/>
      <c r="J23" s="27"/>
    </row>
    <row r="24" spans="2:10" x14ac:dyDescent="0.25">
      <c r="B24"/>
      <c r="C24"/>
      <c r="H24" s="27"/>
      <c r="I24" s="27"/>
      <c r="J24" s="27"/>
    </row>
    <row r="25" spans="2:10" x14ac:dyDescent="0.25">
      <c r="B25"/>
      <c r="C25"/>
      <c r="H25" s="27"/>
      <c r="I25" s="27"/>
      <c r="J25" s="27"/>
    </row>
    <row r="26" spans="2:10" x14ac:dyDescent="0.25">
      <c r="B26"/>
      <c r="C26"/>
      <c r="H26" s="27"/>
      <c r="I26" s="27"/>
      <c r="J26" s="27"/>
    </row>
    <row r="27" spans="2:10" x14ac:dyDescent="0.25">
      <c r="B27"/>
      <c r="C27"/>
      <c r="H27" s="27"/>
      <c r="I27" s="27"/>
      <c r="J27" s="27"/>
    </row>
    <row r="28" spans="2:10" x14ac:dyDescent="0.25">
      <c r="B28"/>
      <c r="C28"/>
      <c r="H28" s="27"/>
      <c r="I28" s="27"/>
      <c r="J28" s="27"/>
    </row>
    <row r="29" spans="2:10" x14ac:dyDescent="0.25">
      <c r="B29"/>
      <c r="C29"/>
      <c r="H29" s="27"/>
      <c r="I29" s="27"/>
      <c r="J29" s="27"/>
    </row>
    <row r="30" spans="2:10" x14ac:dyDescent="0.25">
      <c r="B30"/>
      <c r="C30"/>
      <c r="H30" s="27"/>
      <c r="I30" s="27"/>
      <c r="J30" s="27"/>
    </row>
    <row r="31" spans="2:10" x14ac:dyDescent="0.25">
      <c r="B31"/>
      <c r="C31"/>
      <c r="H31" s="27"/>
      <c r="I31" s="27"/>
      <c r="J31" s="27"/>
    </row>
    <row r="32" spans="2:10" x14ac:dyDescent="0.25">
      <c r="B32"/>
      <c r="C32"/>
      <c r="H32" s="27"/>
      <c r="I32" s="27"/>
      <c r="J32" s="27"/>
    </row>
    <row r="33" spans="2:10" x14ac:dyDescent="0.25">
      <c r="B33"/>
      <c r="C33"/>
      <c r="H33" s="27"/>
      <c r="I33" s="27"/>
      <c r="J33" s="27"/>
    </row>
    <row r="34" spans="2:10" x14ac:dyDescent="0.25">
      <c r="B34"/>
      <c r="C34"/>
      <c r="H34" s="27"/>
      <c r="I34" s="27"/>
      <c r="J34" s="27"/>
    </row>
    <row r="35" spans="2:10" x14ac:dyDescent="0.25">
      <c r="B35"/>
      <c r="C35"/>
      <c r="H35" s="27"/>
      <c r="I35" s="27"/>
      <c r="J35" s="27"/>
    </row>
    <row r="36" spans="2:10" x14ac:dyDescent="0.25">
      <c r="B36"/>
      <c r="C36"/>
      <c r="H36" s="27"/>
      <c r="I36" s="27"/>
      <c r="J36" s="27"/>
    </row>
    <row r="37" spans="2:10" x14ac:dyDescent="0.25">
      <c r="B37"/>
      <c r="C37"/>
      <c r="H37" s="27"/>
      <c r="I37" s="27"/>
      <c r="J37" s="27"/>
    </row>
    <row r="38" spans="2:10" x14ac:dyDescent="0.25">
      <c r="B38"/>
      <c r="C38"/>
      <c r="H38" s="27"/>
      <c r="I38" s="27"/>
      <c r="J38" s="27"/>
    </row>
    <row r="39" spans="2:10" x14ac:dyDescent="0.25">
      <c r="B39"/>
      <c r="C39"/>
      <c r="H39" s="27"/>
      <c r="I39" s="27"/>
      <c r="J39" s="27"/>
    </row>
    <row r="40" spans="2:10" x14ac:dyDescent="0.25">
      <c r="B40"/>
      <c r="C40"/>
      <c r="H40" s="27"/>
      <c r="I40" s="27"/>
      <c r="J40" s="27"/>
    </row>
    <row r="41" spans="2:10" x14ac:dyDescent="0.25">
      <c r="B41"/>
      <c r="C41"/>
      <c r="H41" s="27"/>
      <c r="I41" s="27"/>
      <c r="J41" s="27"/>
    </row>
    <row r="42" spans="2:10" x14ac:dyDescent="0.25">
      <c r="B42"/>
      <c r="C42"/>
      <c r="H42" s="27"/>
      <c r="I42" s="27"/>
      <c r="J42" s="27"/>
    </row>
    <row r="43" spans="2:10" x14ac:dyDescent="0.25">
      <c r="B43"/>
      <c r="C43"/>
      <c r="H43" s="27"/>
      <c r="I43" s="27"/>
      <c r="J43" s="27"/>
    </row>
    <row r="44" spans="2:10" x14ac:dyDescent="0.25">
      <c r="B44"/>
      <c r="C44"/>
      <c r="H44" s="27"/>
      <c r="I44" s="27"/>
      <c r="J44" s="27"/>
    </row>
    <row r="45" spans="2:10" x14ac:dyDescent="0.25">
      <c r="B45"/>
      <c r="C45"/>
      <c r="H45" s="27"/>
      <c r="I45" s="27"/>
      <c r="J45" s="27"/>
    </row>
    <row r="46" spans="2:10" x14ac:dyDescent="0.25">
      <c r="B46"/>
      <c r="C46"/>
      <c r="H46" s="27"/>
      <c r="I46" s="27"/>
      <c r="J46" s="27"/>
    </row>
    <row r="47" spans="2:10" x14ac:dyDescent="0.25">
      <c r="B47"/>
      <c r="C47"/>
      <c r="H47" s="27"/>
      <c r="I47" s="27"/>
      <c r="J47" s="27"/>
    </row>
    <row r="48" spans="2:10" x14ac:dyDescent="0.25">
      <c r="B48"/>
      <c r="C48"/>
      <c r="H48" s="27"/>
      <c r="I48" s="27"/>
      <c r="J48" s="27"/>
    </row>
    <row r="49" spans="2:10" x14ac:dyDescent="0.25">
      <c r="B49"/>
      <c r="C49"/>
      <c r="H49" s="27"/>
      <c r="I49" s="27"/>
      <c r="J49" s="27"/>
    </row>
    <row r="50" spans="2:10" x14ac:dyDescent="0.25">
      <c r="B50"/>
      <c r="C50"/>
      <c r="H50" s="27"/>
      <c r="I50" s="27"/>
      <c r="J50" s="27"/>
    </row>
    <row r="51" spans="2:10" x14ac:dyDescent="0.25">
      <c r="B51"/>
      <c r="C51"/>
      <c r="H51" s="27"/>
      <c r="I51" s="27"/>
      <c r="J51" s="27"/>
    </row>
    <row r="52" spans="2:10" x14ac:dyDescent="0.25">
      <c r="B52"/>
      <c r="C52"/>
      <c r="H52" s="27"/>
      <c r="I52" s="27"/>
      <c r="J52" s="27"/>
    </row>
    <row r="53" spans="2:10" x14ac:dyDescent="0.25">
      <c r="B53"/>
      <c r="C53"/>
      <c r="H53" s="27"/>
      <c r="I53" s="27"/>
      <c r="J53" s="27"/>
    </row>
    <row r="54" spans="2:10" x14ac:dyDescent="0.25">
      <c r="B54"/>
      <c r="C54"/>
      <c r="H54" s="27"/>
      <c r="I54" s="27"/>
      <c r="J54" s="27"/>
    </row>
    <row r="55" spans="2:10" x14ac:dyDescent="0.25">
      <c r="B55"/>
      <c r="C55"/>
      <c r="H55" s="27"/>
      <c r="I55" s="27"/>
      <c r="J55" s="27"/>
    </row>
    <row r="56" spans="2:10" x14ac:dyDescent="0.25">
      <c r="B56"/>
      <c r="C56"/>
      <c r="H56" s="27"/>
      <c r="I56" s="27"/>
      <c r="J56" s="27"/>
    </row>
    <row r="57" spans="2:10" x14ac:dyDescent="0.25">
      <c r="B57"/>
      <c r="C57"/>
      <c r="H57" s="27"/>
      <c r="I57" s="27"/>
      <c r="J57" s="27"/>
    </row>
    <row r="58" spans="2:10" x14ac:dyDescent="0.25">
      <c r="B58"/>
      <c r="C58"/>
      <c r="H58" s="27"/>
      <c r="I58" s="27"/>
      <c r="J58" s="27"/>
    </row>
    <row r="59" spans="2:10" x14ac:dyDescent="0.25">
      <c r="B59"/>
      <c r="C59"/>
      <c r="H59" s="27"/>
      <c r="I59" s="27"/>
      <c r="J59" s="27"/>
    </row>
    <row r="60" spans="2:10" x14ac:dyDescent="0.25">
      <c r="B60"/>
      <c r="C60"/>
      <c r="H60" s="27"/>
      <c r="I60" s="27"/>
      <c r="J60" s="27"/>
    </row>
    <row r="61" spans="2:10" x14ac:dyDescent="0.25">
      <c r="B61"/>
      <c r="C61"/>
      <c r="H61" s="27"/>
      <c r="I61" s="27"/>
      <c r="J61" s="27"/>
    </row>
    <row r="62" spans="2:10" x14ac:dyDescent="0.25">
      <c r="B62"/>
      <c r="C62"/>
      <c r="H62" s="27"/>
      <c r="I62" s="27"/>
      <c r="J62" s="27"/>
    </row>
    <row r="63" spans="2:10" x14ac:dyDescent="0.25">
      <c r="B63"/>
      <c r="C63"/>
      <c r="H63" s="27"/>
      <c r="I63" s="27"/>
      <c r="J63" s="27"/>
    </row>
    <row r="64" spans="2:10" x14ac:dyDescent="0.25">
      <c r="B64"/>
      <c r="C64"/>
      <c r="H64" s="27"/>
      <c r="I64" s="27"/>
      <c r="J64" s="27"/>
    </row>
    <row r="65" spans="2:10" x14ac:dyDescent="0.25">
      <c r="B65"/>
      <c r="C65"/>
      <c r="H65" s="27"/>
      <c r="I65" s="27"/>
      <c r="J65" s="27"/>
    </row>
    <row r="66" spans="2:10" x14ac:dyDescent="0.25">
      <c r="B66"/>
      <c r="C66"/>
      <c r="H66" s="27"/>
      <c r="I66" s="27"/>
      <c r="J66" s="27"/>
    </row>
    <row r="67" spans="2:10" x14ac:dyDescent="0.25">
      <c r="B67"/>
      <c r="C67"/>
      <c r="H67" s="27"/>
      <c r="I67" s="27"/>
      <c r="J67" s="27"/>
    </row>
    <row r="68" spans="2:10" x14ac:dyDescent="0.25">
      <c r="B68"/>
      <c r="C68"/>
      <c r="H68" s="27"/>
      <c r="I68" s="27"/>
      <c r="J68" s="27"/>
    </row>
    <row r="69" spans="2:10" x14ac:dyDescent="0.25">
      <c r="B69"/>
      <c r="C69"/>
      <c r="H69" s="27"/>
      <c r="I69" s="27"/>
      <c r="J69" s="27"/>
    </row>
    <row r="70" spans="2:10" x14ac:dyDescent="0.25">
      <c r="B70"/>
      <c r="C70"/>
      <c r="H70" s="27"/>
      <c r="I70" s="27"/>
      <c r="J70" s="27"/>
    </row>
    <row r="71" spans="2:10" x14ac:dyDescent="0.25">
      <c r="B71"/>
      <c r="C71"/>
      <c r="H71" s="27"/>
      <c r="I71" s="27"/>
      <c r="J71" s="27"/>
    </row>
    <row r="72" spans="2:10" x14ac:dyDescent="0.25">
      <c r="B72"/>
      <c r="C72"/>
      <c r="H72" s="27"/>
      <c r="I72" s="27"/>
      <c r="J72" s="27"/>
    </row>
    <row r="73" spans="2:10" x14ac:dyDescent="0.25">
      <c r="B73"/>
      <c r="C73"/>
      <c r="H73" s="27"/>
      <c r="I73" s="27"/>
      <c r="J73" s="27"/>
    </row>
    <row r="74" spans="2:10" x14ac:dyDescent="0.25">
      <c r="B74"/>
      <c r="C74"/>
      <c r="H74" s="27"/>
      <c r="I74" s="27"/>
      <c r="J74" s="27"/>
    </row>
    <row r="75" spans="2:10" x14ac:dyDescent="0.25">
      <c r="B75"/>
      <c r="C75"/>
      <c r="H75" s="27"/>
      <c r="I75" s="27"/>
      <c r="J75" s="27"/>
    </row>
    <row r="76" spans="2:10" x14ac:dyDescent="0.25">
      <c r="B76"/>
      <c r="C76"/>
      <c r="H76" s="27"/>
      <c r="I76" s="27"/>
      <c r="J76" s="27"/>
    </row>
    <row r="77" spans="2:10" x14ac:dyDescent="0.25">
      <c r="B77"/>
      <c r="C77"/>
      <c r="H77" s="27"/>
      <c r="I77" s="27"/>
      <c r="J77" s="27"/>
    </row>
    <row r="78" spans="2:10" x14ac:dyDescent="0.25">
      <c r="B78"/>
      <c r="C78"/>
      <c r="H78" s="27"/>
      <c r="I78" s="27"/>
      <c r="J78" s="27"/>
    </row>
    <row r="79" spans="2:10" x14ac:dyDescent="0.25">
      <c r="B79"/>
      <c r="C79"/>
      <c r="H79" s="27"/>
      <c r="I79" s="27"/>
      <c r="J79" s="27"/>
    </row>
    <row r="80" spans="2:10" x14ac:dyDescent="0.25">
      <c r="B80"/>
      <c r="C80"/>
      <c r="H80" s="27"/>
      <c r="I80" s="27"/>
      <c r="J80" s="27"/>
    </row>
    <row r="81" spans="2:10" x14ac:dyDescent="0.25">
      <c r="B81"/>
      <c r="C81"/>
      <c r="H81" s="27"/>
      <c r="I81" s="27"/>
      <c r="J81" s="27"/>
    </row>
    <row r="82" spans="2:10" x14ac:dyDescent="0.25">
      <c r="B82"/>
      <c r="C82"/>
      <c r="H82" s="27"/>
      <c r="I82" s="27"/>
      <c r="J82" s="27"/>
    </row>
    <row r="83" spans="2:10" x14ac:dyDescent="0.25">
      <c r="B83"/>
      <c r="C83"/>
      <c r="H83" s="27"/>
      <c r="I83" s="27"/>
      <c r="J83" s="27"/>
    </row>
    <row r="84" spans="2:10" x14ac:dyDescent="0.25">
      <c r="B84"/>
      <c r="C84"/>
      <c r="H84" s="27"/>
      <c r="I84" s="27"/>
      <c r="J84" s="27"/>
    </row>
    <row r="85" spans="2:10" x14ac:dyDescent="0.25">
      <c r="B85"/>
      <c r="C85"/>
      <c r="H85" s="27"/>
      <c r="I85" s="27"/>
      <c r="J85" s="27"/>
    </row>
    <row r="86" spans="2:10" x14ac:dyDescent="0.25">
      <c r="B86"/>
      <c r="C86"/>
      <c r="H86" s="27"/>
      <c r="I86" s="27"/>
      <c r="J86" s="27"/>
    </row>
    <row r="87" spans="2:10" x14ac:dyDescent="0.25">
      <c r="B87"/>
      <c r="C87"/>
      <c r="H87" s="27"/>
      <c r="I87" s="27"/>
      <c r="J87" s="27"/>
    </row>
    <row r="88" spans="2:10" x14ac:dyDescent="0.25">
      <c r="B88"/>
      <c r="C88"/>
      <c r="H88" s="27"/>
      <c r="I88" s="27"/>
      <c r="J88" s="27"/>
    </row>
    <row r="89" spans="2:10" x14ac:dyDescent="0.25">
      <c r="B89"/>
      <c r="C89"/>
      <c r="H89" s="27"/>
      <c r="I89" s="27"/>
      <c r="J89" s="27"/>
    </row>
    <row r="90" spans="2:10" x14ac:dyDescent="0.25">
      <c r="B90"/>
      <c r="C90"/>
      <c r="H90" s="27"/>
      <c r="I90" s="27"/>
      <c r="J90" s="27"/>
    </row>
    <row r="91" spans="2:10" x14ac:dyDescent="0.25">
      <c r="B91"/>
      <c r="C91"/>
      <c r="H91" s="27"/>
      <c r="I91" s="27"/>
      <c r="J91" s="27"/>
    </row>
    <row r="92" spans="2:10" x14ac:dyDescent="0.25">
      <c r="B92"/>
      <c r="C92"/>
      <c r="H92" s="27"/>
      <c r="I92" s="27"/>
      <c r="J92" s="27"/>
    </row>
    <row r="93" spans="2:10" x14ac:dyDescent="0.25">
      <c r="B93"/>
      <c r="C93"/>
      <c r="H93" s="27"/>
      <c r="I93" s="27"/>
      <c r="J93" s="27"/>
    </row>
    <row r="94" spans="2:10" x14ac:dyDescent="0.25">
      <c r="B94"/>
      <c r="C94"/>
      <c r="H94" s="27"/>
      <c r="I94" s="27"/>
      <c r="J94" s="27"/>
    </row>
    <row r="95" spans="2:10" x14ac:dyDescent="0.25">
      <c r="B95"/>
      <c r="C95"/>
      <c r="H95" s="27"/>
      <c r="I95" s="27"/>
      <c r="J95" s="27"/>
    </row>
    <row r="96" spans="2:10" x14ac:dyDescent="0.25">
      <c r="B96"/>
      <c r="C96"/>
      <c r="H96" s="27"/>
      <c r="I96" s="27"/>
      <c r="J96" s="27"/>
    </row>
    <row r="97" spans="2:10" x14ac:dyDescent="0.25">
      <c r="B97"/>
      <c r="C97"/>
      <c r="H97" s="27"/>
      <c r="I97" s="27"/>
      <c r="J97" s="27"/>
    </row>
    <row r="98" spans="2:10" x14ac:dyDescent="0.25">
      <c r="B98"/>
      <c r="C98"/>
      <c r="H98" s="27"/>
      <c r="I98" s="27"/>
      <c r="J98" s="27"/>
    </row>
    <row r="99" spans="2:10" x14ac:dyDescent="0.25">
      <c r="B99"/>
      <c r="C99"/>
      <c r="H99" s="27"/>
      <c r="I99" s="27"/>
      <c r="J99" s="27"/>
    </row>
    <row r="100" spans="2:10" x14ac:dyDescent="0.25">
      <c r="B100"/>
      <c r="C100"/>
      <c r="H100" s="27"/>
      <c r="I100" s="27"/>
      <c r="J100" s="27"/>
    </row>
    <row r="101" spans="2:10" x14ac:dyDescent="0.25">
      <c r="B101"/>
      <c r="C101"/>
      <c r="H101" s="27"/>
      <c r="I101" s="27"/>
      <c r="J101" s="27"/>
    </row>
    <row r="102" spans="2:10" x14ac:dyDescent="0.25">
      <c r="B102"/>
      <c r="C102"/>
      <c r="H102" s="27"/>
      <c r="I102" s="27"/>
      <c r="J102" s="27"/>
    </row>
    <row r="103" spans="2:10" x14ac:dyDescent="0.25">
      <c r="B103"/>
      <c r="C103"/>
      <c r="H103" s="27"/>
      <c r="I103" s="27"/>
      <c r="J103" s="27"/>
    </row>
    <row r="104" spans="2:10" x14ac:dyDescent="0.25">
      <c r="B104"/>
      <c r="C104"/>
      <c r="H104" s="27"/>
      <c r="I104" s="27"/>
      <c r="J104" s="27"/>
    </row>
    <row r="105" spans="2:10" x14ac:dyDescent="0.25">
      <c r="B105"/>
      <c r="C105"/>
      <c r="H105" s="27"/>
      <c r="I105" s="27"/>
      <c r="J105" s="27"/>
    </row>
    <row r="106" spans="2:10" x14ac:dyDescent="0.25">
      <c r="B106"/>
      <c r="C106"/>
      <c r="H106" s="27"/>
      <c r="I106" s="27"/>
      <c r="J106" s="27"/>
    </row>
    <row r="107" spans="2:10" x14ac:dyDescent="0.25">
      <c r="B107"/>
      <c r="C107"/>
      <c r="H107" s="27"/>
      <c r="I107" s="27"/>
      <c r="J107" s="27"/>
    </row>
    <row r="108" spans="2:10" x14ac:dyDescent="0.25">
      <c r="B108"/>
      <c r="C108"/>
      <c r="H108" s="27"/>
      <c r="I108" s="27"/>
      <c r="J108" s="27"/>
    </row>
    <row r="109" spans="2:10" x14ac:dyDescent="0.25">
      <c r="B109"/>
      <c r="C109"/>
      <c r="H109" s="27"/>
      <c r="I109" s="27"/>
      <c r="J109" s="27"/>
    </row>
    <row r="110" spans="2:10" x14ac:dyDescent="0.25">
      <c r="B110"/>
      <c r="C110"/>
      <c r="H110" s="27"/>
      <c r="I110" s="27"/>
      <c r="J110" s="27"/>
    </row>
    <row r="111" spans="2:10" x14ac:dyDescent="0.25">
      <c r="B111"/>
      <c r="C111"/>
      <c r="H111" s="27"/>
      <c r="I111" s="27"/>
      <c r="J111" s="27"/>
    </row>
    <row r="112" spans="2:10" x14ac:dyDescent="0.25">
      <c r="B112"/>
      <c r="C112"/>
      <c r="H112" s="27"/>
      <c r="I112" s="27"/>
      <c r="J112" s="27"/>
    </row>
    <row r="113" spans="2:10" x14ac:dyDescent="0.25">
      <c r="B113"/>
      <c r="C113"/>
      <c r="H113" s="27"/>
      <c r="I113" s="27"/>
      <c r="J113" s="27"/>
    </row>
    <row r="114" spans="2:10" x14ac:dyDescent="0.25">
      <c r="B114"/>
      <c r="C114"/>
      <c r="H114" s="27"/>
      <c r="I114" s="27"/>
      <c r="J114" s="27"/>
    </row>
    <row r="115" spans="2:10" x14ac:dyDescent="0.25">
      <c r="B115"/>
      <c r="C115"/>
      <c r="H115" s="27"/>
      <c r="I115" s="27"/>
      <c r="J115" s="27"/>
    </row>
    <row r="116" spans="2:10" x14ac:dyDescent="0.25">
      <c r="B116"/>
      <c r="C116"/>
      <c r="H116" s="27"/>
      <c r="I116" s="27"/>
      <c r="J116" s="27"/>
    </row>
    <row r="117" spans="2:10" x14ac:dyDescent="0.25">
      <c r="B117"/>
      <c r="C117"/>
      <c r="H117" s="27"/>
      <c r="I117" s="27"/>
      <c r="J117" s="27"/>
    </row>
    <row r="118" spans="2:10" x14ac:dyDescent="0.25">
      <c r="B118"/>
      <c r="C118"/>
      <c r="H118" s="27"/>
      <c r="I118" s="27"/>
      <c r="J118" s="27"/>
    </row>
    <row r="119" spans="2:10" x14ac:dyDescent="0.25">
      <c r="B119"/>
      <c r="C119"/>
      <c r="H119" s="27"/>
      <c r="I119" s="27"/>
      <c r="J119" s="27"/>
    </row>
    <row r="120" spans="2:10" x14ac:dyDescent="0.25">
      <c r="B120"/>
      <c r="C120"/>
      <c r="H120" s="27"/>
      <c r="I120" s="27"/>
      <c r="J120" s="27"/>
    </row>
    <row r="121" spans="2:10" x14ac:dyDescent="0.25">
      <c r="B121"/>
      <c r="C121"/>
      <c r="H121" s="27"/>
      <c r="I121" s="27"/>
      <c r="J121" s="27"/>
    </row>
    <row r="122" spans="2:10" x14ac:dyDescent="0.25">
      <c r="B122"/>
      <c r="C122"/>
      <c r="H122" s="27"/>
      <c r="I122" s="27"/>
      <c r="J122" s="27"/>
    </row>
    <row r="123" spans="2:10" x14ac:dyDescent="0.25">
      <c r="B123"/>
      <c r="C123"/>
      <c r="H123" s="27"/>
      <c r="I123" s="27"/>
      <c r="J123" s="27"/>
    </row>
    <row r="124" spans="2:10" x14ac:dyDescent="0.25">
      <c r="B124"/>
      <c r="C124"/>
      <c r="H124" s="27"/>
      <c r="I124" s="27"/>
      <c r="J124" s="27"/>
    </row>
    <row r="125" spans="2:10" x14ac:dyDescent="0.25">
      <c r="B125"/>
      <c r="C125"/>
      <c r="H125" s="27"/>
      <c r="I125" s="27"/>
      <c r="J125" s="27"/>
    </row>
    <row r="126" spans="2:10" x14ac:dyDescent="0.25">
      <c r="B126"/>
      <c r="C126"/>
      <c r="H126" s="27"/>
      <c r="I126" s="27"/>
      <c r="J126" s="27"/>
    </row>
    <row r="127" spans="2:10" x14ac:dyDescent="0.25">
      <c r="B127"/>
      <c r="C127"/>
      <c r="H127" s="27"/>
      <c r="I127" s="27"/>
      <c r="J127" s="27"/>
    </row>
    <row r="128" spans="2:10" x14ac:dyDescent="0.25">
      <c r="B128"/>
      <c r="C128"/>
      <c r="H128" s="27"/>
      <c r="I128" s="27"/>
      <c r="J128" s="27"/>
    </row>
    <row r="129" spans="2:10" x14ac:dyDescent="0.25">
      <c r="B129"/>
      <c r="C129"/>
      <c r="H129" s="27"/>
      <c r="I129" s="27"/>
      <c r="J129" s="27"/>
    </row>
    <row r="130" spans="2:10" x14ac:dyDescent="0.25">
      <c r="B130"/>
      <c r="C130"/>
      <c r="H130" s="27"/>
      <c r="I130" s="27"/>
      <c r="J130" s="27"/>
    </row>
    <row r="131" spans="2:10" x14ac:dyDescent="0.25">
      <c r="B131"/>
      <c r="C131"/>
      <c r="H131" s="27"/>
      <c r="I131" s="27"/>
      <c r="J131" s="27"/>
    </row>
    <row r="132" spans="2:10" x14ac:dyDescent="0.25">
      <c r="H132" s="27"/>
      <c r="I132" s="27"/>
      <c r="J132" s="27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184" workbookViewId="0">
      <selection sqref="A1:E204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7" bestFit="1" customWidth="1"/>
    <col min="7" max="7" width="18.28515625" style="8" bestFit="1" customWidth="1"/>
  </cols>
  <sheetData>
    <row r="1" spans="1:7" s="27" customFormat="1" x14ac:dyDescent="0.25">
      <c r="A1" s="8">
        <v>42559.358749999999</v>
      </c>
      <c r="B1" s="27" t="s">
        <v>147</v>
      </c>
      <c r="C1" s="27" t="s">
        <v>412</v>
      </c>
      <c r="D1" s="27">
        <v>1840000</v>
      </c>
      <c r="E1" s="27" t="s">
        <v>114</v>
      </c>
      <c r="F1" s="27" t="str">
        <f>B1</f>
        <v>rtdc.l.rtdc.4043:itc</v>
      </c>
      <c r="G1" s="8">
        <f>A1</f>
        <v>42559.358749999999</v>
      </c>
    </row>
    <row r="2" spans="1:7" x14ac:dyDescent="0.25">
      <c r="A2" s="8">
        <v>42559.339872685188</v>
      </c>
      <c r="B2" s="27" t="s">
        <v>348</v>
      </c>
      <c r="C2" s="27" t="s">
        <v>371</v>
      </c>
      <c r="D2" s="27">
        <v>2030000</v>
      </c>
      <c r="E2" s="27" t="s">
        <v>195</v>
      </c>
      <c r="F2" s="27" t="str">
        <f t="shared" ref="F2:F65" si="0">B2</f>
        <v>rtdc.l.rtdc.4015:itc</v>
      </c>
      <c r="G2" s="8">
        <f t="shared" ref="G2:G65" si="1">A2</f>
        <v>42559.339872685188</v>
      </c>
    </row>
    <row r="3" spans="1:7" x14ac:dyDescent="0.25">
      <c r="A3" s="8">
        <v>42559.359918981485</v>
      </c>
      <c r="B3" s="27" t="s">
        <v>127</v>
      </c>
      <c r="C3" s="27" t="s">
        <v>372</v>
      </c>
      <c r="D3" s="27">
        <v>1460000</v>
      </c>
      <c r="E3" s="27" t="s">
        <v>115</v>
      </c>
      <c r="F3" s="27" t="str">
        <f t="shared" si="0"/>
        <v>rtdc.l.rtdc.4037:itc</v>
      </c>
      <c r="G3" s="8">
        <f t="shared" si="1"/>
        <v>42559.359918981485</v>
      </c>
    </row>
    <row r="4" spans="1:7" x14ac:dyDescent="0.25">
      <c r="A4" s="8">
        <v>42559.506284722222</v>
      </c>
      <c r="B4" s="27" t="s">
        <v>131</v>
      </c>
      <c r="C4" s="27" t="s">
        <v>488</v>
      </c>
      <c r="D4" s="27">
        <v>880000</v>
      </c>
      <c r="E4" s="27" t="s">
        <v>138</v>
      </c>
      <c r="F4" s="27" t="str">
        <f t="shared" si="0"/>
        <v>rtdc.l.rtdc.4027:itc</v>
      </c>
      <c r="G4" s="8">
        <f t="shared" si="1"/>
        <v>42559.506284722222</v>
      </c>
    </row>
    <row r="5" spans="1:7" x14ac:dyDescent="0.25">
      <c r="A5" s="8">
        <v>42559.299791666665</v>
      </c>
      <c r="B5" s="27" t="s">
        <v>68</v>
      </c>
      <c r="C5" s="27" t="s">
        <v>394</v>
      </c>
      <c r="D5" s="27">
        <v>1340000</v>
      </c>
      <c r="E5" s="27" t="s">
        <v>140</v>
      </c>
      <c r="F5" s="27" t="str">
        <f t="shared" si="0"/>
        <v>rtdc.l.rtdc.4032:itc</v>
      </c>
      <c r="G5" s="8">
        <f t="shared" si="1"/>
        <v>42559.299791666665</v>
      </c>
    </row>
    <row r="6" spans="1:7" x14ac:dyDescent="0.25">
      <c r="A6" s="8">
        <v>42559.036666666667</v>
      </c>
      <c r="B6" s="27" t="s">
        <v>127</v>
      </c>
      <c r="C6" s="27" t="s">
        <v>310</v>
      </c>
      <c r="D6" s="27">
        <v>1820000</v>
      </c>
      <c r="E6" s="27" t="s">
        <v>105</v>
      </c>
      <c r="F6" s="27" t="str">
        <f t="shared" si="0"/>
        <v>rtdc.l.rtdc.4037:itc</v>
      </c>
      <c r="G6" s="8">
        <f t="shared" si="1"/>
        <v>42559.036666666667</v>
      </c>
    </row>
    <row r="7" spans="1:7" x14ac:dyDescent="0.25">
      <c r="A7" s="8">
        <v>42559.207048611112</v>
      </c>
      <c r="B7" s="27" t="s">
        <v>77</v>
      </c>
      <c r="C7" s="27" t="s">
        <v>339</v>
      </c>
      <c r="D7" s="27">
        <v>1340000</v>
      </c>
      <c r="E7" s="27" t="s">
        <v>140</v>
      </c>
      <c r="F7" s="27" t="str">
        <f t="shared" si="0"/>
        <v>rtdc.l.rtdc.4031:itc</v>
      </c>
      <c r="G7" s="8">
        <f t="shared" si="1"/>
        <v>42559.207048611112</v>
      </c>
    </row>
    <row r="8" spans="1:7" x14ac:dyDescent="0.25">
      <c r="A8" s="8">
        <v>42559.537592592591</v>
      </c>
      <c r="B8" s="27" t="s">
        <v>143</v>
      </c>
      <c r="C8" s="27" t="s">
        <v>501</v>
      </c>
      <c r="D8" s="27">
        <v>1090000</v>
      </c>
      <c r="E8" s="27" t="s">
        <v>134</v>
      </c>
      <c r="F8" s="27" t="str">
        <f t="shared" si="0"/>
        <v>rtdc.l.rtdc.4044:itc</v>
      </c>
      <c r="G8" s="8">
        <f t="shared" si="1"/>
        <v>42559.537592592591</v>
      </c>
    </row>
    <row r="9" spans="1:7" ht="15.75" thickBot="1" x14ac:dyDescent="0.3">
      <c r="A9" s="34">
        <v>42559.559189814812</v>
      </c>
      <c r="B9" s="27" t="s">
        <v>348</v>
      </c>
      <c r="C9" s="27" t="s">
        <v>492</v>
      </c>
      <c r="D9" s="27">
        <v>900000</v>
      </c>
      <c r="E9" s="27" t="s">
        <v>133</v>
      </c>
      <c r="F9" s="27" t="str">
        <f t="shared" si="0"/>
        <v>rtdc.l.rtdc.4015:itc</v>
      </c>
      <c r="G9" s="8">
        <f t="shared" si="1"/>
        <v>42559.559189814812</v>
      </c>
    </row>
    <row r="10" spans="1:7" x14ac:dyDescent="0.25">
      <c r="A10" s="8">
        <v>42559.599409722221</v>
      </c>
      <c r="B10" s="27" t="s">
        <v>124</v>
      </c>
      <c r="C10" s="27" t="s">
        <v>502</v>
      </c>
      <c r="D10" s="27">
        <v>1120000</v>
      </c>
      <c r="E10" s="27" t="s">
        <v>144</v>
      </c>
      <c r="F10" s="27" t="str">
        <f t="shared" si="0"/>
        <v>rtdc.l.rtdc.4013:itc</v>
      </c>
      <c r="G10" s="8">
        <f t="shared" si="1"/>
        <v>42559.599409722221</v>
      </c>
    </row>
    <row r="11" spans="1:7" x14ac:dyDescent="0.25">
      <c r="A11" s="8">
        <v>42559.057627314818</v>
      </c>
      <c r="B11" s="27" t="s">
        <v>76</v>
      </c>
      <c r="C11" s="27" t="s">
        <v>311</v>
      </c>
      <c r="D11" s="27">
        <v>1240000</v>
      </c>
      <c r="E11" s="27" t="s">
        <v>149</v>
      </c>
      <c r="F11" s="27" t="str">
        <f t="shared" si="0"/>
        <v>rtdc.l.rtdc.4017:itc</v>
      </c>
      <c r="G11" s="8">
        <f t="shared" si="1"/>
        <v>42559.057627314818</v>
      </c>
    </row>
    <row r="12" spans="1:7" x14ac:dyDescent="0.25">
      <c r="A12" s="8">
        <v>42559.599502314813</v>
      </c>
      <c r="B12" s="27" t="s">
        <v>125</v>
      </c>
      <c r="C12" s="27" t="s">
        <v>503</v>
      </c>
      <c r="D12" s="27">
        <v>950000</v>
      </c>
      <c r="E12" s="27" t="s">
        <v>148</v>
      </c>
      <c r="F12" s="27" t="str">
        <f t="shared" si="0"/>
        <v>rtdc.l.rtdc.4025:itc</v>
      </c>
      <c r="G12" s="8">
        <f t="shared" si="1"/>
        <v>42559.599502314813</v>
      </c>
    </row>
    <row r="13" spans="1:7" x14ac:dyDescent="0.25">
      <c r="A13" s="8">
        <v>42559.6096412037</v>
      </c>
      <c r="B13" s="27" t="s">
        <v>143</v>
      </c>
      <c r="C13" s="27" t="s">
        <v>500</v>
      </c>
      <c r="D13" s="27">
        <v>1090000</v>
      </c>
      <c r="E13" s="27" t="s">
        <v>134</v>
      </c>
      <c r="F13" s="27" t="str">
        <f t="shared" si="0"/>
        <v>rtdc.l.rtdc.4044:itc</v>
      </c>
      <c r="G13" s="8">
        <f t="shared" si="1"/>
        <v>42559.6096412037</v>
      </c>
    </row>
    <row r="14" spans="1:7" x14ac:dyDescent="0.25">
      <c r="A14" s="8">
        <v>42559.633206018516</v>
      </c>
      <c r="B14" s="27" t="s">
        <v>123</v>
      </c>
      <c r="C14" s="27" t="s">
        <v>504</v>
      </c>
      <c r="D14" s="27">
        <v>1120000</v>
      </c>
      <c r="E14" s="27" t="s">
        <v>144</v>
      </c>
      <c r="F14" s="27" t="str">
        <f t="shared" si="0"/>
        <v>rtdc.l.rtdc.4014:itc</v>
      </c>
      <c r="G14" s="8">
        <f t="shared" si="1"/>
        <v>42559.633206018516</v>
      </c>
    </row>
    <row r="15" spans="1:7" x14ac:dyDescent="0.25">
      <c r="A15" s="8">
        <v>42559.549270833333</v>
      </c>
      <c r="B15" s="27" t="s">
        <v>152</v>
      </c>
      <c r="C15" s="27" t="s">
        <v>491</v>
      </c>
      <c r="D15" s="27">
        <v>890000</v>
      </c>
      <c r="E15" s="27" t="s">
        <v>178</v>
      </c>
      <c r="F15" s="27" t="str">
        <f t="shared" si="0"/>
        <v>rtdc.l.rtdc.4040:itc</v>
      </c>
      <c r="G15" s="8">
        <f t="shared" si="1"/>
        <v>42559.549270833333</v>
      </c>
    </row>
    <row r="16" spans="1:7" x14ac:dyDescent="0.25">
      <c r="A16" s="8">
        <v>42559.638402777775</v>
      </c>
      <c r="B16" s="27" t="s">
        <v>122</v>
      </c>
      <c r="C16" s="27" t="s">
        <v>496</v>
      </c>
      <c r="D16" s="27">
        <v>950000</v>
      </c>
      <c r="E16" s="27" t="s">
        <v>148</v>
      </c>
      <c r="F16" s="27" t="str">
        <f t="shared" si="0"/>
        <v>rtdc.l.rtdc.4026:itc</v>
      </c>
      <c r="G16" s="8">
        <f t="shared" si="1"/>
        <v>42559.638402777775</v>
      </c>
    </row>
    <row r="17" spans="1:7" x14ac:dyDescent="0.25">
      <c r="A17" s="8">
        <v>42559.48940972222</v>
      </c>
      <c r="B17" s="27" t="s">
        <v>122</v>
      </c>
      <c r="C17" s="27" t="s">
        <v>388</v>
      </c>
      <c r="D17" s="27">
        <v>2030000</v>
      </c>
      <c r="E17" s="27" t="s">
        <v>195</v>
      </c>
      <c r="F17" s="27" t="str">
        <f t="shared" si="0"/>
        <v>rtdc.l.rtdc.4026:itc</v>
      </c>
      <c r="G17" s="8">
        <f t="shared" si="1"/>
        <v>42559.48940972222</v>
      </c>
    </row>
    <row r="18" spans="1:7" x14ac:dyDescent="0.25">
      <c r="A18" s="8">
        <v>42559.187476851854</v>
      </c>
      <c r="B18" s="27" t="s">
        <v>152</v>
      </c>
      <c r="C18" s="27" t="s">
        <v>340</v>
      </c>
      <c r="D18" s="27">
        <v>1110000</v>
      </c>
      <c r="E18" s="27" t="s">
        <v>197</v>
      </c>
      <c r="F18" s="27" t="str">
        <f t="shared" si="0"/>
        <v>rtdc.l.rtdc.4040:itc</v>
      </c>
      <c r="G18" s="8">
        <f t="shared" si="1"/>
        <v>42559.187476851854</v>
      </c>
    </row>
    <row r="19" spans="1:7" x14ac:dyDescent="0.25">
      <c r="A19" s="8">
        <v>42559.485659722224</v>
      </c>
      <c r="B19" s="27" t="s">
        <v>348</v>
      </c>
      <c r="C19" s="27" t="s">
        <v>387</v>
      </c>
      <c r="D19" s="27">
        <v>900000</v>
      </c>
      <c r="E19" s="27" t="s">
        <v>133</v>
      </c>
      <c r="F19" s="27" t="str">
        <f t="shared" si="0"/>
        <v>rtdc.l.rtdc.4015:itc</v>
      </c>
      <c r="G19" s="8">
        <f t="shared" si="1"/>
        <v>42559.485659722224</v>
      </c>
    </row>
    <row r="20" spans="1:7" x14ac:dyDescent="0.25">
      <c r="A20" s="8">
        <v>42559.239618055559</v>
      </c>
      <c r="B20" s="27" t="s">
        <v>77</v>
      </c>
      <c r="C20" s="27" t="s">
        <v>342</v>
      </c>
      <c r="D20" s="27">
        <v>1340000</v>
      </c>
      <c r="E20" s="27" t="s">
        <v>140</v>
      </c>
      <c r="F20" s="27" t="str">
        <f t="shared" si="0"/>
        <v>rtdc.l.rtdc.4031:itc</v>
      </c>
      <c r="G20" s="8">
        <f t="shared" si="1"/>
        <v>42559.239618055559</v>
      </c>
    </row>
    <row r="21" spans="1:7" x14ac:dyDescent="0.25">
      <c r="A21" s="8">
        <v>42559.465868055559</v>
      </c>
      <c r="B21" s="27" t="s">
        <v>143</v>
      </c>
      <c r="C21" s="27" t="s">
        <v>400</v>
      </c>
      <c r="D21" s="27">
        <v>1090000</v>
      </c>
      <c r="E21" s="27" t="s">
        <v>134</v>
      </c>
      <c r="F21" s="27" t="str">
        <f t="shared" si="0"/>
        <v>rtdc.l.rtdc.4044:itc</v>
      </c>
      <c r="G21" s="8">
        <f t="shared" si="1"/>
        <v>42559.465868055559</v>
      </c>
    </row>
    <row r="22" spans="1:7" x14ac:dyDescent="0.25">
      <c r="A22" s="36">
        <v>42559.328680555554</v>
      </c>
      <c r="B22" s="27" t="s">
        <v>348</v>
      </c>
      <c r="C22" s="27" t="s">
        <v>371</v>
      </c>
      <c r="D22" s="27">
        <v>2030000</v>
      </c>
      <c r="E22" s="27" t="s">
        <v>195</v>
      </c>
      <c r="F22" s="27" t="str">
        <f t="shared" si="0"/>
        <v>rtdc.l.rtdc.4015:itc</v>
      </c>
      <c r="G22" s="8">
        <f t="shared" si="1"/>
        <v>42559.328680555554</v>
      </c>
    </row>
    <row r="23" spans="1:7" x14ac:dyDescent="0.25">
      <c r="A23" s="8">
        <v>42559.420891203707</v>
      </c>
      <c r="B23" s="27" t="s">
        <v>122</v>
      </c>
      <c r="C23" s="27" t="s">
        <v>376</v>
      </c>
      <c r="D23" s="27">
        <v>1480000</v>
      </c>
      <c r="E23" s="27" t="s">
        <v>121</v>
      </c>
      <c r="F23" s="27" t="str">
        <f t="shared" si="0"/>
        <v>rtdc.l.rtdc.4026:itc</v>
      </c>
      <c r="G23" s="8">
        <f t="shared" si="1"/>
        <v>42559.420891203707</v>
      </c>
    </row>
    <row r="24" spans="1:7" x14ac:dyDescent="0.25">
      <c r="A24" s="8">
        <v>42559.387384259258</v>
      </c>
      <c r="B24" s="27" t="s">
        <v>113</v>
      </c>
      <c r="C24" s="27" t="s">
        <v>398</v>
      </c>
      <c r="D24" s="27">
        <v>1460000</v>
      </c>
      <c r="E24" s="27" t="s">
        <v>115</v>
      </c>
      <c r="F24" s="27" t="str">
        <f t="shared" si="0"/>
        <v>rtdc.l.rtdc.4038:itc</v>
      </c>
      <c r="G24" s="8">
        <f t="shared" si="1"/>
        <v>42559.387384259258</v>
      </c>
    </row>
    <row r="25" spans="1:7" x14ac:dyDescent="0.25">
      <c r="A25" s="8">
        <v>42559.401539351849</v>
      </c>
      <c r="B25" s="27" t="s">
        <v>348</v>
      </c>
      <c r="C25" s="27" t="s">
        <v>395</v>
      </c>
      <c r="D25" s="27">
        <v>2030000</v>
      </c>
      <c r="E25" s="27" t="s">
        <v>195</v>
      </c>
      <c r="F25" s="27" t="str">
        <f t="shared" si="0"/>
        <v>rtdc.l.rtdc.4015:itc</v>
      </c>
      <c r="G25" s="8">
        <f t="shared" si="1"/>
        <v>42559.401539351849</v>
      </c>
    </row>
    <row r="26" spans="1:7" x14ac:dyDescent="0.25">
      <c r="A26" s="8">
        <v>42559.432291666664</v>
      </c>
      <c r="B26" s="27" t="s">
        <v>131</v>
      </c>
      <c r="C26" s="27" t="s">
        <v>384</v>
      </c>
      <c r="D26" s="27">
        <v>2040000</v>
      </c>
      <c r="E26" s="27" t="s">
        <v>216</v>
      </c>
      <c r="F26" s="27" t="str">
        <f t="shared" si="0"/>
        <v>rtdc.l.rtdc.4027:itc</v>
      </c>
      <c r="G26" s="8">
        <f t="shared" si="1"/>
        <v>42559.432291666664</v>
      </c>
    </row>
    <row r="27" spans="1:7" x14ac:dyDescent="0.25">
      <c r="A27" s="8">
        <v>42559.308935185189</v>
      </c>
      <c r="B27" s="27" t="s">
        <v>124</v>
      </c>
      <c r="C27" s="27" t="s">
        <v>389</v>
      </c>
      <c r="D27" s="27">
        <v>1310000</v>
      </c>
      <c r="E27" s="27" t="s">
        <v>116</v>
      </c>
      <c r="F27" s="27" t="str">
        <f t="shared" si="0"/>
        <v>rtdc.l.rtdc.4013:itc</v>
      </c>
      <c r="G27" s="8">
        <f t="shared" si="1"/>
        <v>42559.308935185189</v>
      </c>
    </row>
    <row r="28" spans="1:7" x14ac:dyDescent="0.25">
      <c r="A28" s="8">
        <v>42559.484525462962</v>
      </c>
      <c r="B28" s="27" t="s">
        <v>123</v>
      </c>
      <c r="C28" s="27" t="s">
        <v>392</v>
      </c>
      <c r="D28" s="27">
        <v>1120000</v>
      </c>
      <c r="E28" s="27" t="s">
        <v>144</v>
      </c>
      <c r="F28" s="27" t="str">
        <f t="shared" si="0"/>
        <v>rtdc.l.rtdc.4014:itc</v>
      </c>
      <c r="G28" s="8">
        <f t="shared" si="1"/>
        <v>42559.484525462962</v>
      </c>
    </row>
    <row r="29" spans="1:7" x14ac:dyDescent="0.25">
      <c r="A29" s="8">
        <v>42559.217662037037</v>
      </c>
      <c r="B29" s="27" t="s">
        <v>68</v>
      </c>
      <c r="C29" s="27" t="s">
        <v>341</v>
      </c>
      <c r="D29" s="27">
        <v>1340000</v>
      </c>
      <c r="E29" s="27" t="s">
        <v>140</v>
      </c>
      <c r="F29" s="27" t="str">
        <f t="shared" si="0"/>
        <v>rtdc.l.rtdc.4032:itc</v>
      </c>
      <c r="G29" s="8">
        <f t="shared" si="1"/>
        <v>42559.217662037037</v>
      </c>
    </row>
    <row r="30" spans="1:7" x14ac:dyDescent="0.25">
      <c r="A30" s="8">
        <v>42559.525868055556</v>
      </c>
      <c r="B30" s="27" t="s">
        <v>125</v>
      </c>
      <c r="C30" s="27" t="s">
        <v>490</v>
      </c>
      <c r="D30" s="27">
        <v>950000</v>
      </c>
      <c r="E30" s="27" t="s">
        <v>148</v>
      </c>
      <c r="F30" s="27" t="str">
        <f t="shared" si="0"/>
        <v>rtdc.l.rtdc.4025:itc</v>
      </c>
      <c r="G30" s="8">
        <f t="shared" si="1"/>
        <v>42559.525868055556</v>
      </c>
    </row>
    <row r="31" spans="1:7" x14ac:dyDescent="0.25">
      <c r="A31" s="8">
        <v>42559.175821759258</v>
      </c>
      <c r="B31" s="27" t="s">
        <v>143</v>
      </c>
      <c r="C31" s="27" t="s">
        <v>338</v>
      </c>
      <c r="D31" s="27">
        <v>1840000</v>
      </c>
      <c r="E31" s="27" t="s">
        <v>114</v>
      </c>
      <c r="F31" s="27" t="str">
        <f t="shared" si="0"/>
        <v>rtdc.l.rtdc.4044:itc</v>
      </c>
      <c r="G31" s="8">
        <f t="shared" si="1"/>
        <v>42559.175821759258</v>
      </c>
    </row>
    <row r="32" spans="1:7" x14ac:dyDescent="0.25">
      <c r="A32" s="8">
        <v>42560.036273148151</v>
      </c>
      <c r="B32" s="27" t="s">
        <v>73</v>
      </c>
      <c r="C32" s="27" t="s">
        <v>604</v>
      </c>
      <c r="D32" s="27">
        <v>1770000</v>
      </c>
      <c r="E32" s="27" t="s">
        <v>141</v>
      </c>
      <c r="F32" s="27" t="str">
        <f t="shared" si="0"/>
        <v>rtdc.l.rtdc.4019:itc</v>
      </c>
      <c r="G32" s="8">
        <f t="shared" si="1"/>
        <v>42560.036273148151</v>
      </c>
    </row>
    <row r="33" spans="1:7" x14ac:dyDescent="0.25">
      <c r="A33" s="8">
        <v>42559.125960648147</v>
      </c>
      <c r="B33" s="27" t="s">
        <v>119</v>
      </c>
      <c r="C33" s="27" t="s">
        <v>336</v>
      </c>
      <c r="D33" s="27">
        <v>1830000</v>
      </c>
      <c r="E33" s="27" t="s">
        <v>137</v>
      </c>
      <c r="F33" s="27" t="str">
        <f t="shared" si="0"/>
        <v>rtdc.l.rtdc.4011:itc</v>
      </c>
      <c r="G33" s="8">
        <f t="shared" si="1"/>
        <v>42559.125960648147</v>
      </c>
    </row>
    <row r="34" spans="1:7" x14ac:dyDescent="0.25">
      <c r="A34" s="8">
        <v>42559.798750000002</v>
      </c>
      <c r="B34" s="27" t="s">
        <v>348</v>
      </c>
      <c r="C34" s="27" t="s">
        <v>593</v>
      </c>
      <c r="D34" s="27">
        <v>1770000</v>
      </c>
      <c r="E34" s="27" t="s">
        <v>141</v>
      </c>
      <c r="F34" s="27" t="str">
        <f t="shared" si="0"/>
        <v>rtdc.l.rtdc.4015:itc</v>
      </c>
      <c r="G34" s="8">
        <f t="shared" si="1"/>
        <v>42559.798750000002</v>
      </c>
    </row>
    <row r="35" spans="1:7" x14ac:dyDescent="0.25">
      <c r="A35" s="8">
        <v>42559.443402777775</v>
      </c>
      <c r="B35" s="27" t="s">
        <v>127</v>
      </c>
      <c r="C35" s="27" t="s">
        <v>385</v>
      </c>
      <c r="D35" s="27">
        <v>1460000</v>
      </c>
      <c r="E35" s="27" t="s">
        <v>115</v>
      </c>
      <c r="F35" s="27" t="str">
        <f t="shared" si="0"/>
        <v>rtdc.l.rtdc.4037:itc</v>
      </c>
      <c r="G35" s="8">
        <f t="shared" si="1"/>
        <v>42559.443402777775</v>
      </c>
    </row>
    <row r="36" spans="1:7" x14ac:dyDescent="0.25">
      <c r="A36" s="8">
        <v>42559.843865740739</v>
      </c>
      <c r="B36" s="27" t="s">
        <v>120</v>
      </c>
      <c r="C36" s="27" t="s">
        <v>606</v>
      </c>
      <c r="D36" s="27">
        <v>1180000</v>
      </c>
      <c r="E36" s="27" t="s">
        <v>516</v>
      </c>
      <c r="F36" s="27" t="str">
        <f t="shared" si="0"/>
        <v>rtdc.l.rtdc.4012:itc</v>
      </c>
      <c r="G36" s="8">
        <f t="shared" si="1"/>
        <v>42559.843865740739</v>
      </c>
    </row>
    <row r="37" spans="1:7" x14ac:dyDescent="0.25">
      <c r="A37" s="8">
        <v>42559.422638888886</v>
      </c>
      <c r="B37" s="27" t="s">
        <v>119</v>
      </c>
      <c r="C37" s="27" t="s">
        <v>390</v>
      </c>
      <c r="D37" s="27">
        <v>1230000</v>
      </c>
      <c r="E37" s="27" t="s">
        <v>391</v>
      </c>
      <c r="F37" s="27" t="str">
        <f t="shared" si="0"/>
        <v>rtdc.l.rtdc.4011:itc</v>
      </c>
      <c r="G37" s="8">
        <f t="shared" si="1"/>
        <v>42559.422638888886</v>
      </c>
    </row>
    <row r="38" spans="1:7" x14ac:dyDescent="0.25">
      <c r="A38" s="8">
        <v>42559.991979166669</v>
      </c>
      <c r="B38" s="27" t="s">
        <v>124</v>
      </c>
      <c r="C38" s="27" t="s">
        <v>627</v>
      </c>
      <c r="D38" s="27">
        <v>1540000</v>
      </c>
      <c r="E38" s="27" t="s">
        <v>145</v>
      </c>
      <c r="F38" s="27" t="str">
        <f t="shared" si="0"/>
        <v>rtdc.l.rtdc.4013:itc</v>
      </c>
      <c r="G38" s="8">
        <f t="shared" si="1"/>
        <v>42559.991979166669</v>
      </c>
    </row>
    <row r="39" spans="1:7" x14ac:dyDescent="0.25">
      <c r="A39" s="8">
        <v>42559.33803240741</v>
      </c>
      <c r="B39" s="27" t="s">
        <v>113</v>
      </c>
      <c r="C39" s="27" t="s">
        <v>386</v>
      </c>
      <c r="D39" s="27">
        <v>1460000</v>
      </c>
      <c r="E39" s="27" t="s">
        <v>115</v>
      </c>
      <c r="F39" s="27" t="str">
        <f t="shared" si="0"/>
        <v>rtdc.l.rtdc.4038:itc</v>
      </c>
      <c r="G39" s="8">
        <f t="shared" si="1"/>
        <v>42559.33803240741</v>
      </c>
    </row>
    <row r="40" spans="1:7" x14ac:dyDescent="0.25">
      <c r="A40" s="8">
        <v>42559.831574074073</v>
      </c>
      <c r="B40" s="35" t="s">
        <v>74</v>
      </c>
      <c r="C40" s="27" t="s">
        <v>609</v>
      </c>
      <c r="D40" s="27">
        <v>1770000</v>
      </c>
      <c r="E40" s="27" t="s">
        <v>141</v>
      </c>
      <c r="F40" s="27" t="str">
        <f t="shared" si="0"/>
        <v>rtdc.l.rtdc.4020:itc</v>
      </c>
      <c r="G40" s="8">
        <f t="shared" si="1"/>
        <v>42559.831574074073</v>
      </c>
    </row>
    <row r="41" spans="1:7" x14ac:dyDescent="0.25">
      <c r="A41" s="8">
        <v>42559.32476851852</v>
      </c>
      <c r="B41" s="27" t="s">
        <v>77</v>
      </c>
      <c r="C41" s="27" t="s">
        <v>367</v>
      </c>
      <c r="D41" s="27">
        <v>1340000</v>
      </c>
      <c r="E41" s="27" t="s">
        <v>140</v>
      </c>
      <c r="F41" s="27" t="str">
        <f t="shared" si="0"/>
        <v>rtdc.l.rtdc.4031:itc</v>
      </c>
      <c r="G41" s="8">
        <f t="shared" si="1"/>
        <v>42559.32476851852</v>
      </c>
    </row>
    <row r="42" spans="1:7" x14ac:dyDescent="0.25">
      <c r="A42" s="8">
        <v>42559.969201388885</v>
      </c>
      <c r="B42" s="27" t="s">
        <v>119</v>
      </c>
      <c r="C42" s="27" t="s">
        <v>629</v>
      </c>
      <c r="D42" s="27">
        <v>1180000</v>
      </c>
      <c r="E42" s="27" t="s">
        <v>516</v>
      </c>
      <c r="F42" s="27" t="str">
        <f t="shared" si="0"/>
        <v>rtdc.l.rtdc.4011:itc</v>
      </c>
      <c r="G42" s="8">
        <f t="shared" si="1"/>
        <v>42559.969201388885</v>
      </c>
    </row>
    <row r="43" spans="1:7" x14ac:dyDescent="0.25">
      <c r="A43" s="8">
        <v>42559.276388888888</v>
      </c>
      <c r="B43" s="27" t="s">
        <v>119</v>
      </c>
      <c r="C43" s="27" t="s">
        <v>343</v>
      </c>
      <c r="D43" s="27">
        <v>2040000</v>
      </c>
      <c r="E43" s="27" t="s">
        <v>216</v>
      </c>
      <c r="F43" s="27" t="str">
        <f t="shared" si="0"/>
        <v>rtdc.l.rtdc.4011:itc</v>
      </c>
      <c r="G43" s="8">
        <f t="shared" si="1"/>
        <v>42559.276388888888</v>
      </c>
    </row>
    <row r="44" spans="1:7" x14ac:dyDescent="0.25">
      <c r="A44" s="8">
        <v>42560.155497685184</v>
      </c>
      <c r="B44" s="27" t="s">
        <v>152</v>
      </c>
      <c r="C44" s="27" t="s">
        <v>636</v>
      </c>
      <c r="D44" s="27">
        <v>1480000</v>
      </c>
      <c r="E44" s="27" t="s">
        <v>121</v>
      </c>
      <c r="F44" s="27" t="str">
        <f t="shared" si="0"/>
        <v>rtdc.l.rtdc.4040:itc</v>
      </c>
      <c r="G44" s="8">
        <f t="shared" si="1"/>
        <v>42560.155497685184</v>
      </c>
    </row>
    <row r="45" spans="1:7" x14ac:dyDescent="0.25">
      <c r="A45" s="8">
        <v>42559.206273148149</v>
      </c>
      <c r="B45" s="27" t="s">
        <v>119</v>
      </c>
      <c r="C45" s="27" t="s">
        <v>344</v>
      </c>
      <c r="D45" s="27">
        <v>2040000</v>
      </c>
      <c r="E45" s="27" t="s">
        <v>216</v>
      </c>
      <c r="F45" s="27" t="str">
        <f t="shared" si="0"/>
        <v>rtdc.l.rtdc.4011:itc</v>
      </c>
      <c r="G45" s="8">
        <f t="shared" si="1"/>
        <v>42559.206273148149</v>
      </c>
    </row>
    <row r="46" spans="1:7" x14ac:dyDescent="0.25">
      <c r="A46" s="8">
        <v>42560.191666666666</v>
      </c>
      <c r="B46" s="27" t="s">
        <v>76</v>
      </c>
      <c r="C46" s="27" t="s">
        <v>637</v>
      </c>
      <c r="D46" s="27">
        <v>1480000</v>
      </c>
      <c r="E46" s="27" t="s">
        <v>121</v>
      </c>
      <c r="F46" s="27" t="str">
        <f t="shared" si="0"/>
        <v>rtdc.l.rtdc.4017:itc</v>
      </c>
      <c r="G46" s="8">
        <f t="shared" si="1"/>
        <v>42560.191666666666</v>
      </c>
    </row>
    <row r="47" spans="1:7" x14ac:dyDescent="0.25">
      <c r="A47" s="8">
        <v>42559.672071759262</v>
      </c>
      <c r="B47" s="27" t="s">
        <v>125</v>
      </c>
      <c r="C47" s="27" t="s">
        <v>505</v>
      </c>
      <c r="D47" s="27">
        <v>950000</v>
      </c>
      <c r="E47" s="27" t="s">
        <v>148</v>
      </c>
      <c r="F47" s="27" t="str">
        <f t="shared" si="0"/>
        <v>rtdc.l.rtdc.4025:itc</v>
      </c>
      <c r="G47" s="8">
        <f t="shared" si="1"/>
        <v>42559.672071759262</v>
      </c>
    </row>
    <row r="48" spans="1:7" x14ac:dyDescent="0.25">
      <c r="A48" s="8">
        <v>42559.934004629627</v>
      </c>
      <c r="B48" s="27" t="s">
        <v>143</v>
      </c>
      <c r="C48" s="27" t="s">
        <v>601</v>
      </c>
      <c r="D48" s="27">
        <v>1240000</v>
      </c>
      <c r="E48" s="27" t="s">
        <v>149</v>
      </c>
      <c r="F48" s="27" t="str">
        <f t="shared" si="0"/>
        <v>rtdc.l.rtdc.4044:itc</v>
      </c>
      <c r="G48" s="8">
        <f t="shared" si="1"/>
        <v>42559.934004629627</v>
      </c>
    </row>
    <row r="49" spans="1:7" x14ac:dyDescent="0.25">
      <c r="A49" s="8">
        <v>42559.580254629633</v>
      </c>
      <c r="B49" s="27" t="s">
        <v>131</v>
      </c>
      <c r="C49" s="27" t="s">
        <v>506</v>
      </c>
      <c r="D49" s="27">
        <v>880000</v>
      </c>
      <c r="E49" s="27" t="s">
        <v>138</v>
      </c>
      <c r="F49" s="27" t="str">
        <f t="shared" si="0"/>
        <v>rtdc.l.rtdc.4027:itc</v>
      </c>
      <c r="G49" s="8">
        <f t="shared" si="1"/>
        <v>42559.580254629633</v>
      </c>
    </row>
    <row r="50" spans="1:7" x14ac:dyDescent="0.25">
      <c r="A50" s="8">
        <v>42559.754849537036</v>
      </c>
      <c r="B50" s="27" t="s">
        <v>124</v>
      </c>
      <c r="C50" s="27" t="s">
        <v>582</v>
      </c>
      <c r="D50" s="27">
        <v>1120000</v>
      </c>
      <c r="E50" s="27" t="s">
        <v>144</v>
      </c>
      <c r="F50" s="27" t="str">
        <f t="shared" si="0"/>
        <v>rtdc.l.rtdc.4013:itc</v>
      </c>
      <c r="G50" s="8">
        <f t="shared" si="1"/>
        <v>42559.754849537036</v>
      </c>
    </row>
    <row r="51" spans="1:7" x14ac:dyDescent="0.25">
      <c r="A51" s="8">
        <v>42559.558321759258</v>
      </c>
      <c r="B51" s="27" t="s">
        <v>348</v>
      </c>
      <c r="C51" s="27" t="s">
        <v>492</v>
      </c>
      <c r="D51" s="27">
        <v>900000</v>
      </c>
      <c r="E51" s="27" t="s">
        <v>133</v>
      </c>
      <c r="F51" s="27" t="str">
        <f t="shared" si="0"/>
        <v>rtdc.l.rtdc.4015:itc</v>
      </c>
      <c r="G51" s="8">
        <f t="shared" si="1"/>
        <v>42559.558321759258</v>
      </c>
    </row>
    <row r="52" spans="1:7" x14ac:dyDescent="0.25">
      <c r="A52" s="8">
        <v>42559.163761574076</v>
      </c>
      <c r="B52" s="27" t="s">
        <v>126</v>
      </c>
      <c r="C52" s="27" t="s">
        <v>355</v>
      </c>
      <c r="D52" s="27">
        <v>1830000</v>
      </c>
      <c r="E52" s="27" t="s">
        <v>137</v>
      </c>
      <c r="F52" s="27" t="str">
        <f t="shared" si="0"/>
        <v>rtdc.l.rtdc.4028:itc</v>
      </c>
      <c r="G52" s="8">
        <f t="shared" si="1"/>
        <v>42559.163761574076</v>
      </c>
    </row>
    <row r="53" spans="1:7" x14ac:dyDescent="0.25">
      <c r="A53" s="8">
        <v>42559.471643518518</v>
      </c>
      <c r="B53" s="27" t="s">
        <v>126</v>
      </c>
      <c r="C53" s="27" t="s">
        <v>401</v>
      </c>
      <c r="D53" s="27">
        <v>2040000</v>
      </c>
      <c r="E53" s="27" t="s">
        <v>216</v>
      </c>
      <c r="F53" s="27" t="str">
        <f t="shared" si="0"/>
        <v>rtdc.l.rtdc.4028:itc</v>
      </c>
      <c r="G53" s="8">
        <f t="shared" si="1"/>
        <v>42559.471643518518</v>
      </c>
    </row>
    <row r="54" spans="1:7" x14ac:dyDescent="0.25">
      <c r="A54" s="8">
        <v>42559.193252314813</v>
      </c>
      <c r="B54" s="27" t="s">
        <v>122</v>
      </c>
      <c r="C54" s="27" t="s">
        <v>345</v>
      </c>
      <c r="D54" s="27">
        <v>1480000</v>
      </c>
      <c r="E54" s="27" t="s">
        <v>121</v>
      </c>
      <c r="F54" s="27" t="str">
        <f t="shared" si="0"/>
        <v>rtdc.l.rtdc.4026:itc</v>
      </c>
      <c r="G54" s="8">
        <f t="shared" si="1"/>
        <v>42559.193252314813</v>
      </c>
    </row>
    <row r="55" spans="1:7" x14ac:dyDescent="0.25">
      <c r="A55" s="8">
        <v>42559.351284722223</v>
      </c>
      <c r="B55" s="27" t="s">
        <v>122</v>
      </c>
      <c r="C55" s="27" t="s">
        <v>397</v>
      </c>
      <c r="D55" s="27">
        <v>1480000</v>
      </c>
      <c r="E55" s="27" t="s">
        <v>121</v>
      </c>
      <c r="F55" s="27" t="str">
        <f t="shared" si="0"/>
        <v>rtdc.l.rtdc.4026:itc</v>
      </c>
      <c r="G55" s="8">
        <f t="shared" si="1"/>
        <v>42559.351284722223</v>
      </c>
    </row>
    <row r="56" spans="1:7" x14ac:dyDescent="0.25">
      <c r="A56" s="8">
        <v>42559.217141203706</v>
      </c>
      <c r="B56" s="27" t="s">
        <v>68</v>
      </c>
      <c r="C56" s="27" t="s">
        <v>342</v>
      </c>
      <c r="D56" s="27">
        <v>1340000</v>
      </c>
      <c r="E56" s="27" t="s">
        <v>140</v>
      </c>
      <c r="F56" s="27" t="str">
        <f t="shared" si="0"/>
        <v>rtdc.l.rtdc.4032:itc</v>
      </c>
      <c r="G56" s="8">
        <f t="shared" si="1"/>
        <v>42559.217141203706</v>
      </c>
    </row>
    <row r="57" spans="1:7" x14ac:dyDescent="0.25">
      <c r="A57" s="8">
        <v>42559.321122685185</v>
      </c>
      <c r="B57" s="27" t="s">
        <v>126</v>
      </c>
      <c r="C57" s="27" t="s">
        <v>393</v>
      </c>
      <c r="D57" s="27">
        <v>1830000</v>
      </c>
      <c r="E57" s="27" t="s">
        <v>137</v>
      </c>
      <c r="F57" s="27" t="str">
        <f t="shared" si="0"/>
        <v>rtdc.l.rtdc.4028:itc</v>
      </c>
      <c r="G57" s="8">
        <f t="shared" si="1"/>
        <v>42559.321122685185</v>
      </c>
    </row>
    <row r="58" spans="1:7" x14ac:dyDescent="0.25">
      <c r="A58" s="8">
        <v>42559.276898148149</v>
      </c>
      <c r="B58" s="27" t="s">
        <v>127</v>
      </c>
      <c r="C58" s="27" t="s">
        <v>357</v>
      </c>
      <c r="D58" s="27">
        <v>1460000</v>
      </c>
      <c r="E58" s="27" t="s">
        <v>115</v>
      </c>
      <c r="F58" s="27" t="str">
        <f t="shared" si="0"/>
        <v>rtdc.l.rtdc.4037:itc</v>
      </c>
      <c r="G58" s="8">
        <f t="shared" si="1"/>
        <v>42559.276898148149</v>
      </c>
    </row>
    <row r="59" spans="1:7" x14ac:dyDescent="0.25">
      <c r="A59" s="8">
        <v>42559.127326388887</v>
      </c>
      <c r="B59" s="27" t="s">
        <v>119</v>
      </c>
      <c r="C59" s="27" t="s">
        <v>336</v>
      </c>
      <c r="D59" s="27">
        <v>1830000</v>
      </c>
      <c r="E59" s="27" t="s">
        <v>137</v>
      </c>
      <c r="F59" s="27" t="str">
        <f t="shared" si="0"/>
        <v>rtdc.l.rtdc.4011:itc</v>
      </c>
      <c r="G59" s="8">
        <f t="shared" si="1"/>
        <v>42559.127326388887</v>
      </c>
    </row>
    <row r="60" spans="1:7" x14ac:dyDescent="0.25">
      <c r="A60" s="8">
        <v>42559.454687500001</v>
      </c>
      <c r="B60" s="27" t="s">
        <v>124</v>
      </c>
      <c r="C60" s="27" t="s">
        <v>379</v>
      </c>
      <c r="D60" s="27">
        <v>1310000</v>
      </c>
      <c r="E60" s="27" t="s">
        <v>116</v>
      </c>
      <c r="F60" s="27" t="str">
        <f t="shared" si="0"/>
        <v>rtdc.l.rtdc.4013:itc</v>
      </c>
      <c r="G60" s="8">
        <f t="shared" si="1"/>
        <v>42559.454687500001</v>
      </c>
    </row>
    <row r="61" spans="1:7" x14ac:dyDescent="0.25">
      <c r="A61" s="8">
        <v>42560.195532407408</v>
      </c>
      <c r="B61" s="27" t="s">
        <v>74</v>
      </c>
      <c r="C61" s="27" t="s">
        <v>638</v>
      </c>
      <c r="D61" s="27">
        <v>1310000</v>
      </c>
      <c r="E61" s="27" t="s">
        <v>116</v>
      </c>
      <c r="F61" s="27" t="str">
        <f t="shared" si="0"/>
        <v>rtdc.l.rtdc.4020:itc</v>
      </c>
      <c r="G61" s="8">
        <f t="shared" si="1"/>
        <v>42560.195532407408</v>
      </c>
    </row>
    <row r="62" spans="1:7" x14ac:dyDescent="0.25">
      <c r="A62" s="8">
        <v>42559.615798611114</v>
      </c>
      <c r="B62" s="27" t="s">
        <v>126</v>
      </c>
      <c r="C62" s="27" t="s">
        <v>506</v>
      </c>
      <c r="D62" s="27">
        <v>880000</v>
      </c>
      <c r="E62" s="27" t="s">
        <v>138</v>
      </c>
      <c r="F62" s="27" t="str">
        <f t="shared" si="0"/>
        <v>rtdc.l.rtdc.4028:itc</v>
      </c>
      <c r="G62" s="8">
        <f t="shared" si="1"/>
        <v>42559.615798611114</v>
      </c>
    </row>
    <row r="63" spans="1:7" x14ac:dyDescent="0.25">
      <c r="A63" s="8">
        <v>42560.190347222226</v>
      </c>
      <c r="B63" s="27" t="s">
        <v>76</v>
      </c>
      <c r="C63" s="27" t="s">
        <v>637</v>
      </c>
      <c r="D63" s="27">
        <v>1480000</v>
      </c>
      <c r="E63" s="27" t="s">
        <v>121</v>
      </c>
      <c r="F63" s="27" t="str">
        <f t="shared" si="0"/>
        <v>rtdc.l.rtdc.4017:itc</v>
      </c>
      <c r="G63" s="8">
        <f t="shared" si="1"/>
        <v>42560.190347222226</v>
      </c>
    </row>
    <row r="64" spans="1:7" x14ac:dyDescent="0.25">
      <c r="A64" s="36">
        <v>42559.993576388886</v>
      </c>
      <c r="B64" s="27" t="s">
        <v>124</v>
      </c>
      <c r="C64" s="27" t="s">
        <v>627</v>
      </c>
      <c r="D64" s="27">
        <v>1540000</v>
      </c>
      <c r="E64" s="27" t="s">
        <v>145</v>
      </c>
      <c r="F64" s="27" t="str">
        <f t="shared" si="0"/>
        <v>rtdc.l.rtdc.4013:itc</v>
      </c>
      <c r="G64" s="8">
        <f t="shared" si="1"/>
        <v>42559.993576388886</v>
      </c>
    </row>
    <row r="65" spans="1:7" x14ac:dyDescent="0.25">
      <c r="A65" s="8">
        <v>42560.179502314815</v>
      </c>
      <c r="B65" s="27" t="s">
        <v>359</v>
      </c>
      <c r="C65" s="27" t="s">
        <v>639</v>
      </c>
      <c r="D65" s="27">
        <v>1360000</v>
      </c>
      <c r="E65" s="27" t="s">
        <v>640</v>
      </c>
      <c r="F65" s="27" t="str">
        <f t="shared" si="0"/>
        <v>rtdc.l.rtdc.4016:itc</v>
      </c>
      <c r="G65" s="8">
        <f t="shared" si="1"/>
        <v>42560.179502314815</v>
      </c>
    </row>
    <row r="66" spans="1:7" x14ac:dyDescent="0.25">
      <c r="A66" s="8">
        <v>42559.248761574076</v>
      </c>
      <c r="B66" s="27" t="s">
        <v>143</v>
      </c>
      <c r="C66" s="27" t="s">
        <v>356</v>
      </c>
      <c r="D66" s="27">
        <v>1840000</v>
      </c>
      <c r="E66" s="27" t="s">
        <v>114</v>
      </c>
      <c r="F66" s="27" t="str">
        <f t="shared" ref="F66:F129" si="2">B66</f>
        <v>rtdc.l.rtdc.4044:itc</v>
      </c>
      <c r="G66" s="8">
        <f t="shared" ref="G66:G129" si="3">A66</f>
        <v>42559.248761574076</v>
      </c>
    </row>
    <row r="67" spans="1:7" x14ac:dyDescent="0.25">
      <c r="A67" s="8">
        <v>42560.13140046296</v>
      </c>
      <c r="B67" s="27" t="s">
        <v>150</v>
      </c>
      <c r="C67" s="27" t="s">
        <v>641</v>
      </c>
      <c r="D67" s="27">
        <v>1840000</v>
      </c>
      <c r="E67" s="27" t="s">
        <v>114</v>
      </c>
      <c r="F67" s="27" t="str">
        <f t="shared" si="2"/>
        <v>rtdc.l.rtdc.4007:itc</v>
      </c>
      <c r="G67" s="8">
        <f t="shared" si="3"/>
        <v>42560.13140046296</v>
      </c>
    </row>
    <row r="68" spans="1:7" x14ac:dyDescent="0.25">
      <c r="A68" s="8">
        <v>42559.569062499999</v>
      </c>
      <c r="B68" s="27" t="s">
        <v>119</v>
      </c>
      <c r="C68" s="27" t="s">
        <v>509</v>
      </c>
      <c r="D68" s="27">
        <v>1230000</v>
      </c>
      <c r="E68" s="27" t="s">
        <v>391</v>
      </c>
      <c r="F68" s="27" t="str">
        <f t="shared" si="2"/>
        <v>rtdc.l.rtdc.4011:itc</v>
      </c>
      <c r="G68" s="8">
        <f t="shared" si="3"/>
        <v>42559.569062499999</v>
      </c>
    </row>
    <row r="69" spans="1:7" x14ac:dyDescent="0.25">
      <c r="A69" s="8">
        <v>42560.017152777778</v>
      </c>
      <c r="B69" s="27" t="s">
        <v>143</v>
      </c>
      <c r="C69" s="27" t="s">
        <v>634</v>
      </c>
      <c r="D69" s="27">
        <v>1240000</v>
      </c>
      <c r="E69" s="27" t="s">
        <v>149</v>
      </c>
      <c r="F69" s="27" t="str">
        <f t="shared" si="2"/>
        <v>rtdc.l.rtdc.4044:itc</v>
      </c>
      <c r="G69" s="8">
        <f t="shared" si="3"/>
        <v>42560.017152777778</v>
      </c>
    </row>
    <row r="70" spans="1:7" x14ac:dyDescent="0.25">
      <c r="A70" s="8">
        <v>42559.694930555554</v>
      </c>
      <c r="B70" s="27" t="s">
        <v>126</v>
      </c>
      <c r="C70" s="27" t="s">
        <v>511</v>
      </c>
      <c r="D70" s="27">
        <v>880000</v>
      </c>
      <c r="E70" s="27" t="s">
        <v>138</v>
      </c>
      <c r="F70" s="27" t="str">
        <f t="shared" si="2"/>
        <v>rtdc.l.rtdc.4028:itc</v>
      </c>
      <c r="G70" s="8">
        <f t="shared" si="3"/>
        <v>42559.694930555554</v>
      </c>
    </row>
    <row r="71" spans="1:7" x14ac:dyDescent="0.25">
      <c r="A71" s="8">
        <v>42559.99695601852</v>
      </c>
      <c r="B71" s="27" t="s">
        <v>74</v>
      </c>
      <c r="C71" s="27" t="s">
        <v>632</v>
      </c>
      <c r="D71" s="27">
        <v>1770000</v>
      </c>
      <c r="E71" s="27" t="s">
        <v>141</v>
      </c>
      <c r="F71" s="27" t="str">
        <f t="shared" si="2"/>
        <v>rtdc.l.rtdc.4020:itc</v>
      </c>
      <c r="G71" s="8">
        <f t="shared" si="3"/>
        <v>42559.99695601852</v>
      </c>
    </row>
    <row r="72" spans="1:7" x14ac:dyDescent="0.25">
      <c r="A72" s="8">
        <v>42559.714004629626</v>
      </c>
      <c r="B72" s="27" t="s">
        <v>123</v>
      </c>
      <c r="C72" s="27" t="s">
        <v>513</v>
      </c>
      <c r="D72" s="27">
        <v>1120000</v>
      </c>
      <c r="E72" s="27" t="s">
        <v>144</v>
      </c>
      <c r="F72" s="27" t="str">
        <f t="shared" si="2"/>
        <v>rtdc.l.rtdc.4014:itc</v>
      </c>
      <c r="G72" s="8">
        <f t="shared" si="3"/>
        <v>42559.714004629626</v>
      </c>
    </row>
    <row r="73" spans="1:7" x14ac:dyDescent="0.25">
      <c r="A73" s="8">
        <v>42559.953043981484</v>
      </c>
      <c r="B73" s="27" t="s">
        <v>73</v>
      </c>
      <c r="C73" s="27" t="s">
        <v>624</v>
      </c>
      <c r="D73" s="27">
        <v>1770000</v>
      </c>
      <c r="E73" s="27" t="s">
        <v>141</v>
      </c>
      <c r="F73" s="27" t="str">
        <f t="shared" si="2"/>
        <v>rtdc.l.rtdc.4019:itc</v>
      </c>
      <c r="G73" s="8">
        <f t="shared" si="3"/>
        <v>42559.953043981484</v>
      </c>
    </row>
    <row r="74" spans="1:7" x14ac:dyDescent="0.25">
      <c r="A74" s="8">
        <v>42559.732928240737</v>
      </c>
      <c r="B74" s="27" t="s">
        <v>131</v>
      </c>
      <c r="C74" s="27" t="s">
        <v>515</v>
      </c>
      <c r="D74" s="27">
        <v>1180000</v>
      </c>
      <c r="E74" s="27" t="s">
        <v>516</v>
      </c>
      <c r="F74" s="27" t="str">
        <f t="shared" si="2"/>
        <v>rtdc.l.rtdc.4027:itc</v>
      </c>
      <c r="G74" s="8">
        <f t="shared" si="3"/>
        <v>42559.732928240737</v>
      </c>
    </row>
    <row r="75" spans="1:7" x14ac:dyDescent="0.25">
      <c r="A75" s="8">
        <v>42559.869837962964</v>
      </c>
      <c r="B75" s="27" t="s">
        <v>73</v>
      </c>
      <c r="C75" s="27" t="s">
        <v>610</v>
      </c>
      <c r="D75" s="27">
        <v>1770000</v>
      </c>
      <c r="E75" s="27" t="s">
        <v>141</v>
      </c>
      <c r="F75" s="27" t="str">
        <f t="shared" si="2"/>
        <v>rtdc.l.rtdc.4019:itc</v>
      </c>
      <c r="G75" s="8">
        <f t="shared" si="3"/>
        <v>42559.869837962964</v>
      </c>
    </row>
    <row r="76" spans="1:7" x14ac:dyDescent="0.25">
      <c r="A76" s="8">
        <v>42559.757893518516</v>
      </c>
      <c r="B76" s="27" t="s">
        <v>359</v>
      </c>
      <c r="C76" s="27" t="s">
        <v>592</v>
      </c>
      <c r="D76" s="27">
        <v>1770000</v>
      </c>
      <c r="E76" s="27" t="s">
        <v>141</v>
      </c>
      <c r="F76" s="27" t="str">
        <f t="shared" si="2"/>
        <v>rtdc.l.rtdc.4016:itc</v>
      </c>
      <c r="G76" s="8">
        <f t="shared" si="3"/>
        <v>42559.757893518516</v>
      </c>
    </row>
    <row r="77" spans="1:7" x14ac:dyDescent="0.25">
      <c r="A77" s="8">
        <v>42559.85056712963</v>
      </c>
      <c r="B77" s="27" t="s">
        <v>143</v>
      </c>
      <c r="C77" s="27" t="s">
        <v>613</v>
      </c>
      <c r="D77" s="27">
        <v>1240000</v>
      </c>
      <c r="E77" s="27" t="s">
        <v>149</v>
      </c>
      <c r="F77" s="27" t="str">
        <f t="shared" si="2"/>
        <v>rtdc.l.rtdc.4044:itc</v>
      </c>
      <c r="G77" s="8">
        <f t="shared" si="3"/>
        <v>42559.85056712963</v>
      </c>
    </row>
    <row r="78" spans="1:7" x14ac:dyDescent="0.25">
      <c r="A78" s="8">
        <v>42559.925416666665</v>
      </c>
      <c r="B78" s="27" t="s">
        <v>120</v>
      </c>
      <c r="C78" s="27" t="s">
        <v>621</v>
      </c>
      <c r="D78" s="27">
        <v>1180000</v>
      </c>
      <c r="E78" s="27" t="s">
        <v>516</v>
      </c>
      <c r="F78" s="27" t="str">
        <f t="shared" si="2"/>
        <v>rtdc.l.rtdc.4012:itc</v>
      </c>
      <c r="G78" s="8">
        <f t="shared" si="3"/>
        <v>42559.925416666665</v>
      </c>
    </row>
    <row r="79" spans="1:7" x14ac:dyDescent="0.25">
      <c r="A79" s="8">
        <v>42559.810208333336</v>
      </c>
      <c r="B79" s="27" t="s">
        <v>119</v>
      </c>
      <c r="C79" s="27" t="s">
        <v>598</v>
      </c>
      <c r="D79" s="27">
        <v>1180000</v>
      </c>
      <c r="E79" s="27" t="s">
        <v>516</v>
      </c>
      <c r="F79" s="27" t="str">
        <f t="shared" si="2"/>
        <v>rtdc.l.rtdc.4011:itc</v>
      </c>
      <c r="G79" s="8">
        <f t="shared" si="3"/>
        <v>42559.810208333336</v>
      </c>
    </row>
    <row r="80" spans="1:7" x14ac:dyDescent="0.25">
      <c r="A80" s="8">
        <v>42560.011342592596</v>
      </c>
      <c r="B80" s="27" t="s">
        <v>120</v>
      </c>
      <c r="C80" s="27" t="s">
        <v>631</v>
      </c>
      <c r="D80" s="27">
        <v>1180000</v>
      </c>
      <c r="E80" s="27" t="s">
        <v>516</v>
      </c>
      <c r="F80" s="27" t="str">
        <f t="shared" si="2"/>
        <v>rtdc.l.rtdc.4012:itc</v>
      </c>
      <c r="G80" s="8">
        <f t="shared" si="3"/>
        <v>42560.011342592596</v>
      </c>
    </row>
    <row r="81" spans="1:7" x14ac:dyDescent="0.25">
      <c r="A81" s="8">
        <v>42559.808067129627</v>
      </c>
      <c r="B81" s="27" t="s">
        <v>147</v>
      </c>
      <c r="C81" s="27" t="s">
        <v>596</v>
      </c>
      <c r="D81" s="27">
        <v>1240000</v>
      </c>
      <c r="E81" s="27" t="s">
        <v>149</v>
      </c>
      <c r="F81" s="27" t="str">
        <f t="shared" si="2"/>
        <v>rtdc.l.rtdc.4043:itc</v>
      </c>
      <c r="G81" s="8">
        <f t="shared" si="3"/>
        <v>42559.808067129627</v>
      </c>
    </row>
    <row r="82" spans="1:7" x14ac:dyDescent="0.25">
      <c r="A82" s="8">
        <v>42559.126712962963</v>
      </c>
      <c r="B82" s="27" t="s">
        <v>119</v>
      </c>
      <c r="C82" s="27" t="s">
        <v>336</v>
      </c>
      <c r="D82" s="27">
        <v>1830000</v>
      </c>
      <c r="E82" s="27" t="s">
        <v>137</v>
      </c>
      <c r="F82" s="27" t="str">
        <f t="shared" si="2"/>
        <v>rtdc.l.rtdc.4011:itc</v>
      </c>
      <c r="G82" s="8">
        <f t="shared" si="3"/>
        <v>42559.126712962963</v>
      </c>
    </row>
    <row r="83" spans="1:7" x14ac:dyDescent="0.25">
      <c r="A83" s="8">
        <v>42559.76767361111</v>
      </c>
      <c r="B83" s="27" t="s">
        <v>120</v>
      </c>
      <c r="C83" s="27" t="s">
        <v>584</v>
      </c>
      <c r="D83" s="27">
        <v>2010000</v>
      </c>
      <c r="E83" s="27" t="s">
        <v>217</v>
      </c>
      <c r="F83" s="27" t="str">
        <f t="shared" si="2"/>
        <v>rtdc.l.rtdc.4012:itc</v>
      </c>
      <c r="G83" s="8">
        <f t="shared" si="3"/>
        <v>42559.76767361111</v>
      </c>
    </row>
    <row r="84" spans="1:7" x14ac:dyDescent="0.25">
      <c r="A84" s="8">
        <v>42559.233865740738</v>
      </c>
      <c r="B84" s="27" t="s">
        <v>125</v>
      </c>
      <c r="C84" s="27" t="s">
        <v>347</v>
      </c>
      <c r="D84" s="27">
        <v>1480000</v>
      </c>
      <c r="E84" s="27" t="s">
        <v>121</v>
      </c>
      <c r="F84" s="27" t="str">
        <f t="shared" si="2"/>
        <v>rtdc.l.rtdc.4025:itc</v>
      </c>
      <c r="G84" s="8">
        <f t="shared" si="3"/>
        <v>42559.233865740738</v>
      </c>
    </row>
    <row r="85" spans="1:7" x14ac:dyDescent="0.25">
      <c r="A85" s="8">
        <v>42559.766909722224</v>
      </c>
      <c r="B85" s="27" t="s">
        <v>143</v>
      </c>
      <c r="C85" s="27" t="s">
        <v>595</v>
      </c>
      <c r="D85" s="27">
        <v>1240000</v>
      </c>
      <c r="E85" s="27" t="s">
        <v>149</v>
      </c>
      <c r="F85" s="27" t="str">
        <f t="shared" si="2"/>
        <v>rtdc.l.rtdc.4044:itc</v>
      </c>
      <c r="G85" s="8">
        <f t="shared" si="3"/>
        <v>42559.766909722224</v>
      </c>
    </row>
    <row r="86" spans="1:7" x14ac:dyDescent="0.25">
      <c r="A86" s="8">
        <v>42559.234814814816</v>
      </c>
      <c r="B86" s="27" t="s">
        <v>124</v>
      </c>
      <c r="C86" s="27" t="s">
        <v>346</v>
      </c>
      <c r="D86" s="27">
        <v>1310000</v>
      </c>
      <c r="E86" s="27" t="s">
        <v>116</v>
      </c>
      <c r="F86" s="27" t="str">
        <f t="shared" si="2"/>
        <v>rtdc.l.rtdc.4013:itc</v>
      </c>
      <c r="G86" s="8">
        <f t="shared" si="3"/>
        <v>42559.234814814816</v>
      </c>
    </row>
    <row r="87" spans="1:7" x14ac:dyDescent="0.25">
      <c r="A87" s="8">
        <v>42559.763287037036</v>
      </c>
      <c r="B87" s="27" t="s">
        <v>120</v>
      </c>
      <c r="C87" s="27" t="s">
        <v>584</v>
      </c>
      <c r="D87" s="27">
        <v>2010000</v>
      </c>
      <c r="E87" s="27" t="s">
        <v>217</v>
      </c>
      <c r="F87" s="27" t="str">
        <f t="shared" si="2"/>
        <v>rtdc.l.rtdc.4012:itc</v>
      </c>
      <c r="G87" s="8">
        <f t="shared" si="3"/>
        <v>42559.763287037036</v>
      </c>
    </row>
    <row r="88" spans="1:7" x14ac:dyDescent="0.25">
      <c r="A88" s="8">
        <v>42559.443969907406</v>
      </c>
      <c r="B88" s="27" t="s">
        <v>359</v>
      </c>
      <c r="C88" s="27" t="s">
        <v>380</v>
      </c>
      <c r="D88" s="27">
        <v>900000</v>
      </c>
      <c r="E88" s="27" t="s">
        <v>133</v>
      </c>
      <c r="F88" s="27" t="str">
        <f t="shared" si="2"/>
        <v>rtdc.l.rtdc.4016:itc</v>
      </c>
      <c r="G88" s="8">
        <f t="shared" si="3"/>
        <v>42559.443969907406</v>
      </c>
    </row>
    <row r="89" spans="1:7" x14ac:dyDescent="0.25">
      <c r="A89" s="8">
        <v>42559.746793981481</v>
      </c>
      <c r="B89" s="27" t="s">
        <v>176</v>
      </c>
      <c r="C89" s="27" t="s">
        <v>507</v>
      </c>
      <c r="D89" s="27">
        <v>890000</v>
      </c>
      <c r="E89" s="27" t="s">
        <v>178</v>
      </c>
      <c r="F89" s="27" t="str">
        <f t="shared" si="2"/>
        <v>rtdc.l.rtdc.4039:itc</v>
      </c>
      <c r="G89" s="8">
        <f t="shared" si="3"/>
        <v>42559.746793981481</v>
      </c>
    </row>
    <row r="90" spans="1:7" x14ac:dyDescent="0.25">
      <c r="A90" s="8">
        <v>42559.582187499997</v>
      </c>
      <c r="B90" s="27" t="s">
        <v>131</v>
      </c>
      <c r="C90" s="27" t="s">
        <v>520</v>
      </c>
      <c r="D90" s="27">
        <v>880000</v>
      </c>
      <c r="E90" s="27" t="s">
        <v>138</v>
      </c>
      <c r="F90" s="27" t="str">
        <f t="shared" si="2"/>
        <v>rtdc.l.rtdc.4027:itc</v>
      </c>
      <c r="G90" s="8">
        <f t="shared" si="3"/>
        <v>42559.582187499997</v>
      </c>
    </row>
    <row r="91" spans="1:7" x14ac:dyDescent="0.25">
      <c r="A91" s="8">
        <v>42559.70516203704</v>
      </c>
      <c r="B91" s="27" t="s">
        <v>348</v>
      </c>
      <c r="C91" s="27" t="s">
        <v>508</v>
      </c>
      <c r="D91" s="27">
        <v>900000</v>
      </c>
      <c r="E91" s="27" t="s">
        <v>133</v>
      </c>
      <c r="F91" s="27" t="str">
        <f t="shared" si="2"/>
        <v>rtdc.l.rtdc.4015:itc</v>
      </c>
      <c r="G91" s="8">
        <f t="shared" si="3"/>
        <v>42559.70516203704</v>
      </c>
    </row>
    <row r="92" spans="1:7" x14ac:dyDescent="0.25">
      <c r="A92" s="8">
        <v>42559.771562499998</v>
      </c>
      <c r="B92" s="27" t="s">
        <v>126</v>
      </c>
      <c r="C92" s="27" t="s">
        <v>586</v>
      </c>
      <c r="D92" s="27">
        <v>1180000</v>
      </c>
      <c r="E92" s="27" t="s">
        <v>516</v>
      </c>
      <c r="F92" s="27" t="str">
        <f t="shared" si="2"/>
        <v>rtdc.l.rtdc.4028:itc</v>
      </c>
      <c r="G92" s="8">
        <f t="shared" si="3"/>
        <v>42559.771562499998</v>
      </c>
    </row>
    <row r="93" spans="1:7" x14ac:dyDescent="0.25">
      <c r="A93" s="8">
        <v>42559.702650462961</v>
      </c>
      <c r="B93" s="27" t="s">
        <v>143</v>
      </c>
      <c r="C93" s="27" t="s">
        <v>510</v>
      </c>
      <c r="D93" s="27">
        <v>1090000</v>
      </c>
      <c r="E93" s="27" t="s">
        <v>134</v>
      </c>
      <c r="F93" s="27" t="str">
        <f t="shared" si="2"/>
        <v>rtdc.l.rtdc.4044:itc</v>
      </c>
      <c r="G93" s="8">
        <f t="shared" si="3"/>
        <v>42559.702650462961</v>
      </c>
    </row>
    <row r="94" spans="1:7" x14ac:dyDescent="0.25">
      <c r="A94" s="8">
        <v>42559.216226851851</v>
      </c>
      <c r="B94" s="27" t="s">
        <v>68</v>
      </c>
      <c r="C94" s="27" t="s">
        <v>341</v>
      </c>
      <c r="D94" s="27">
        <v>1340000</v>
      </c>
      <c r="E94" s="27" t="s">
        <v>140</v>
      </c>
      <c r="F94" s="27" t="str">
        <f t="shared" si="2"/>
        <v>rtdc.l.rtdc.4032:itc</v>
      </c>
      <c r="G94" s="8">
        <f t="shared" si="3"/>
        <v>42559.216226851851</v>
      </c>
    </row>
    <row r="95" spans="1:7" x14ac:dyDescent="0.25">
      <c r="A95" s="8">
        <v>42559.621064814812</v>
      </c>
      <c r="B95" s="27" t="s">
        <v>152</v>
      </c>
      <c r="C95" s="27" t="s">
        <v>512</v>
      </c>
      <c r="D95" s="27">
        <v>890000</v>
      </c>
      <c r="E95" s="27" t="s">
        <v>178</v>
      </c>
      <c r="F95" s="27" t="str">
        <f t="shared" si="2"/>
        <v>rtdc.l.rtdc.4040:itc</v>
      </c>
      <c r="G95" s="8">
        <f t="shared" si="3"/>
        <v>42559.621064814812</v>
      </c>
    </row>
    <row r="96" spans="1:7" x14ac:dyDescent="0.25">
      <c r="A96" s="8">
        <v>42559.299027777779</v>
      </c>
      <c r="B96" s="27" t="s">
        <v>359</v>
      </c>
      <c r="C96" s="27" t="s">
        <v>409</v>
      </c>
      <c r="D96" s="27">
        <v>2030000</v>
      </c>
      <c r="E96" s="27" t="s">
        <v>195</v>
      </c>
      <c r="F96" s="27" t="str">
        <f t="shared" si="2"/>
        <v>rtdc.l.rtdc.4016:itc</v>
      </c>
      <c r="G96" s="8">
        <f t="shared" si="3"/>
        <v>42559.299027777779</v>
      </c>
    </row>
    <row r="97" spans="1:7" x14ac:dyDescent="0.25">
      <c r="A97" s="8">
        <v>42559.588449074072</v>
      </c>
      <c r="B97" s="27" t="s">
        <v>176</v>
      </c>
      <c r="C97" s="27" t="s">
        <v>514</v>
      </c>
      <c r="D97" s="27">
        <v>890000</v>
      </c>
      <c r="E97" s="27" t="s">
        <v>178</v>
      </c>
      <c r="F97" s="27" t="str">
        <f t="shared" si="2"/>
        <v>rtdc.l.rtdc.4039:itc</v>
      </c>
      <c r="G97" s="8">
        <f t="shared" si="3"/>
        <v>42559.588449074072</v>
      </c>
    </row>
    <row r="98" spans="1:7" x14ac:dyDescent="0.25">
      <c r="A98" s="8">
        <v>42559.319004629629</v>
      </c>
      <c r="B98" s="27" t="s">
        <v>143</v>
      </c>
      <c r="C98" s="27" t="s">
        <v>410</v>
      </c>
      <c r="D98" s="27">
        <v>1840000</v>
      </c>
      <c r="E98" s="27" t="s">
        <v>114</v>
      </c>
      <c r="F98" s="27" t="str">
        <f t="shared" si="2"/>
        <v>rtdc.l.rtdc.4044:itc</v>
      </c>
      <c r="G98" s="8">
        <f t="shared" si="3"/>
        <v>42559.319004629629</v>
      </c>
    </row>
    <row r="99" spans="1:7" x14ac:dyDescent="0.25">
      <c r="A99" s="8">
        <v>42559.575300925928</v>
      </c>
      <c r="B99" s="27" t="s">
        <v>147</v>
      </c>
      <c r="C99" s="27" t="s">
        <v>517</v>
      </c>
      <c r="D99" s="27">
        <v>1090000</v>
      </c>
      <c r="E99" s="27" t="s">
        <v>134</v>
      </c>
      <c r="F99" s="27" t="str">
        <f t="shared" si="2"/>
        <v>rtdc.l.rtdc.4043:itc</v>
      </c>
      <c r="G99" s="8">
        <f t="shared" si="3"/>
        <v>42559.575300925928</v>
      </c>
    </row>
    <row r="100" spans="1:7" x14ac:dyDescent="0.25">
      <c r="A100" s="8">
        <v>42559.606979166667</v>
      </c>
      <c r="B100" s="27" t="s">
        <v>120</v>
      </c>
      <c r="C100" s="27" t="s">
        <v>493</v>
      </c>
      <c r="D100" s="27">
        <v>1230000</v>
      </c>
      <c r="E100" s="27" t="s">
        <v>391</v>
      </c>
      <c r="F100" s="27" t="str">
        <f t="shared" si="2"/>
        <v>rtdc.l.rtdc.4012:itc</v>
      </c>
      <c r="G100" s="8">
        <f t="shared" si="3"/>
        <v>42559.606979166667</v>
      </c>
    </row>
    <row r="101" spans="1:7" x14ac:dyDescent="0.25">
      <c r="A101" s="8">
        <v>42559.56627314815</v>
      </c>
      <c r="B101" s="27" t="s">
        <v>122</v>
      </c>
      <c r="C101" s="27" t="s">
        <v>518</v>
      </c>
      <c r="D101" s="27">
        <v>950000</v>
      </c>
      <c r="E101" s="27" t="s">
        <v>148</v>
      </c>
      <c r="F101" s="27" t="str">
        <f t="shared" si="2"/>
        <v>rtdc.l.rtdc.4026:itc</v>
      </c>
      <c r="G101" s="8">
        <f t="shared" si="3"/>
        <v>42559.56627314815</v>
      </c>
    </row>
    <row r="102" spans="1:7" x14ac:dyDescent="0.25">
      <c r="A102" s="8">
        <v>42559.664675925924</v>
      </c>
      <c r="B102" s="27" t="s">
        <v>147</v>
      </c>
      <c r="C102" s="27" t="s">
        <v>495</v>
      </c>
      <c r="D102" s="27">
        <v>1090000</v>
      </c>
      <c r="E102" s="27" t="s">
        <v>134</v>
      </c>
      <c r="F102" s="27" t="str">
        <f t="shared" si="2"/>
        <v>rtdc.l.rtdc.4043:itc</v>
      </c>
      <c r="G102" s="8">
        <f t="shared" si="3"/>
        <v>42559.664675925924</v>
      </c>
    </row>
    <row r="103" spans="1:7" x14ac:dyDescent="0.25">
      <c r="A103" s="8">
        <v>42559.494780092595</v>
      </c>
      <c r="B103" s="27" t="s">
        <v>119</v>
      </c>
      <c r="C103" s="27" t="s">
        <v>519</v>
      </c>
      <c r="D103" s="27">
        <v>1230000</v>
      </c>
      <c r="E103" s="27" t="s">
        <v>391</v>
      </c>
      <c r="F103" s="27" t="str">
        <f t="shared" si="2"/>
        <v>rtdc.l.rtdc.4011:itc</v>
      </c>
      <c r="G103" s="8">
        <f t="shared" si="3"/>
        <v>42559.494780092595</v>
      </c>
    </row>
    <row r="104" spans="1:7" x14ac:dyDescent="0.25">
      <c r="A104" s="8">
        <v>42559.706793981481</v>
      </c>
      <c r="B104" s="27" t="s">
        <v>348</v>
      </c>
      <c r="C104" s="27" t="s">
        <v>508</v>
      </c>
      <c r="D104" s="27">
        <v>900000</v>
      </c>
      <c r="E104" s="27" t="s">
        <v>133</v>
      </c>
      <c r="F104" s="27" t="str">
        <f t="shared" si="2"/>
        <v>rtdc.l.rtdc.4015:itc</v>
      </c>
      <c r="G104" s="8">
        <f t="shared" si="3"/>
        <v>42559.706793981481</v>
      </c>
    </row>
    <row r="105" spans="1:7" x14ac:dyDescent="0.25">
      <c r="A105" s="8">
        <v>42559.464386574073</v>
      </c>
      <c r="B105" s="27" t="s">
        <v>120</v>
      </c>
      <c r="C105" s="27" t="s">
        <v>382</v>
      </c>
      <c r="D105" s="27">
        <v>1230000</v>
      </c>
      <c r="E105" s="27" t="s">
        <v>391</v>
      </c>
      <c r="F105" s="27" t="str">
        <f t="shared" si="2"/>
        <v>rtdc.l.rtdc.4012:itc</v>
      </c>
      <c r="G105" s="8">
        <f t="shared" si="3"/>
        <v>42559.464386574073</v>
      </c>
    </row>
    <row r="106" spans="1:7" x14ac:dyDescent="0.25">
      <c r="A106" s="8">
        <v>42559.827233796299</v>
      </c>
      <c r="B106" s="27" t="s">
        <v>124</v>
      </c>
      <c r="C106" s="27" t="s">
        <v>642</v>
      </c>
      <c r="D106" s="27">
        <v>1540000</v>
      </c>
      <c r="E106" s="27" t="s">
        <v>145</v>
      </c>
      <c r="F106" s="27" t="str">
        <f t="shared" si="2"/>
        <v>rtdc.l.rtdc.4013:itc</v>
      </c>
      <c r="G106" s="8">
        <f t="shared" si="3"/>
        <v>42559.827233796299</v>
      </c>
    </row>
    <row r="107" spans="1:7" x14ac:dyDescent="0.25">
      <c r="A107" s="8">
        <v>42559.44290509259</v>
      </c>
      <c r="B107" s="27" t="s">
        <v>176</v>
      </c>
      <c r="C107" s="27" t="s">
        <v>378</v>
      </c>
      <c r="D107" s="27">
        <v>1110000</v>
      </c>
      <c r="E107" s="27" t="s">
        <v>197</v>
      </c>
      <c r="F107" s="27" t="str">
        <f t="shared" si="2"/>
        <v>rtdc.l.rtdc.4039:itc</v>
      </c>
      <c r="G107" s="8">
        <f t="shared" si="3"/>
        <v>42559.44290509259</v>
      </c>
    </row>
    <row r="108" spans="1:7" x14ac:dyDescent="0.25">
      <c r="A108" s="8">
        <v>42559.501134259262</v>
      </c>
      <c r="B108" s="27" t="s">
        <v>147</v>
      </c>
      <c r="C108" s="27" t="s">
        <v>521</v>
      </c>
      <c r="D108" s="27">
        <v>1090000</v>
      </c>
      <c r="E108" s="27" t="s">
        <v>134</v>
      </c>
      <c r="F108" s="27" t="str">
        <f t="shared" si="2"/>
        <v>rtdc.l.rtdc.4043:itc</v>
      </c>
      <c r="G108" s="8">
        <f t="shared" si="3"/>
        <v>42559.501134259262</v>
      </c>
    </row>
    <row r="109" spans="1:7" x14ac:dyDescent="0.25">
      <c r="A109" s="8">
        <v>42559.419976851852</v>
      </c>
      <c r="B109" s="27" t="s">
        <v>113</v>
      </c>
      <c r="C109" s="27" t="s">
        <v>402</v>
      </c>
      <c r="D109" s="27">
        <v>1460000</v>
      </c>
      <c r="E109" s="27" t="s">
        <v>115</v>
      </c>
      <c r="F109" s="27" t="str">
        <f t="shared" si="2"/>
        <v>rtdc.l.rtdc.4038:itc</v>
      </c>
      <c r="G109" s="8">
        <f t="shared" si="3"/>
        <v>42559.419976851852</v>
      </c>
    </row>
    <row r="110" spans="1:7" x14ac:dyDescent="0.25">
      <c r="A110" s="8">
        <v>42559.591180555559</v>
      </c>
      <c r="B110" s="27" t="s">
        <v>359</v>
      </c>
      <c r="C110" s="27" t="s">
        <v>494</v>
      </c>
      <c r="D110" s="27">
        <v>900000</v>
      </c>
      <c r="E110" s="27" t="s">
        <v>133</v>
      </c>
      <c r="F110" s="27" t="str">
        <f t="shared" si="2"/>
        <v>rtdc.l.rtdc.4016:itc</v>
      </c>
      <c r="G110" s="8">
        <f t="shared" si="3"/>
        <v>42559.591180555559</v>
      </c>
    </row>
    <row r="111" spans="1:7" x14ac:dyDescent="0.25">
      <c r="A111" s="8">
        <v>42559.402870370373</v>
      </c>
      <c r="B111" s="27" t="s">
        <v>348</v>
      </c>
      <c r="C111" s="27" t="s">
        <v>395</v>
      </c>
      <c r="D111" s="27">
        <v>2030000</v>
      </c>
      <c r="E111" s="27" t="s">
        <v>195</v>
      </c>
      <c r="F111" s="27" t="str">
        <f t="shared" si="2"/>
        <v>rtdc.l.rtdc.4015:itc</v>
      </c>
      <c r="G111" s="8">
        <f t="shared" si="3"/>
        <v>42559.402870370373</v>
      </c>
    </row>
    <row r="112" spans="1:7" x14ac:dyDescent="0.25">
      <c r="A112" s="8">
        <v>42559.673090277778</v>
      </c>
      <c r="B112" s="27" t="s">
        <v>124</v>
      </c>
      <c r="C112" s="27" t="s">
        <v>498</v>
      </c>
      <c r="D112" s="27">
        <v>1120000</v>
      </c>
      <c r="E112" s="27" t="s">
        <v>144</v>
      </c>
      <c r="F112" s="27" t="str">
        <f t="shared" si="2"/>
        <v>rtdc.l.rtdc.4013:itc</v>
      </c>
      <c r="G112" s="8">
        <f t="shared" si="3"/>
        <v>42559.673090277778</v>
      </c>
    </row>
    <row r="113" spans="1:7" x14ac:dyDescent="0.25">
      <c r="A113" s="8">
        <v>42559.390949074077</v>
      </c>
      <c r="B113" s="27" t="s">
        <v>126</v>
      </c>
      <c r="C113" s="27" t="s">
        <v>396</v>
      </c>
      <c r="D113" s="27">
        <v>1830000</v>
      </c>
      <c r="E113" s="27" t="s">
        <v>137</v>
      </c>
      <c r="F113" s="27" t="str">
        <f t="shared" si="2"/>
        <v>rtdc.l.rtdc.4028:itc</v>
      </c>
      <c r="G113" s="8">
        <f t="shared" si="3"/>
        <v>42559.390949074077</v>
      </c>
    </row>
    <row r="114" spans="1:7" x14ac:dyDescent="0.25">
      <c r="A114" s="8">
        <v>42559.786192129628</v>
      </c>
      <c r="B114" s="27" t="s">
        <v>123</v>
      </c>
      <c r="C114" s="27" t="s">
        <v>597</v>
      </c>
      <c r="D114" s="27">
        <v>1540000</v>
      </c>
      <c r="E114" s="27" t="s">
        <v>145</v>
      </c>
      <c r="F114" s="27" t="str">
        <f t="shared" si="2"/>
        <v>rtdc.l.rtdc.4014:itc</v>
      </c>
      <c r="G114" s="8">
        <f t="shared" si="3"/>
        <v>42559.786192129628</v>
      </c>
    </row>
    <row r="115" spans="1:7" x14ac:dyDescent="0.25">
      <c r="A115" s="8">
        <v>42559.370671296296</v>
      </c>
      <c r="B115" s="27" t="s">
        <v>176</v>
      </c>
      <c r="C115" s="27" t="s">
        <v>403</v>
      </c>
      <c r="D115" s="27">
        <v>1110000</v>
      </c>
      <c r="E115" s="27" t="s">
        <v>197</v>
      </c>
      <c r="F115" s="27" t="str">
        <f t="shared" si="2"/>
        <v>rtdc.l.rtdc.4039:itc</v>
      </c>
      <c r="G115" s="8">
        <f t="shared" si="3"/>
        <v>42559.370671296296</v>
      </c>
    </row>
    <row r="116" spans="1:7" x14ac:dyDescent="0.25">
      <c r="A116" s="8">
        <v>42559.257650462961</v>
      </c>
      <c r="B116" s="27" t="s">
        <v>348</v>
      </c>
      <c r="C116" s="27" t="s">
        <v>349</v>
      </c>
      <c r="D116" s="27">
        <v>2030000</v>
      </c>
      <c r="E116" s="27" t="s">
        <v>195</v>
      </c>
      <c r="F116" s="27" t="str">
        <f t="shared" si="2"/>
        <v>rtdc.l.rtdc.4015:itc</v>
      </c>
      <c r="G116" s="8">
        <f t="shared" si="3"/>
        <v>42559.257650462961</v>
      </c>
    </row>
    <row r="117" spans="1:7" x14ac:dyDescent="0.25">
      <c r="A117" s="8">
        <v>42559.331458333334</v>
      </c>
      <c r="B117" s="27" t="s">
        <v>152</v>
      </c>
      <c r="C117" s="27" t="s">
        <v>399</v>
      </c>
      <c r="D117" s="27">
        <v>1110000</v>
      </c>
      <c r="E117" s="27" t="s">
        <v>197</v>
      </c>
      <c r="F117" s="27" t="str">
        <f t="shared" si="2"/>
        <v>rtdc.l.rtdc.4040:itc</v>
      </c>
      <c r="G117" s="8">
        <f t="shared" si="3"/>
        <v>42559.331458333334</v>
      </c>
    </row>
    <row r="118" spans="1:7" x14ac:dyDescent="0.25">
      <c r="A118" s="8">
        <v>42559.264432870368</v>
      </c>
      <c r="B118" s="27" t="s">
        <v>113</v>
      </c>
      <c r="C118" s="27" t="s">
        <v>353</v>
      </c>
      <c r="D118" s="27">
        <v>1460000</v>
      </c>
      <c r="E118" s="27" t="s">
        <v>115</v>
      </c>
      <c r="F118" s="27" t="str">
        <f t="shared" si="2"/>
        <v>rtdc.l.rtdc.4038:itc</v>
      </c>
      <c r="G118" s="8">
        <f t="shared" si="3"/>
        <v>42559.264432870368</v>
      </c>
    </row>
    <row r="119" spans="1:7" x14ac:dyDescent="0.25">
      <c r="A119" s="8">
        <v>42559.196076388886</v>
      </c>
      <c r="B119" s="27" t="s">
        <v>123</v>
      </c>
      <c r="C119" s="27" t="s">
        <v>334</v>
      </c>
      <c r="D119" s="27">
        <v>1310000</v>
      </c>
      <c r="E119" s="27" t="s">
        <v>116</v>
      </c>
      <c r="F119" s="27" t="str">
        <f t="shared" si="2"/>
        <v>rtdc.l.rtdc.4014:itc</v>
      </c>
      <c r="G119" s="8">
        <f t="shared" si="3"/>
        <v>42559.196076388886</v>
      </c>
    </row>
    <row r="120" spans="1:7" x14ac:dyDescent="0.25">
      <c r="A120" s="8">
        <v>42559.380462962959</v>
      </c>
      <c r="B120" s="27" t="s">
        <v>124</v>
      </c>
      <c r="C120" s="27" t="s">
        <v>374</v>
      </c>
      <c r="D120" s="27">
        <v>1310000</v>
      </c>
      <c r="E120" s="27" t="s">
        <v>116</v>
      </c>
      <c r="F120" s="27" t="str">
        <f t="shared" si="2"/>
        <v>rtdc.l.rtdc.4013:itc</v>
      </c>
      <c r="G120" s="8">
        <f t="shared" si="3"/>
        <v>42559.380462962959</v>
      </c>
    </row>
    <row r="121" spans="1:7" x14ac:dyDescent="0.25">
      <c r="A121" s="8">
        <v>42559.354490740741</v>
      </c>
      <c r="B121" s="27" t="s">
        <v>77</v>
      </c>
      <c r="C121" s="27" t="s">
        <v>404</v>
      </c>
      <c r="D121" s="27">
        <v>1340000</v>
      </c>
      <c r="E121" s="27" t="s">
        <v>140</v>
      </c>
      <c r="F121" s="27" t="str">
        <f t="shared" si="2"/>
        <v>rtdc.l.rtdc.4031:itc</v>
      </c>
      <c r="G121" s="8">
        <f t="shared" si="3"/>
        <v>42559.354490740741</v>
      </c>
    </row>
    <row r="122" spans="1:7" x14ac:dyDescent="0.25">
      <c r="A122" s="8">
        <v>42559.389305555553</v>
      </c>
      <c r="B122" s="35" t="s">
        <v>120</v>
      </c>
      <c r="C122" s="27" t="s">
        <v>375</v>
      </c>
      <c r="D122" s="27">
        <v>2040000</v>
      </c>
      <c r="E122" s="27" t="s">
        <v>216</v>
      </c>
      <c r="F122" s="27" t="str">
        <f t="shared" si="2"/>
        <v>rtdc.l.rtdc.4012:itc</v>
      </c>
      <c r="G122" s="8">
        <f t="shared" si="3"/>
        <v>42559.389305555553</v>
      </c>
    </row>
    <row r="123" spans="1:7" x14ac:dyDescent="0.25">
      <c r="A123" s="8">
        <v>42559.350324074076</v>
      </c>
      <c r="B123" s="27" t="s">
        <v>119</v>
      </c>
      <c r="C123" s="27" t="s">
        <v>405</v>
      </c>
      <c r="D123" s="27">
        <v>2040000</v>
      </c>
      <c r="E123" s="27" t="s">
        <v>216</v>
      </c>
      <c r="F123" s="27" t="str">
        <f t="shared" si="2"/>
        <v>rtdc.l.rtdc.4011:itc</v>
      </c>
      <c r="G123" s="8">
        <f t="shared" si="3"/>
        <v>42559.350324074076</v>
      </c>
    </row>
    <row r="124" spans="1:7" x14ac:dyDescent="0.25">
      <c r="A124" s="8">
        <v>42559.52616898148</v>
      </c>
      <c r="B124" s="27" t="s">
        <v>124</v>
      </c>
      <c r="C124" s="27" t="s">
        <v>489</v>
      </c>
      <c r="D124" s="27">
        <v>1120000</v>
      </c>
      <c r="E124" s="27" t="s">
        <v>144</v>
      </c>
      <c r="F124" s="27" t="str">
        <f t="shared" si="2"/>
        <v>rtdc.l.rtdc.4013:itc</v>
      </c>
      <c r="G124" s="8">
        <f t="shared" si="3"/>
        <v>42559.52616898148</v>
      </c>
    </row>
    <row r="125" spans="1:7" x14ac:dyDescent="0.25">
      <c r="A125" s="8">
        <v>42559.338495370372</v>
      </c>
      <c r="B125" s="27" t="s">
        <v>68</v>
      </c>
      <c r="C125" s="27" t="s">
        <v>369</v>
      </c>
      <c r="D125" s="27">
        <v>1340000</v>
      </c>
      <c r="E125" s="27" t="s">
        <v>140</v>
      </c>
      <c r="F125" s="27" t="str">
        <f t="shared" si="2"/>
        <v>rtdc.l.rtdc.4032:itc</v>
      </c>
      <c r="G125" s="8">
        <f t="shared" si="3"/>
        <v>42559.338495370372</v>
      </c>
    </row>
    <row r="126" spans="1:7" x14ac:dyDescent="0.25">
      <c r="A126" s="8">
        <v>42559.526261574072</v>
      </c>
      <c r="B126" s="27" t="s">
        <v>120</v>
      </c>
      <c r="C126" s="27" t="s">
        <v>524</v>
      </c>
      <c r="D126" s="27">
        <v>1230000</v>
      </c>
      <c r="E126" s="27" t="s">
        <v>391</v>
      </c>
      <c r="F126" s="27" t="str">
        <f t="shared" si="2"/>
        <v>rtdc.l.rtdc.4012:itc</v>
      </c>
      <c r="G126" s="8">
        <f t="shared" si="3"/>
        <v>42559.526261574072</v>
      </c>
    </row>
    <row r="127" spans="1:7" x14ac:dyDescent="0.25">
      <c r="A127" s="8">
        <v>42559.325358796297</v>
      </c>
      <c r="B127" s="27" t="s">
        <v>77</v>
      </c>
      <c r="C127" s="27" t="s">
        <v>367</v>
      </c>
      <c r="D127" s="27">
        <v>1340000</v>
      </c>
      <c r="E127" s="27" t="s">
        <v>140</v>
      </c>
      <c r="F127" s="27" t="str">
        <f t="shared" si="2"/>
        <v>rtdc.l.rtdc.4031:itc</v>
      </c>
      <c r="G127" s="8">
        <f t="shared" si="3"/>
        <v>42559.325358796297</v>
      </c>
    </row>
    <row r="128" spans="1:7" x14ac:dyDescent="0.25">
      <c r="A128" s="8">
        <v>42559.652268518519</v>
      </c>
      <c r="B128" s="27" t="s">
        <v>131</v>
      </c>
      <c r="C128" s="27" t="s">
        <v>497</v>
      </c>
      <c r="D128" s="27">
        <v>880000</v>
      </c>
      <c r="E128" s="27" t="s">
        <v>138</v>
      </c>
      <c r="F128" s="27" t="str">
        <f t="shared" si="2"/>
        <v>rtdc.l.rtdc.4027:itc</v>
      </c>
      <c r="G128" s="8">
        <f t="shared" si="3"/>
        <v>42559.652268518519</v>
      </c>
    </row>
    <row r="129" spans="1:7" x14ac:dyDescent="0.25">
      <c r="A129" s="8">
        <v>42559.298136574071</v>
      </c>
      <c r="B129" s="27" t="s">
        <v>176</v>
      </c>
      <c r="C129" s="27" t="s">
        <v>366</v>
      </c>
      <c r="D129" s="27">
        <v>1110000</v>
      </c>
      <c r="E129" s="27" t="s">
        <v>197</v>
      </c>
      <c r="F129" s="27" t="str">
        <f t="shared" si="2"/>
        <v>rtdc.l.rtdc.4039:itc</v>
      </c>
      <c r="G129" s="8">
        <f t="shared" si="3"/>
        <v>42559.298136574071</v>
      </c>
    </row>
    <row r="130" spans="1:7" x14ac:dyDescent="0.25">
      <c r="A130" s="8">
        <v>42559.705358796295</v>
      </c>
      <c r="B130" s="27" t="s">
        <v>152</v>
      </c>
      <c r="C130" s="27" t="s">
        <v>525</v>
      </c>
      <c r="D130" s="27">
        <v>890000</v>
      </c>
      <c r="E130" s="27" t="s">
        <v>178</v>
      </c>
      <c r="F130" s="27" t="str">
        <f t="shared" ref="F130:F193" si="4">B130</f>
        <v>rtdc.l.rtdc.4040:itc</v>
      </c>
      <c r="G130" s="8">
        <f t="shared" ref="G130:G193" si="5">A130</f>
        <v>42559.705358796295</v>
      </c>
    </row>
    <row r="131" spans="1:7" x14ac:dyDescent="0.25">
      <c r="A131" s="8">
        <v>42559.257928240739</v>
      </c>
      <c r="B131" s="27" t="s">
        <v>68</v>
      </c>
      <c r="C131" s="27" t="s">
        <v>335</v>
      </c>
      <c r="D131" s="27">
        <v>1340000</v>
      </c>
      <c r="E131" s="27" t="s">
        <v>140</v>
      </c>
      <c r="F131" s="27" t="str">
        <f t="shared" si="4"/>
        <v>rtdc.l.rtdc.4032:itc</v>
      </c>
      <c r="G131" s="8">
        <f t="shared" si="5"/>
        <v>42559.257928240739</v>
      </c>
    </row>
    <row r="132" spans="1:7" x14ac:dyDescent="0.25">
      <c r="A132" s="8">
        <v>42559.764120370368</v>
      </c>
      <c r="B132" s="27" t="s">
        <v>120</v>
      </c>
      <c r="C132" s="27" t="s">
        <v>584</v>
      </c>
      <c r="D132" s="27">
        <v>2010000</v>
      </c>
      <c r="E132" s="27" t="s">
        <v>217</v>
      </c>
      <c r="F132" s="27" t="str">
        <f t="shared" si="4"/>
        <v>rtdc.l.rtdc.4012:itc</v>
      </c>
      <c r="G132" s="8">
        <f t="shared" si="5"/>
        <v>42559.764120370368</v>
      </c>
    </row>
    <row r="133" spans="1:7" x14ac:dyDescent="0.25">
      <c r="A133" s="8">
        <v>42559.244247685187</v>
      </c>
      <c r="B133" s="27" t="s">
        <v>120</v>
      </c>
      <c r="C133" s="27" t="s">
        <v>337</v>
      </c>
      <c r="D133" s="27">
        <v>2040000</v>
      </c>
      <c r="E133" s="27" t="s">
        <v>216</v>
      </c>
      <c r="F133" s="27" t="str">
        <f t="shared" si="4"/>
        <v>rtdc.l.rtdc.4012:itc</v>
      </c>
      <c r="G133" s="8">
        <f t="shared" si="5"/>
        <v>42559.244247685187</v>
      </c>
    </row>
    <row r="134" spans="1:7" x14ac:dyDescent="0.25">
      <c r="A134" s="8">
        <v>42559.797835648147</v>
      </c>
      <c r="B134" s="27" t="s">
        <v>348</v>
      </c>
      <c r="C134" s="27" t="s">
        <v>593</v>
      </c>
      <c r="D134" s="27">
        <v>1770000</v>
      </c>
      <c r="E134" s="27" t="s">
        <v>141</v>
      </c>
      <c r="F134" s="27" t="str">
        <f t="shared" si="4"/>
        <v>rtdc.l.rtdc.4015:itc</v>
      </c>
      <c r="G134" s="8">
        <f t="shared" si="5"/>
        <v>42559.797835648147</v>
      </c>
    </row>
    <row r="135" spans="1:7" x14ac:dyDescent="0.25">
      <c r="A135" s="8">
        <v>42560.078888888886</v>
      </c>
      <c r="B135" s="27" t="s">
        <v>124</v>
      </c>
      <c r="C135" s="27" t="s">
        <v>643</v>
      </c>
      <c r="D135" s="27">
        <v>630000</v>
      </c>
      <c r="E135" s="27" t="b">
        <v>1</v>
      </c>
      <c r="F135" s="27" t="str">
        <f t="shared" si="4"/>
        <v>rtdc.l.rtdc.4013:itc</v>
      </c>
      <c r="G135" s="8">
        <f t="shared" si="5"/>
        <v>42560.078888888886</v>
      </c>
    </row>
    <row r="136" spans="1:7" x14ac:dyDescent="0.25">
      <c r="A136" s="8">
        <v>42560.169085648151</v>
      </c>
      <c r="B136" s="27" t="s">
        <v>126</v>
      </c>
      <c r="C136" s="27" t="s">
        <v>644</v>
      </c>
      <c r="D136" s="27">
        <v>1840000</v>
      </c>
      <c r="E136" s="27" t="s">
        <v>114</v>
      </c>
      <c r="F136" s="27" t="str">
        <f t="shared" si="4"/>
        <v>rtdc.l.rtdc.4028:itc</v>
      </c>
      <c r="G136" s="8">
        <f t="shared" si="5"/>
        <v>42560.169085648151</v>
      </c>
    </row>
    <row r="137" spans="1:7" x14ac:dyDescent="0.25">
      <c r="A137" s="8">
        <v>42559.434131944443</v>
      </c>
      <c r="B137" s="27" t="s">
        <v>122</v>
      </c>
      <c r="C137" s="27" t="s">
        <v>376</v>
      </c>
      <c r="D137" s="27">
        <v>1480000</v>
      </c>
      <c r="E137" s="27" t="s">
        <v>121</v>
      </c>
      <c r="F137" s="27" t="str">
        <f t="shared" si="4"/>
        <v>rtdc.l.rtdc.4026:itc</v>
      </c>
      <c r="G137" s="8">
        <f t="shared" si="5"/>
        <v>42559.434131944443</v>
      </c>
    </row>
    <row r="138" spans="1:7" x14ac:dyDescent="0.25">
      <c r="A138" s="8">
        <v>42559.37908564815</v>
      </c>
      <c r="B138" s="27" t="s">
        <v>125</v>
      </c>
      <c r="C138" s="27" t="s">
        <v>418</v>
      </c>
      <c r="D138" s="27">
        <v>1480000</v>
      </c>
      <c r="E138" s="27" t="s">
        <v>121</v>
      </c>
      <c r="F138" s="27" t="str">
        <f t="shared" si="4"/>
        <v>rtdc.l.rtdc.4025:itc</v>
      </c>
      <c r="G138" s="8">
        <f t="shared" si="5"/>
        <v>42559.37908564815</v>
      </c>
    </row>
    <row r="139" spans="1:7" x14ac:dyDescent="0.25">
      <c r="A139" s="8">
        <v>42559.390532407408</v>
      </c>
      <c r="B139" s="27" t="s">
        <v>143</v>
      </c>
      <c r="C139" s="27" t="s">
        <v>406</v>
      </c>
      <c r="D139" s="27">
        <v>1840000</v>
      </c>
      <c r="E139" s="27" t="s">
        <v>114</v>
      </c>
      <c r="F139" s="27" t="str">
        <f t="shared" si="4"/>
        <v>rtdc.l.rtdc.4044:itc</v>
      </c>
      <c r="G139" s="8">
        <f t="shared" si="5"/>
        <v>42559.390532407408</v>
      </c>
    </row>
    <row r="140" spans="1:7" x14ac:dyDescent="0.25">
      <c r="A140" s="8">
        <v>42559.660162037035</v>
      </c>
      <c r="B140" s="27" t="s">
        <v>176</v>
      </c>
      <c r="C140" s="27" t="s">
        <v>527</v>
      </c>
      <c r="D140" s="27">
        <v>890000</v>
      </c>
      <c r="E140" s="27" t="s">
        <v>178</v>
      </c>
      <c r="F140" s="27" t="str">
        <f t="shared" si="4"/>
        <v>rtdc.l.rtdc.4039:itc</v>
      </c>
      <c r="G140" s="8">
        <f t="shared" si="5"/>
        <v>42559.660162037035</v>
      </c>
    </row>
    <row r="141" spans="1:7" x14ac:dyDescent="0.25">
      <c r="A141" s="8">
        <v>42559.826284722221</v>
      </c>
      <c r="B141" s="27" t="s">
        <v>124</v>
      </c>
      <c r="C141" s="27" t="s">
        <v>642</v>
      </c>
      <c r="D141" s="27">
        <v>1540000</v>
      </c>
      <c r="E141" s="27" t="s">
        <v>145</v>
      </c>
      <c r="F141" s="27" t="str">
        <f t="shared" si="4"/>
        <v>rtdc.l.rtdc.4013:itc</v>
      </c>
      <c r="G141" s="8">
        <f t="shared" si="5"/>
        <v>42559.826284722221</v>
      </c>
    </row>
    <row r="142" spans="1:7" x14ac:dyDescent="0.25">
      <c r="A142" s="8">
        <v>42559.58148148148</v>
      </c>
      <c r="B142" s="27" t="s">
        <v>131</v>
      </c>
      <c r="C142" s="27" t="s">
        <v>506</v>
      </c>
      <c r="D142" s="27">
        <v>880000</v>
      </c>
      <c r="E142" s="27" t="s">
        <v>138</v>
      </c>
      <c r="F142" s="27" t="str">
        <f t="shared" si="4"/>
        <v>rtdc.l.rtdc.4027:itc</v>
      </c>
      <c r="G142" s="8">
        <f t="shared" si="5"/>
        <v>42559.58148148148</v>
      </c>
    </row>
    <row r="143" spans="1:7" x14ac:dyDescent="0.25">
      <c r="A143" s="8">
        <v>42559.746805555558</v>
      </c>
      <c r="B143" s="27" t="s">
        <v>125</v>
      </c>
      <c r="C143" s="27" t="s">
        <v>535</v>
      </c>
      <c r="D143" s="27">
        <v>950000</v>
      </c>
      <c r="E143" s="27" t="s">
        <v>148</v>
      </c>
      <c r="F143" s="27" t="str">
        <f t="shared" si="4"/>
        <v>rtdc.l.rtdc.4025:itc</v>
      </c>
      <c r="G143" s="8">
        <f t="shared" si="5"/>
        <v>42559.746805555558</v>
      </c>
    </row>
    <row r="144" spans="1:7" x14ac:dyDescent="0.25">
      <c r="A144" s="8">
        <v>42559.690555555557</v>
      </c>
      <c r="B144" s="27" t="s">
        <v>74</v>
      </c>
      <c r="C144" s="27" t="s">
        <v>534</v>
      </c>
      <c r="D144" s="27">
        <v>1540000</v>
      </c>
      <c r="E144" s="27" t="s">
        <v>145</v>
      </c>
      <c r="F144" s="27" t="str">
        <f t="shared" si="4"/>
        <v>rtdc.l.rtdc.4020:itc</v>
      </c>
      <c r="G144" s="8">
        <f t="shared" si="5"/>
        <v>42559.690555555557</v>
      </c>
    </row>
    <row r="145" spans="1:7" x14ac:dyDescent="0.25">
      <c r="A145" s="8">
        <v>42559.156423611108</v>
      </c>
      <c r="B145" s="27" t="s">
        <v>150</v>
      </c>
      <c r="C145" s="27" t="s">
        <v>351</v>
      </c>
      <c r="D145" s="27">
        <v>1480000</v>
      </c>
      <c r="E145" s="27" t="s">
        <v>121</v>
      </c>
      <c r="F145" s="27" t="str">
        <f t="shared" si="4"/>
        <v>rtdc.l.rtdc.4007:itc</v>
      </c>
      <c r="G145" s="8">
        <f t="shared" si="5"/>
        <v>42559.156423611108</v>
      </c>
    </row>
    <row r="146" spans="1:7" x14ac:dyDescent="0.25">
      <c r="A146" s="8">
        <v>42559.257800925923</v>
      </c>
      <c r="B146" s="27" t="s">
        <v>152</v>
      </c>
      <c r="C146" s="27" t="s">
        <v>364</v>
      </c>
      <c r="D146" s="27">
        <v>1110000</v>
      </c>
      <c r="E146" s="27" t="s">
        <v>197</v>
      </c>
      <c r="F146" s="27" t="str">
        <f t="shared" si="4"/>
        <v>rtdc.l.rtdc.4040:itc</v>
      </c>
      <c r="G146" s="8">
        <f t="shared" si="5"/>
        <v>42559.257800925923</v>
      </c>
    </row>
    <row r="147" spans="1:7" x14ac:dyDescent="0.25">
      <c r="A147" s="8">
        <v>42559.914085648146</v>
      </c>
      <c r="B147" s="27" t="s">
        <v>74</v>
      </c>
      <c r="C147" s="27" t="s">
        <v>600</v>
      </c>
      <c r="D147" s="27">
        <v>1770000</v>
      </c>
      <c r="E147" s="27" t="s">
        <v>141</v>
      </c>
      <c r="F147" s="27" t="str">
        <f t="shared" si="4"/>
        <v>rtdc.l.rtdc.4020:itc</v>
      </c>
      <c r="G147" s="8">
        <f t="shared" si="5"/>
        <v>42559.914085648146</v>
      </c>
    </row>
    <row r="148" spans="1:7" x14ac:dyDescent="0.25">
      <c r="A148" s="8">
        <v>42559.269131944442</v>
      </c>
      <c r="B148" s="27" t="s">
        <v>122</v>
      </c>
      <c r="C148" s="27" t="s">
        <v>358</v>
      </c>
      <c r="D148" s="27">
        <v>1480000</v>
      </c>
      <c r="E148" s="27" t="s">
        <v>121</v>
      </c>
      <c r="F148" s="27" t="str">
        <f t="shared" si="4"/>
        <v>rtdc.l.rtdc.4026:itc</v>
      </c>
      <c r="G148" s="8">
        <f t="shared" si="5"/>
        <v>42559.269131944442</v>
      </c>
    </row>
    <row r="149" spans="1:7" x14ac:dyDescent="0.25">
      <c r="A149" s="8">
        <v>42559.887962962966</v>
      </c>
      <c r="B149" s="27" t="s">
        <v>119</v>
      </c>
      <c r="C149" s="27" t="s">
        <v>619</v>
      </c>
      <c r="D149" s="27">
        <v>1180000</v>
      </c>
      <c r="E149" s="27" t="s">
        <v>516</v>
      </c>
      <c r="F149" s="27" t="str">
        <f t="shared" si="4"/>
        <v>rtdc.l.rtdc.4011:itc</v>
      </c>
      <c r="G149" s="8">
        <f t="shared" si="5"/>
        <v>42559.887962962966</v>
      </c>
    </row>
    <row r="150" spans="1:7" x14ac:dyDescent="0.25">
      <c r="A150" s="8">
        <v>42559.285185185188</v>
      </c>
      <c r="B150" s="27" t="s">
        <v>147</v>
      </c>
      <c r="C150" s="27" t="s">
        <v>365</v>
      </c>
      <c r="D150" s="27">
        <v>1840000</v>
      </c>
      <c r="E150" s="27" t="s">
        <v>114</v>
      </c>
      <c r="F150" s="27" t="str">
        <f t="shared" si="4"/>
        <v>rtdc.l.rtdc.4043:itc</v>
      </c>
      <c r="G150" s="8">
        <f t="shared" si="5"/>
        <v>42559.285185185188</v>
      </c>
    </row>
    <row r="151" spans="1:7" x14ac:dyDescent="0.25">
      <c r="A151" s="8">
        <v>42559.661736111113</v>
      </c>
      <c r="B151" s="27" t="s">
        <v>359</v>
      </c>
      <c r="C151" s="27" t="s">
        <v>522</v>
      </c>
      <c r="D151" s="27">
        <v>900000</v>
      </c>
      <c r="E151" s="27" t="s">
        <v>133</v>
      </c>
      <c r="F151" s="27" t="str">
        <f t="shared" si="4"/>
        <v>rtdc.l.rtdc.4016:itc</v>
      </c>
      <c r="G151" s="8">
        <f t="shared" si="5"/>
        <v>42559.661736111113</v>
      </c>
    </row>
    <row r="152" spans="1:7" x14ac:dyDescent="0.25">
      <c r="A152" s="8">
        <v>42559.341053240743</v>
      </c>
      <c r="B152" s="27" t="s">
        <v>348</v>
      </c>
      <c r="C152" s="27" t="s">
        <v>371</v>
      </c>
      <c r="D152" s="27">
        <v>2030000</v>
      </c>
      <c r="E152" s="27" t="s">
        <v>195</v>
      </c>
      <c r="F152" s="27" t="str">
        <f t="shared" si="4"/>
        <v>rtdc.l.rtdc.4015:itc</v>
      </c>
      <c r="G152" s="8">
        <f t="shared" si="5"/>
        <v>42559.341053240743</v>
      </c>
    </row>
    <row r="153" spans="1:7" x14ac:dyDescent="0.25">
      <c r="A153" s="8">
        <v>42559.64912037037</v>
      </c>
      <c r="B153" s="27" t="s">
        <v>147</v>
      </c>
      <c r="C153" s="27" t="s">
        <v>495</v>
      </c>
      <c r="D153" s="27">
        <v>1090000</v>
      </c>
      <c r="E153" s="27" t="s">
        <v>134</v>
      </c>
      <c r="F153" s="27" t="str">
        <f t="shared" si="4"/>
        <v>rtdc.l.rtdc.4043:itc</v>
      </c>
      <c r="G153" s="8">
        <f t="shared" si="5"/>
        <v>42559.64912037037</v>
      </c>
    </row>
    <row r="154" spans="1:7" x14ac:dyDescent="0.25">
      <c r="A154" s="8">
        <v>42559.357476851852</v>
      </c>
      <c r="B154" s="27" t="s">
        <v>131</v>
      </c>
      <c r="C154" s="27" t="s">
        <v>417</v>
      </c>
      <c r="D154" s="27">
        <v>1830000</v>
      </c>
      <c r="E154" s="27" t="s">
        <v>137</v>
      </c>
      <c r="F154" s="27" t="str">
        <f t="shared" si="4"/>
        <v>rtdc.l.rtdc.4027:itc</v>
      </c>
      <c r="G154" s="8">
        <f t="shared" si="5"/>
        <v>42559.357476851852</v>
      </c>
    </row>
    <row r="155" spans="1:7" x14ac:dyDescent="0.25">
      <c r="A155" s="8">
        <v>42559.515150462961</v>
      </c>
      <c r="B155" s="27" t="s">
        <v>359</v>
      </c>
      <c r="C155" s="27" t="s">
        <v>523</v>
      </c>
      <c r="D155" s="27">
        <v>900000</v>
      </c>
      <c r="E155" s="27" t="s">
        <v>133</v>
      </c>
      <c r="F155" s="27" t="str">
        <f t="shared" si="4"/>
        <v>rtdc.l.rtdc.4016:itc</v>
      </c>
      <c r="G155" s="8">
        <f t="shared" si="5"/>
        <v>42559.515150462961</v>
      </c>
    </row>
    <row r="156" spans="1:7" x14ac:dyDescent="0.25">
      <c r="A156" s="8">
        <v>42559.244444444441</v>
      </c>
      <c r="B156" s="27" t="s">
        <v>126</v>
      </c>
      <c r="C156" s="27" t="s">
        <v>361</v>
      </c>
      <c r="D156" s="27">
        <v>1830000</v>
      </c>
      <c r="E156" s="27" t="s">
        <v>137</v>
      </c>
      <c r="F156" s="27" t="str">
        <f t="shared" si="4"/>
        <v>rtdc.l.rtdc.4028:itc</v>
      </c>
      <c r="G156" s="8">
        <f t="shared" si="5"/>
        <v>42559.244444444441</v>
      </c>
    </row>
    <row r="157" spans="1:7" x14ac:dyDescent="0.25">
      <c r="A157" s="8">
        <v>42559.448807870373</v>
      </c>
      <c r="B157" s="27" t="s">
        <v>122</v>
      </c>
      <c r="C157" s="27" t="s">
        <v>376</v>
      </c>
      <c r="D157" s="27">
        <v>1480000</v>
      </c>
      <c r="E157" s="27" t="s">
        <v>121</v>
      </c>
      <c r="F157" s="27" t="str">
        <f t="shared" si="4"/>
        <v>rtdc.l.rtdc.4026:itc</v>
      </c>
      <c r="G157" s="8">
        <f t="shared" si="5"/>
        <v>42559.448807870373</v>
      </c>
    </row>
    <row r="158" spans="1:7" x14ac:dyDescent="0.25">
      <c r="A158" s="8">
        <v>42559.273344907408</v>
      </c>
      <c r="B158" s="27" t="s">
        <v>123</v>
      </c>
      <c r="C158" s="27" t="s">
        <v>362</v>
      </c>
      <c r="D158" s="27">
        <v>1310000</v>
      </c>
      <c r="E158" s="27" t="s">
        <v>116</v>
      </c>
      <c r="F158" s="27" t="str">
        <f t="shared" si="4"/>
        <v>rtdc.l.rtdc.4014:itc</v>
      </c>
      <c r="G158" s="8">
        <f t="shared" si="5"/>
        <v>42559.273344907408</v>
      </c>
    </row>
    <row r="159" spans="1:7" x14ac:dyDescent="0.25">
      <c r="A159" s="8">
        <v>42559.428437499999</v>
      </c>
      <c r="B159" s="27" t="s">
        <v>147</v>
      </c>
      <c r="C159" s="27" t="s">
        <v>407</v>
      </c>
      <c r="D159" s="27">
        <v>1840000</v>
      </c>
      <c r="E159" s="27" t="s">
        <v>114</v>
      </c>
      <c r="F159" s="27" t="str">
        <f t="shared" si="4"/>
        <v>rtdc.l.rtdc.4043:itc</v>
      </c>
      <c r="G159" s="8">
        <f t="shared" si="5"/>
        <v>42559.428437499999</v>
      </c>
    </row>
    <row r="160" spans="1:7" x14ac:dyDescent="0.25">
      <c r="A160" s="8">
        <v>42559.285891203705</v>
      </c>
      <c r="B160" s="27" t="s">
        <v>131</v>
      </c>
      <c r="C160" s="27" t="s">
        <v>415</v>
      </c>
      <c r="D160" s="27">
        <v>1830000</v>
      </c>
      <c r="E160" s="27" t="s">
        <v>137</v>
      </c>
      <c r="F160" s="27" t="str">
        <f t="shared" si="4"/>
        <v>rtdc.l.rtdc.4027:itc</v>
      </c>
      <c r="G160" s="8">
        <f t="shared" si="5"/>
        <v>42559.285891203705</v>
      </c>
    </row>
    <row r="161" spans="1:7" x14ac:dyDescent="0.25">
      <c r="A161" s="8">
        <v>42559.341782407406</v>
      </c>
      <c r="B161" s="27" t="s">
        <v>123</v>
      </c>
      <c r="C161" s="27" t="s">
        <v>370</v>
      </c>
      <c r="D161" s="27">
        <v>1310000</v>
      </c>
      <c r="E161" s="27" t="s">
        <v>116</v>
      </c>
      <c r="F161" s="27" t="str">
        <f t="shared" si="4"/>
        <v>rtdc.l.rtdc.4014:itc</v>
      </c>
      <c r="G161" s="8">
        <f t="shared" si="5"/>
        <v>42559.341782407406</v>
      </c>
    </row>
    <row r="162" spans="1:7" x14ac:dyDescent="0.25">
      <c r="A162" s="8">
        <v>42559.413124999999</v>
      </c>
      <c r="B162" s="27" t="s">
        <v>348</v>
      </c>
      <c r="C162" s="27" t="s">
        <v>395</v>
      </c>
      <c r="D162" s="27">
        <v>2030000</v>
      </c>
      <c r="E162" s="27" t="s">
        <v>195</v>
      </c>
      <c r="F162" s="27" t="str">
        <f t="shared" si="4"/>
        <v>rtdc.l.rtdc.4015:itc</v>
      </c>
      <c r="G162" s="8">
        <f t="shared" si="5"/>
        <v>42559.413124999999</v>
      </c>
    </row>
    <row r="163" spans="1:7" x14ac:dyDescent="0.25">
      <c r="A163" s="8">
        <v>42559.317754629628</v>
      </c>
      <c r="B163" s="27" t="s">
        <v>127</v>
      </c>
      <c r="C163" s="27" t="s">
        <v>413</v>
      </c>
      <c r="D163" s="27">
        <v>1460000</v>
      </c>
      <c r="E163" s="27" t="s">
        <v>115</v>
      </c>
      <c r="F163" s="27" t="str">
        <f t="shared" si="4"/>
        <v>rtdc.l.rtdc.4037:itc</v>
      </c>
      <c r="G163" s="8">
        <f t="shared" si="5"/>
        <v>42559.317754629628</v>
      </c>
    </row>
    <row r="164" spans="1:7" x14ac:dyDescent="0.25">
      <c r="A164" s="8">
        <v>42559.231122685182</v>
      </c>
      <c r="B164" s="27" t="s">
        <v>359</v>
      </c>
      <c r="C164" s="27" t="s">
        <v>360</v>
      </c>
      <c r="D164" s="27">
        <v>2030000</v>
      </c>
      <c r="E164" s="27" t="s">
        <v>195</v>
      </c>
      <c r="F164" s="27" t="str">
        <f t="shared" si="4"/>
        <v>rtdc.l.rtdc.4016:itc</v>
      </c>
      <c r="G164" s="8">
        <f t="shared" si="5"/>
        <v>42559.231122685182</v>
      </c>
    </row>
    <row r="165" spans="1:7" x14ac:dyDescent="0.25">
      <c r="A165" s="8">
        <v>42559.301493055558</v>
      </c>
      <c r="B165" s="27" t="s">
        <v>113</v>
      </c>
      <c r="C165" s="27" t="s">
        <v>414</v>
      </c>
      <c r="D165" s="27">
        <v>1460000</v>
      </c>
      <c r="E165" s="27" t="s">
        <v>115</v>
      </c>
      <c r="F165" s="27" t="str">
        <f t="shared" si="4"/>
        <v>rtdc.l.rtdc.4038:itc</v>
      </c>
      <c r="G165" s="8">
        <f t="shared" si="5"/>
        <v>42559.301493055558</v>
      </c>
    </row>
    <row r="166" spans="1:7" x14ac:dyDescent="0.25">
      <c r="A166" s="8">
        <v>42559.313483796293</v>
      </c>
      <c r="B166" s="27" t="s">
        <v>125</v>
      </c>
      <c r="C166" s="27" t="s">
        <v>368</v>
      </c>
      <c r="D166" s="27">
        <v>1480000</v>
      </c>
      <c r="E166" s="27" t="s">
        <v>121</v>
      </c>
      <c r="F166" s="27" t="str">
        <f t="shared" si="4"/>
        <v>rtdc.l.rtdc.4025:itc</v>
      </c>
      <c r="G166" s="8">
        <f t="shared" si="5"/>
        <v>42559.313483796293</v>
      </c>
    </row>
    <row r="167" spans="1:7" x14ac:dyDescent="0.25">
      <c r="A167" s="8">
        <v>42559.297129629631</v>
      </c>
      <c r="B167" s="27" t="s">
        <v>359</v>
      </c>
      <c r="C167" s="27" t="s">
        <v>409</v>
      </c>
      <c r="D167" s="27">
        <v>2030000</v>
      </c>
      <c r="E167" s="27" t="s">
        <v>195</v>
      </c>
      <c r="F167" s="27" t="str">
        <f t="shared" si="4"/>
        <v>rtdc.l.rtdc.4016:itc</v>
      </c>
      <c r="G167" s="8">
        <f t="shared" si="5"/>
        <v>42559.297129629631</v>
      </c>
    </row>
    <row r="168" spans="1:7" x14ac:dyDescent="0.25">
      <c r="A168" s="8">
        <v>42559.631296296298</v>
      </c>
      <c r="B168" s="27" t="s">
        <v>348</v>
      </c>
      <c r="C168" s="27" t="s">
        <v>528</v>
      </c>
      <c r="D168" s="27">
        <v>900000</v>
      </c>
      <c r="E168" s="27" t="s">
        <v>133</v>
      </c>
      <c r="F168" s="27" t="str">
        <f t="shared" si="4"/>
        <v>rtdc.l.rtdc.4015:itc</v>
      </c>
      <c r="G168" s="8">
        <f t="shared" si="5"/>
        <v>42559.631296296298</v>
      </c>
    </row>
    <row r="169" spans="1:7" x14ac:dyDescent="0.25">
      <c r="A169" s="8">
        <v>42559.559930555559</v>
      </c>
      <c r="B169" s="27" t="s">
        <v>123</v>
      </c>
      <c r="C169" s="27" t="s">
        <v>532</v>
      </c>
      <c r="D169" s="27">
        <v>1120000</v>
      </c>
      <c r="E169" s="27" t="s">
        <v>144</v>
      </c>
      <c r="F169" s="27" t="str">
        <f t="shared" si="4"/>
        <v>rtdc.l.rtdc.4014:itc</v>
      </c>
      <c r="G169" s="8">
        <f t="shared" si="5"/>
        <v>42559.559930555559</v>
      </c>
    </row>
    <row r="170" spans="1:7" x14ac:dyDescent="0.25">
      <c r="A170" s="8">
        <v>42559.197430555556</v>
      </c>
      <c r="B170" s="27" t="s">
        <v>123</v>
      </c>
      <c r="C170" s="27" t="s">
        <v>334</v>
      </c>
      <c r="D170" s="27">
        <v>1310000</v>
      </c>
      <c r="E170" s="27" t="s">
        <v>116</v>
      </c>
      <c r="F170" s="27" t="str">
        <f t="shared" si="4"/>
        <v>rtdc.l.rtdc.4014:itc</v>
      </c>
      <c r="G170" s="8">
        <f t="shared" si="5"/>
        <v>42559.197430555556</v>
      </c>
    </row>
    <row r="171" spans="1:7" x14ac:dyDescent="0.25">
      <c r="A171" s="8">
        <v>42559.546712962961</v>
      </c>
      <c r="B171" s="27" t="s">
        <v>126</v>
      </c>
      <c r="C171" s="27" t="s">
        <v>533</v>
      </c>
      <c r="D171" s="27">
        <v>880000</v>
      </c>
      <c r="E171" s="27" t="s">
        <v>138</v>
      </c>
      <c r="F171" s="27" t="str">
        <f t="shared" si="4"/>
        <v>rtdc.l.rtdc.4028:itc</v>
      </c>
      <c r="G171" s="8">
        <f t="shared" si="5"/>
        <v>42559.546712962961</v>
      </c>
    </row>
    <row r="172" spans="1:7" x14ac:dyDescent="0.25">
      <c r="A172" s="8">
        <v>42559.517245370371</v>
      </c>
      <c r="B172" s="27" t="s">
        <v>176</v>
      </c>
      <c r="C172" s="27" t="s">
        <v>531</v>
      </c>
      <c r="D172" s="27">
        <v>890000</v>
      </c>
      <c r="E172" s="27" t="s">
        <v>178</v>
      </c>
      <c r="F172" s="27" t="str">
        <f t="shared" si="4"/>
        <v>rtdc.l.rtdc.4039:itc</v>
      </c>
      <c r="G172" s="8">
        <f t="shared" si="5"/>
        <v>42559.517245370371</v>
      </c>
    </row>
    <row r="173" spans="1:7" x14ac:dyDescent="0.25">
      <c r="A173" s="8">
        <v>42559.45815972222</v>
      </c>
      <c r="B173" s="27" t="s">
        <v>125</v>
      </c>
      <c r="C173" s="27" t="s">
        <v>381</v>
      </c>
      <c r="D173" s="27">
        <v>2030000</v>
      </c>
      <c r="E173" s="27" t="s">
        <v>195</v>
      </c>
      <c r="F173" s="27" t="str">
        <f t="shared" si="4"/>
        <v>rtdc.l.rtdc.4025:itc</v>
      </c>
      <c r="G173" s="8">
        <f t="shared" si="5"/>
        <v>42559.45815972222</v>
      </c>
    </row>
    <row r="174" spans="1:7" x14ac:dyDescent="0.25">
      <c r="A174" s="8">
        <v>42559.282314814816</v>
      </c>
      <c r="B174" s="27" t="s">
        <v>77</v>
      </c>
      <c r="C174" s="27" t="s">
        <v>363</v>
      </c>
      <c r="D174" s="27">
        <v>1340000</v>
      </c>
      <c r="E174" s="27" t="s">
        <v>140</v>
      </c>
      <c r="F174" s="27" t="str">
        <f t="shared" si="4"/>
        <v>rtdc.l.rtdc.4031:itc</v>
      </c>
      <c r="G174" s="8">
        <f t="shared" si="5"/>
        <v>42559.282314814816</v>
      </c>
    </row>
    <row r="175" spans="1:7" x14ac:dyDescent="0.25">
      <c r="A175" s="8">
        <v>42559.368680555555</v>
      </c>
      <c r="B175" s="27" t="s">
        <v>359</v>
      </c>
      <c r="C175" s="27" t="s">
        <v>408</v>
      </c>
      <c r="D175" s="27">
        <v>2030000</v>
      </c>
      <c r="E175" s="27" t="s">
        <v>195</v>
      </c>
      <c r="F175" s="27" t="str">
        <f t="shared" si="4"/>
        <v>rtdc.l.rtdc.4016:itc</v>
      </c>
      <c r="G175" s="8">
        <f t="shared" si="5"/>
        <v>42559.368680555555</v>
      </c>
    </row>
    <row r="176" spans="1:7" x14ac:dyDescent="0.25">
      <c r="A176" s="8">
        <v>42559.315138888887</v>
      </c>
      <c r="B176" s="27" t="s">
        <v>120</v>
      </c>
      <c r="C176" s="27" t="s">
        <v>416</v>
      </c>
      <c r="D176" s="27">
        <v>2040000</v>
      </c>
      <c r="E176" s="27" t="s">
        <v>216</v>
      </c>
      <c r="F176" s="27" t="str">
        <f t="shared" si="4"/>
        <v>rtdc.l.rtdc.4012:itc</v>
      </c>
      <c r="G176" s="8">
        <f t="shared" si="5"/>
        <v>42559.315138888887</v>
      </c>
    </row>
    <row r="177" spans="1:7" x14ac:dyDescent="0.25">
      <c r="A177" s="8">
        <v>42559.223796296297</v>
      </c>
      <c r="B177" s="27" t="s">
        <v>176</v>
      </c>
      <c r="C177" s="27" t="s">
        <v>354</v>
      </c>
      <c r="D177" s="27">
        <v>1110000</v>
      </c>
      <c r="E177" s="27" t="s">
        <v>197</v>
      </c>
      <c r="F177" s="27" t="str">
        <f t="shared" si="4"/>
        <v>rtdc.l.rtdc.4039:itc</v>
      </c>
      <c r="G177" s="8">
        <f t="shared" si="5"/>
        <v>42559.223796296297</v>
      </c>
    </row>
    <row r="178" spans="1:7" x14ac:dyDescent="0.25">
      <c r="A178" s="8">
        <v>42559.486921296295</v>
      </c>
      <c r="B178" s="27" t="s">
        <v>348</v>
      </c>
      <c r="C178" s="27" t="s">
        <v>387</v>
      </c>
      <c r="D178" s="27">
        <v>900000</v>
      </c>
      <c r="E178" s="27" t="s">
        <v>133</v>
      </c>
      <c r="F178" s="27" t="str">
        <f t="shared" si="4"/>
        <v>rtdc.l.rtdc.4015:itc</v>
      </c>
      <c r="G178" s="8">
        <f t="shared" si="5"/>
        <v>42559.486921296295</v>
      </c>
    </row>
    <row r="179" spans="1:7" x14ac:dyDescent="0.25">
      <c r="A179" s="8">
        <v>42559.206273148149</v>
      </c>
      <c r="B179" s="27" t="s">
        <v>131</v>
      </c>
      <c r="C179" s="27" t="s">
        <v>352</v>
      </c>
      <c r="D179" s="27">
        <v>1830000</v>
      </c>
      <c r="E179" s="27" t="s">
        <v>137</v>
      </c>
      <c r="F179" s="27" t="str">
        <f t="shared" si="4"/>
        <v>rtdc.l.rtdc.4027:itc</v>
      </c>
      <c r="G179" s="8">
        <f t="shared" si="5"/>
        <v>42559.206273148149</v>
      </c>
    </row>
    <row r="180" spans="1:7" x14ac:dyDescent="0.25">
      <c r="A180" s="8">
        <v>42559.680972222224</v>
      </c>
      <c r="B180" s="27" t="s">
        <v>120</v>
      </c>
      <c r="C180" s="27" t="s">
        <v>536</v>
      </c>
      <c r="D180" s="27">
        <v>1230000</v>
      </c>
      <c r="E180" s="27" t="s">
        <v>391</v>
      </c>
      <c r="F180" s="27" t="str">
        <f t="shared" si="4"/>
        <v>rtdc.l.rtdc.4012:itc</v>
      </c>
      <c r="G180" s="8">
        <f t="shared" si="5"/>
        <v>42559.680972222224</v>
      </c>
    </row>
    <row r="181" spans="1:7" x14ac:dyDescent="0.25">
      <c r="A181" s="8">
        <v>42559.754016203704</v>
      </c>
      <c r="B181" s="27" t="s">
        <v>124</v>
      </c>
      <c r="C181" s="27" t="s">
        <v>582</v>
      </c>
      <c r="D181" s="27">
        <v>1120000</v>
      </c>
      <c r="E181" s="27" t="s">
        <v>144</v>
      </c>
      <c r="F181" s="27" t="str">
        <f t="shared" si="4"/>
        <v>rtdc.l.rtdc.4013:itc</v>
      </c>
      <c r="G181" s="8">
        <f t="shared" si="5"/>
        <v>42559.754016203704</v>
      </c>
    </row>
    <row r="182" spans="1:7" x14ac:dyDescent="0.25">
      <c r="A182" s="8">
        <v>42560.035428240742</v>
      </c>
      <c r="B182" s="27" t="s">
        <v>123</v>
      </c>
      <c r="C182" s="27" t="s">
        <v>605</v>
      </c>
      <c r="D182" s="27">
        <v>630000</v>
      </c>
      <c r="E182" s="27" t="b">
        <v>1</v>
      </c>
      <c r="F182" s="27" t="str">
        <f t="shared" si="4"/>
        <v>rtdc.l.rtdc.4014:itc</v>
      </c>
      <c r="G182" s="8">
        <f t="shared" si="5"/>
        <v>42560.035428240742</v>
      </c>
    </row>
    <row r="183" spans="1:7" x14ac:dyDescent="0.25">
      <c r="A183" s="8">
        <v>42559.725798611114</v>
      </c>
      <c r="B183" s="27" t="s">
        <v>119</v>
      </c>
      <c r="C183" s="27" t="s">
        <v>526</v>
      </c>
      <c r="D183" s="27">
        <v>2010000</v>
      </c>
      <c r="E183" s="27" t="s">
        <v>217</v>
      </c>
      <c r="F183" s="27" t="str">
        <f t="shared" si="4"/>
        <v>rtdc.l.rtdc.4011:itc</v>
      </c>
      <c r="G183" s="8">
        <f t="shared" si="5"/>
        <v>42559.725798611114</v>
      </c>
    </row>
    <row r="184" spans="1:7" x14ac:dyDescent="0.25">
      <c r="A184" s="8">
        <v>42560.075740740744</v>
      </c>
      <c r="B184" s="27" t="s">
        <v>124</v>
      </c>
      <c r="C184" s="27" t="s">
        <v>643</v>
      </c>
      <c r="D184" s="27">
        <v>630000</v>
      </c>
      <c r="E184" s="27" t="b">
        <v>1</v>
      </c>
      <c r="F184" s="27" t="str">
        <f t="shared" si="4"/>
        <v>rtdc.l.rtdc.4013:itc</v>
      </c>
      <c r="G184" s="8">
        <f t="shared" si="5"/>
        <v>42560.075740740744</v>
      </c>
    </row>
    <row r="185" spans="1:7" x14ac:dyDescent="0.25">
      <c r="A185" s="8">
        <v>42559.497789351852</v>
      </c>
      <c r="B185" s="27" t="s">
        <v>119</v>
      </c>
      <c r="C185" s="27" t="s">
        <v>519</v>
      </c>
      <c r="D185" s="27">
        <v>1230000</v>
      </c>
      <c r="E185" s="27" t="s">
        <v>391</v>
      </c>
      <c r="F185" s="27" t="str">
        <f t="shared" si="4"/>
        <v>rtdc.l.rtdc.4011:itc</v>
      </c>
      <c r="G185" s="8">
        <f t="shared" si="5"/>
        <v>42559.497789351852</v>
      </c>
    </row>
    <row r="186" spans="1:7" x14ac:dyDescent="0.25">
      <c r="A186" s="8">
        <v>42560.057743055557</v>
      </c>
      <c r="B186" s="27" t="s">
        <v>147</v>
      </c>
      <c r="C186" s="27" t="s">
        <v>635</v>
      </c>
      <c r="D186" s="27">
        <v>1240000</v>
      </c>
      <c r="E186" s="27" t="s">
        <v>149</v>
      </c>
      <c r="F186" s="27" t="str">
        <f t="shared" si="4"/>
        <v>rtdc.l.rtdc.4043:itc</v>
      </c>
      <c r="G186" s="8">
        <f t="shared" si="5"/>
        <v>42560.057743055557</v>
      </c>
    </row>
    <row r="187" spans="1:7" x14ac:dyDescent="0.25">
      <c r="A187" s="8">
        <v>42559.478159722225</v>
      </c>
      <c r="B187" s="27" t="s">
        <v>152</v>
      </c>
      <c r="C187" s="27" t="s">
        <v>411</v>
      </c>
      <c r="D187" s="27">
        <v>890000</v>
      </c>
      <c r="E187" s="27" t="s">
        <v>178</v>
      </c>
      <c r="F187" s="27" t="str">
        <f t="shared" si="4"/>
        <v>rtdc.l.rtdc.4040:itc</v>
      </c>
      <c r="G187" s="8">
        <f t="shared" si="5"/>
        <v>42559.478159722225</v>
      </c>
    </row>
    <row r="188" spans="1:7" x14ac:dyDescent="0.25">
      <c r="A188" s="8">
        <v>42559.772743055553</v>
      </c>
      <c r="B188" s="27" t="s">
        <v>126</v>
      </c>
      <c r="C188" s="27" t="s">
        <v>586</v>
      </c>
      <c r="D188" s="27">
        <v>1180000</v>
      </c>
      <c r="E188" s="27" t="s">
        <v>516</v>
      </c>
      <c r="F188" s="27" t="str">
        <f t="shared" si="4"/>
        <v>rtdc.l.rtdc.4028:itc</v>
      </c>
      <c r="G188" s="8">
        <f t="shared" si="5"/>
        <v>42559.772743055553</v>
      </c>
    </row>
    <row r="189" spans="1:7" x14ac:dyDescent="0.25">
      <c r="A189" s="8">
        <v>42559.415810185186</v>
      </c>
      <c r="B189" s="27" t="s">
        <v>123</v>
      </c>
      <c r="C189" s="27" t="s">
        <v>377</v>
      </c>
      <c r="D189" s="27">
        <v>1310000</v>
      </c>
      <c r="E189" s="27" t="s">
        <v>116</v>
      </c>
      <c r="F189" s="27" t="str">
        <f t="shared" si="4"/>
        <v>rtdc.l.rtdc.4014:itc</v>
      </c>
      <c r="G189" s="8">
        <f t="shared" si="5"/>
        <v>42559.415810185186</v>
      </c>
    </row>
    <row r="190" spans="1:7" x14ac:dyDescent="0.25">
      <c r="A190" s="8">
        <v>42559.89167824074</v>
      </c>
      <c r="B190" s="27" t="s">
        <v>147</v>
      </c>
      <c r="C190" s="27" t="s">
        <v>615</v>
      </c>
      <c r="D190" s="27">
        <v>1240000</v>
      </c>
      <c r="E190" s="27" t="s">
        <v>149</v>
      </c>
      <c r="F190" s="27" t="str">
        <f t="shared" si="4"/>
        <v>rtdc.l.rtdc.4043:itc</v>
      </c>
      <c r="G190" s="8">
        <f t="shared" si="5"/>
        <v>42559.89167824074</v>
      </c>
    </row>
    <row r="191" spans="1:7" x14ac:dyDescent="0.25">
      <c r="A191" s="8">
        <v>42559.404120370367</v>
      </c>
      <c r="B191" s="27" t="s">
        <v>152</v>
      </c>
      <c r="C191" s="27" t="s">
        <v>373</v>
      </c>
      <c r="D191" s="27">
        <v>1110000</v>
      </c>
      <c r="E191" s="27" t="s">
        <v>197</v>
      </c>
      <c r="F191" s="27" t="str">
        <f t="shared" si="4"/>
        <v>rtdc.l.rtdc.4040:itc</v>
      </c>
      <c r="G191" s="8">
        <f t="shared" si="5"/>
        <v>42559.404120370367</v>
      </c>
    </row>
    <row r="192" spans="1:7" x14ac:dyDescent="0.25">
      <c r="A192" s="8">
        <v>42559.992592592593</v>
      </c>
      <c r="B192" s="27" t="s">
        <v>124</v>
      </c>
      <c r="C192" s="27" t="s">
        <v>627</v>
      </c>
      <c r="D192" s="27">
        <v>1540000</v>
      </c>
      <c r="E192" s="27" t="s">
        <v>145</v>
      </c>
      <c r="F192" s="27" t="str">
        <f t="shared" si="4"/>
        <v>rtdc.l.rtdc.4013:itc</v>
      </c>
      <c r="G192" s="8">
        <f t="shared" si="5"/>
        <v>42559.992592592593</v>
      </c>
    </row>
    <row r="193" spans="1:7" x14ac:dyDescent="0.25">
      <c r="A193" s="8">
        <v>42559.326354166667</v>
      </c>
      <c r="B193" s="27" t="s">
        <v>77</v>
      </c>
      <c r="C193" s="27" t="s">
        <v>367</v>
      </c>
      <c r="D193" s="27">
        <v>1340000</v>
      </c>
      <c r="E193" s="27" t="s">
        <v>140</v>
      </c>
      <c r="F193" s="27" t="str">
        <f t="shared" si="4"/>
        <v>rtdc.l.rtdc.4031:itc</v>
      </c>
      <c r="G193" s="8">
        <f t="shared" si="5"/>
        <v>42559.326354166667</v>
      </c>
    </row>
    <row r="194" spans="1:7" x14ac:dyDescent="0.25">
      <c r="A194" s="8">
        <v>42559.973379629628</v>
      </c>
      <c r="B194" s="27" t="s">
        <v>147</v>
      </c>
      <c r="C194" s="27" t="s">
        <v>603</v>
      </c>
      <c r="D194" s="27">
        <v>1240000</v>
      </c>
      <c r="E194" s="27" t="s">
        <v>149</v>
      </c>
      <c r="F194" s="27" t="str">
        <f t="shared" ref="F194:F235" si="6">B194</f>
        <v>rtdc.l.rtdc.4043:itc</v>
      </c>
      <c r="G194" s="8">
        <f t="shared" ref="G194:G235" si="7">A194</f>
        <v>42559.973379629628</v>
      </c>
    </row>
    <row r="195" spans="1:7" x14ac:dyDescent="0.25">
      <c r="A195" s="8">
        <v>42559.210787037038</v>
      </c>
      <c r="B195" s="27" t="s">
        <v>73</v>
      </c>
      <c r="C195" s="27" t="s">
        <v>350</v>
      </c>
      <c r="D195" s="27">
        <v>1840000</v>
      </c>
      <c r="E195" s="27" t="s">
        <v>114</v>
      </c>
      <c r="F195" s="27" t="str">
        <f t="shared" si="6"/>
        <v>rtdc.l.rtdc.4019:itc</v>
      </c>
      <c r="G195" s="8">
        <f t="shared" si="7"/>
        <v>42559.210787037038</v>
      </c>
    </row>
    <row r="196" spans="1:7" x14ac:dyDescent="0.25">
      <c r="A196" s="8">
        <v>42559.788437499999</v>
      </c>
      <c r="B196" s="27" t="s">
        <v>122</v>
      </c>
      <c r="C196" s="27" t="s">
        <v>590</v>
      </c>
      <c r="D196" s="27">
        <v>950000</v>
      </c>
      <c r="E196" s="27" t="s">
        <v>148</v>
      </c>
      <c r="F196" s="27" t="str">
        <f t="shared" si="6"/>
        <v>rtdc.l.rtdc.4026:itc</v>
      </c>
      <c r="G196" s="8">
        <f t="shared" si="7"/>
        <v>42559.788437499999</v>
      </c>
    </row>
    <row r="197" spans="1:7" x14ac:dyDescent="0.25">
      <c r="A197" s="8">
        <v>42559.908958333333</v>
      </c>
      <c r="B197" s="27" t="s">
        <v>124</v>
      </c>
      <c r="C197" s="27" t="s">
        <v>618</v>
      </c>
      <c r="D197" s="27">
        <v>1540000</v>
      </c>
      <c r="E197" s="27" t="s">
        <v>145</v>
      </c>
      <c r="F197" s="27" t="str">
        <f t="shared" si="6"/>
        <v>rtdc.l.rtdc.4013:itc</v>
      </c>
      <c r="G197" s="8">
        <f t="shared" si="7"/>
        <v>42559.908958333333</v>
      </c>
    </row>
    <row r="198" spans="1:7" x14ac:dyDescent="0.25">
      <c r="A198" s="8">
        <v>42560.168993055559</v>
      </c>
      <c r="B198" s="27" t="s">
        <v>77</v>
      </c>
      <c r="C198" s="27" t="s">
        <v>645</v>
      </c>
      <c r="D198" s="27">
        <v>1830000</v>
      </c>
      <c r="E198" s="27" t="s">
        <v>137</v>
      </c>
      <c r="F198" s="27" t="str">
        <f t="shared" si="6"/>
        <v>rtdc.l.rtdc.4031:itc</v>
      </c>
      <c r="G198" s="8">
        <f t="shared" si="7"/>
        <v>42560.168993055559</v>
      </c>
    </row>
    <row r="199" spans="1:7" x14ac:dyDescent="0.25">
      <c r="A199" s="8">
        <v>42559.710960648146</v>
      </c>
      <c r="B199" s="27" t="s">
        <v>122</v>
      </c>
      <c r="C199" s="27" t="s">
        <v>529</v>
      </c>
      <c r="D199" s="27">
        <v>950000</v>
      </c>
      <c r="E199" s="27" t="s">
        <v>148</v>
      </c>
      <c r="F199" s="27" t="str">
        <f t="shared" si="6"/>
        <v>rtdc.l.rtdc.4026:itc</v>
      </c>
      <c r="G199" s="8">
        <f t="shared" si="7"/>
        <v>42559.710960648146</v>
      </c>
    </row>
    <row r="200" spans="1:7" x14ac:dyDescent="0.25">
      <c r="A200" s="8">
        <v>42559.951921296299</v>
      </c>
      <c r="B200" s="27" t="s">
        <v>123</v>
      </c>
      <c r="C200" s="27" t="s">
        <v>602</v>
      </c>
      <c r="D200" s="27">
        <v>1540000</v>
      </c>
      <c r="E200" s="27" t="s">
        <v>145</v>
      </c>
      <c r="F200" s="27" t="str">
        <f t="shared" si="6"/>
        <v>rtdc.l.rtdc.4014:itc</v>
      </c>
      <c r="G200" s="8">
        <f t="shared" si="7"/>
        <v>42559.951921296299</v>
      </c>
    </row>
    <row r="201" spans="1:7" x14ac:dyDescent="0.25">
      <c r="A201" s="8">
        <v>42559.641076388885</v>
      </c>
      <c r="B201" s="27" t="s">
        <v>119</v>
      </c>
      <c r="C201" s="27" t="s">
        <v>530</v>
      </c>
      <c r="D201" s="27">
        <v>1230000</v>
      </c>
      <c r="E201" s="27" t="s">
        <v>391</v>
      </c>
      <c r="F201" s="27" t="str">
        <f t="shared" si="6"/>
        <v>rtdc.l.rtdc.4011:itc</v>
      </c>
      <c r="G201" s="8">
        <f t="shared" si="7"/>
        <v>42559.641076388885</v>
      </c>
    </row>
    <row r="202" spans="1:7" x14ac:dyDescent="0.25">
      <c r="A202" s="36">
        <v>42559.868969907409</v>
      </c>
      <c r="B202" s="27" t="s">
        <v>123</v>
      </c>
      <c r="C202" s="27" t="s">
        <v>617</v>
      </c>
      <c r="D202" s="27">
        <v>1540000</v>
      </c>
      <c r="E202" s="27" t="s">
        <v>145</v>
      </c>
      <c r="F202" s="27" t="str">
        <f t="shared" si="6"/>
        <v>rtdc.l.rtdc.4014:itc</v>
      </c>
      <c r="G202" s="8">
        <f t="shared" si="7"/>
        <v>42559.868969907409</v>
      </c>
    </row>
    <row r="203" spans="1:7" x14ac:dyDescent="0.25">
      <c r="A203" s="8">
        <v>42559.724814814814</v>
      </c>
      <c r="B203" s="27" t="s">
        <v>73</v>
      </c>
      <c r="C203" s="27" t="s">
        <v>499</v>
      </c>
      <c r="D203" s="27">
        <v>1540000</v>
      </c>
      <c r="E203" s="27" t="s">
        <v>145</v>
      </c>
      <c r="F203" s="27" t="str">
        <f t="shared" si="6"/>
        <v>rtdc.l.rtdc.4019:itc</v>
      </c>
      <c r="G203" s="8">
        <f t="shared" si="7"/>
        <v>42559.724814814814</v>
      </c>
    </row>
    <row r="204" spans="1:7" x14ac:dyDescent="0.25">
      <c r="B204" s="27"/>
      <c r="C204" s="27"/>
      <c r="D204" s="27"/>
      <c r="E204" s="27"/>
      <c r="F204" s="27">
        <f t="shared" si="6"/>
        <v>0</v>
      </c>
      <c r="G204" s="8">
        <f t="shared" si="7"/>
        <v>0</v>
      </c>
    </row>
    <row r="205" spans="1:7" x14ac:dyDescent="0.25">
      <c r="A205" s="8">
        <v>42558.633935185186</v>
      </c>
      <c r="B205" s="27" t="s">
        <v>119</v>
      </c>
      <c r="C205" s="27" t="s">
        <v>298</v>
      </c>
      <c r="D205" s="27">
        <v>1290000</v>
      </c>
      <c r="E205" s="27" t="s">
        <v>179</v>
      </c>
      <c r="F205" s="27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7" t="s">
        <v>348</v>
      </c>
      <c r="C206" s="27" t="s">
        <v>387</v>
      </c>
      <c r="D206" s="27">
        <v>900000</v>
      </c>
      <c r="E206" s="27" t="s">
        <v>133</v>
      </c>
      <c r="F206" s="27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7" t="s">
        <v>76</v>
      </c>
      <c r="C207" s="27" t="s">
        <v>311</v>
      </c>
      <c r="D207" s="27">
        <v>1240000</v>
      </c>
      <c r="E207" s="27" t="s">
        <v>149</v>
      </c>
      <c r="F207" s="27" t="str">
        <f t="shared" si="6"/>
        <v>rtdc.l.rtdc.4017:itc</v>
      </c>
      <c r="G207" s="8">
        <f t="shared" si="7"/>
        <v>42559.057627314818</v>
      </c>
    </row>
    <row r="208" spans="1:7" x14ac:dyDescent="0.25">
      <c r="B208" s="27"/>
      <c r="C208" s="27"/>
      <c r="D208" s="27"/>
      <c r="E208" s="27"/>
      <c r="F208" s="27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7" t="s">
        <v>113</v>
      </c>
      <c r="C209" s="27" t="s">
        <v>233</v>
      </c>
      <c r="D209" s="27">
        <v>1740000</v>
      </c>
      <c r="E209" s="27" t="s">
        <v>194</v>
      </c>
      <c r="F209" s="27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7" t="s">
        <v>77</v>
      </c>
      <c r="C210" s="27" t="s">
        <v>274</v>
      </c>
      <c r="D210" s="27">
        <v>1310000</v>
      </c>
      <c r="E210" s="27" t="s">
        <v>116</v>
      </c>
      <c r="F210" s="27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7" t="s">
        <v>75</v>
      </c>
      <c r="C211" s="27" t="s">
        <v>226</v>
      </c>
      <c r="D211" s="27">
        <v>2030000</v>
      </c>
      <c r="E211" s="27" t="s">
        <v>195</v>
      </c>
      <c r="F211" s="27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7" t="s">
        <v>152</v>
      </c>
      <c r="C212" s="27" t="s">
        <v>314</v>
      </c>
      <c r="D212" s="27">
        <v>1460000</v>
      </c>
      <c r="E212" s="27" t="s">
        <v>115</v>
      </c>
      <c r="F212" s="27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7" t="s">
        <v>124</v>
      </c>
      <c r="C213" s="27" t="s">
        <v>224</v>
      </c>
      <c r="D213" s="27">
        <v>1830000</v>
      </c>
      <c r="E213" s="27" t="s">
        <v>137</v>
      </c>
      <c r="F213" s="27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7" t="s">
        <v>126</v>
      </c>
      <c r="C214" s="27" t="s">
        <v>228</v>
      </c>
      <c r="D214" s="27">
        <v>1110000</v>
      </c>
      <c r="E214" s="27" t="s">
        <v>197</v>
      </c>
      <c r="F214" s="27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7" t="s">
        <v>147</v>
      </c>
      <c r="C215" s="27" t="s">
        <v>234</v>
      </c>
      <c r="D215" s="27">
        <v>1840000</v>
      </c>
      <c r="E215" s="27" t="s">
        <v>114</v>
      </c>
      <c r="F215" s="27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7" t="s">
        <v>75</v>
      </c>
      <c r="C216" s="27" t="s">
        <v>220</v>
      </c>
      <c r="D216" s="27">
        <v>2030000</v>
      </c>
      <c r="E216" s="27" t="s">
        <v>195</v>
      </c>
      <c r="F216" s="27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7" t="s">
        <v>143</v>
      </c>
      <c r="C217" s="27" t="s">
        <v>232</v>
      </c>
      <c r="D217" s="27">
        <v>1840000</v>
      </c>
      <c r="E217" s="27" t="s">
        <v>114</v>
      </c>
      <c r="F217" s="27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7" t="s">
        <v>120</v>
      </c>
      <c r="C218" s="27" t="s">
        <v>225</v>
      </c>
      <c r="D218" s="27">
        <v>2010000</v>
      </c>
      <c r="E218" s="27" t="s">
        <v>217</v>
      </c>
      <c r="F218" s="27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7" t="s">
        <v>176</v>
      </c>
      <c r="C219" s="27" t="s">
        <v>315</v>
      </c>
      <c r="D219" s="27">
        <v>1460000</v>
      </c>
      <c r="E219" s="27" t="s">
        <v>115</v>
      </c>
      <c r="F219" s="27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7" t="s">
        <v>125</v>
      </c>
      <c r="C220" s="27" t="s">
        <v>208</v>
      </c>
      <c r="D220" s="27">
        <v>1820000</v>
      </c>
      <c r="E220" s="27" t="s">
        <v>105</v>
      </c>
      <c r="F220" s="27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7" t="s">
        <v>122</v>
      </c>
      <c r="C221" s="27" t="s">
        <v>317</v>
      </c>
      <c r="D221" s="27">
        <v>1340000</v>
      </c>
      <c r="E221" s="27" t="s">
        <v>140</v>
      </c>
      <c r="F221" s="27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7" t="s">
        <v>119</v>
      </c>
      <c r="C222" s="27" t="s">
        <v>214</v>
      </c>
      <c r="D222" s="27">
        <v>1280000</v>
      </c>
      <c r="E222" s="27" t="s">
        <v>128</v>
      </c>
      <c r="F222" s="27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7" t="s">
        <v>131</v>
      </c>
      <c r="C223" s="27" t="s">
        <v>278</v>
      </c>
      <c r="D223" s="27">
        <v>1110000</v>
      </c>
      <c r="E223" s="27" t="s">
        <v>197</v>
      </c>
      <c r="F223" s="27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126</v>
      </c>
      <c r="C224" t="s">
        <v>288</v>
      </c>
      <c r="D224">
        <v>1280000</v>
      </c>
      <c r="E224" t="s">
        <v>128</v>
      </c>
      <c r="F224" s="27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146</v>
      </c>
      <c r="C225" t="s">
        <v>276</v>
      </c>
      <c r="D225">
        <v>2040000</v>
      </c>
      <c r="E225" t="s">
        <v>216</v>
      </c>
      <c r="F225" s="27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131</v>
      </c>
      <c r="C226" t="s">
        <v>287</v>
      </c>
      <c r="D226">
        <v>1280000</v>
      </c>
      <c r="E226" t="s">
        <v>128</v>
      </c>
      <c r="F226" s="27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122</v>
      </c>
      <c r="C227" t="s">
        <v>358</v>
      </c>
      <c r="D227">
        <v>1480000</v>
      </c>
      <c r="E227" t="s">
        <v>121</v>
      </c>
      <c r="F227" s="27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152</v>
      </c>
      <c r="C228" t="s">
        <v>231</v>
      </c>
      <c r="D228">
        <v>1460000</v>
      </c>
      <c r="E228" t="s">
        <v>115</v>
      </c>
      <c r="F228" s="27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119</v>
      </c>
      <c r="C229" t="s">
        <v>280</v>
      </c>
      <c r="D229">
        <v>2010000</v>
      </c>
      <c r="E229" t="s">
        <v>217</v>
      </c>
      <c r="F229" s="27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124</v>
      </c>
      <c r="C230" t="s">
        <v>224</v>
      </c>
      <c r="D230">
        <v>1830000</v>
      </c>
      <c r="E230" t="s">
        <v>137</v>
      </c>
      <c r="F230" s="27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68</v>
      </c>
      <c r="C231" t="s">
        <v>277</v>
      </c>
      <c r="D231">
        <v>1310000</v>
      </c>
      <c r="E231" t="s">
        <v>116</v>
      </c>
      <c r="F231" s="27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176</v>
      </c>
      <c r="C232" t="s">
        <v>229</v>
      </c>
      <c r="D232">
        <v>1240000</v>
      </c>
      <c r="E232" t="s">
        <v>149</v>
      </c>
      <c r="F232" s="27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143</v>
      </c>
      <c r="C233" t="s">
        <v>285</v>
      </c>
      <c r="D233">
        <v>1340000</v>
      </c>
      <c r="E233" t="s">
        <v>140</v>
      </c>
      <c r="F233" s="27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120</v>
      </c>
      <c r="C234" t="s">
        <v>222</v>
      </c>
      <c r="D234">
        <v>1280000</v>
      </c>
      <c r="E234" t="s">
        <v>128</v>
      </c>
      <c r="F234" s="27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77</v>
      </c>
      <c r="C235" t="s">
        <v>292</v>
      </c>
      <c r="D235">
        <v>880000</v>
      </c>
      <c r="E235" t="s">
        <v>138</v>
      </c>
      <c r="F235" s="27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147</v>
      </c>
      <c r="C236" t="s">
        <v>302</v>
      </c>
      <c r="D236">
        <v>1740000</v>
      </c>
      <c r="E236" t="s">
        <v>194</v>
      </c>
      <c r="F236" s="27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152</v>
      </c>
      <c r="C237" t="s">
        <v>324</v>
      </c>
      <c r="D237">
        <v>1520000</v>
      </c>
      <c r="E237" t="s">
        <v>139</v>
      </c>
      <c r="F237" s="27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127</v>
      </c>
      <c r="C238" t="s">
        <v>297</v>
      </c>
      <c r="D238">
        <v>1090000</v>
      </c>
      <c r="E238" t="s">
        <v>134</v>
      </c>
      <c r="F238" s="27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122</v>
      </c>
      <c r="C239" t="s">
        <v>328</v>
      </c>
      <c r="D239">
        <v>1780000</v>
      </c>
      <c r="E239" t="s">
        <v>151</v>
      </c>
      <c r="F239" s="27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120</v>
      </c>
      <c r="C240" t="s">
        <v>273</v>
      </c>
      <c r="D240">
        <v>2010000</v>
      </c>
      <c r="E240" t="s">
        <v>217</v>
      </c>
      <c r="F240" s="27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359</v>
      </c>
      <c r="C241" t="s">
        <v>360</v>
      </c>
      <c r="D241">
        <v>2030000</v>
      </c>
      <c r="E241" t="s">
        <v>195</v>
      </c>
      <c r="F241" s="27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75</v>
      </c>
      <c r="C242" t="s">
        <v>226</v>
      </c>
      <c r="D242">
        <v>2030000</v>
      </c>
      <c r="E242" t="s">
        <v>195</v>
      </c>
      <c r="F242" s="27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126</v>
      </c>
      <c r="C243" t="s">
        <v>361</v>
      </c>
      <c r="D243">
        <v>1830000</v>
      </c>
      <c r="E243" t="s">
        <v>137</v>
      </c>
      <c r="F243" s="27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176</v>
      </c>
      <c r="C244" t="s">
        <v>326</v>
      </c>
      <c r="D244">
        <v>1520000</v>
      </c>
      <c r="E244" t="s">
        <v>139</v>
      </c>
      <c r="F244" s="27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123</v>
      </c>
      <c r="C245" t="s">
        <v>362</v>
      </c>
      <c r="D245">
        <v>1310000</v>
      </c>
      <c r="E245" t="s">
        <v>116</v>
      </c>
      <c r="F245" s="27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147</v>
      </c>
      <c r="C246" t="s">
        <v>286</v>
      </c>
      <c r="D246">
        <v>1340000</v>
      </c>
      <c r="E246" t="s">
        <v>140</v>
      </c>
      <c r="F246" s="27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77</v>
      </c>
      <c r="C247" t="s">
        <v>363</v>
      </c>
      <c r="D247">
        <v>1340000</v>
      </c>
      <c r="E247" t="s">
        <v>140</v>
      </c>
      <c r="F247" s="27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152</v>
      </c>
      <c r="C248" t="s">
        <v>211</v>
      </c>
      <c r="D248">
        <v>1240000</v>
      </c>
      <c r="E248" t="s">
        <v>149</v>
      </c>
      <c r="F248" s="27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122</v>
      </c>
      <c r="C249" t="s">
        <v>333</v>
      </c>
      <c r="D249">
        <v>1780000</v>
      </c>
      <c r="E249" t="s">
        <v>151</v>
      </c>
      <c r="F249" s="27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113</v>
      </c>
      <c r="C250" t="s">
        <v>303</v>
      </c>
      <c r="D250">
        <v>1090000</v>
      </c>
      <c r="E250" t="s">
        <v>134</v>
      </c>
      <c r="F250" s="27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152</v>
      </c>
      <c r="C251" t="s">
        <v>323</v>
      </c>
      <c r="D251">
        <v>1460000</v>
      </c>
      <c r="E251" t="s">
        <v>115</v>
      </c>
      <c r="F251" s="27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176</v>
      </c>
      <c r="C252" t="s">
        <v>322</v>
      </c>
      <c r="D252">
        <v>1460000</v>
      </c>
      <c r="E252" t="s">
        <v>115</v>
      </c>
      <c r="F252" s="27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113</v>
      </c>
      <c r="C253" t="s">
        <v>309</v>
      </c>
      <c r="D253">
        <v>1820000</v>
      </c>
      <c r="E253" t="s">
        <v>105</v>
      </c>
      <c r="F253" s="27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143</v>
      </c>
      <c r="C254" t="s">
        <v>281</v>
      </c>
      <c r="D254">
        <v>2040000</v>
      </c>
      <c r="E254" t="s">
        <v>216</v>
      </c>
      <c r="F254" s="27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125</v>
      </c>
      <c r="C255" t="s">
        <v>327</v>
      </c>
      <c r="D255">
        <v>1780000</v>
      </c>
      <c r="E255" t="s">
        <v>151</v>
      </c>
      <c r="F255" s="27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176</v>
      </c>
      <c r="C256" t="s">
        <v>227</v>
      </c>
      <c r="D256">
        <v>1240000</v>
      </c>
      <c r="E256" t="s">
        <v>149</v>
      </c>
      <c r="F256" s="27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120</v>
      </c>
      <c r="C257" t="s">
        <v>299</v>
      </c>
      <c r="D257">
        <v>1290000</v>
      </c>
      <c r="E257" t="s">
        <v>179</v>
      </c>
      <c r="F257" s="27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68</v>
      </c>
      <c r="C258" t="s">
        <v>210</v>
      </c>
      <c r="D258">
        <v>1540000</v>
      </c>
      <c r="E258" t="s">
        <v>145</v>
      </c>
      <c r="F258" s="27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75</v>
      </c>
      <c r="C259" t="s">
        <v>308</v>
      </c>
      <c r="D259">
        <v>1240000</v>
      </c>
      <c r="E259" t="s">
        <v>149</v>
      </c>
      <c r="F259" s="27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127</v>
      </c>
      <c r="C260" t="s">
        <v>304</v>
      </c>
      <c r="D260">
        <v>1090000</v>
      </c>
      <c r="E260" t="s">
        <v>134</v>
      </c>
      <c r="F260" s="27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176</v>
      </c>
      <c r="C261" t="s">
        <v>321</v>
      </c>
      <c r="D261">
        <v>1460000</v>
      </c>
      <c r="E261" t="s">
        <v>115</v>
      </c>
      <c r="F261" s="27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119</v>
      </c>
      <c r="C262" t="s">
        <v>298</v>
      </c>
      <c r="D262">
        <v>1290000</v>
      </c>
      <c r="E262" t="s">
        <v>179</v>
      </c>
      <c r="F262" s="27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76</v>
      </c>
      <c r="C263" t="s">
        <v>290</v>
      </c>
      <c r="D263">
        <v>2000000</v>
      </c>
      <c r="E263" t="s">
        <v>196</v>
      </c>
      <c r="F263" s="27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123</v>
      </c>
      <c r="C264" t="s">
        <v>291</v>
      </c>
      <c r="D264">
        <v>900000</v>
      </c>
      <c r="E264" t="s">
        <v>133</v>
      </c>
      <c r="F264" s="27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124</v>
      </c>
      <c r="C265" t="s">
        <v>301</v>
      </c>
      <c r="D265">
        <v>900000</v>
      </c>
      <c r="E265" t="s">
        <v>133</v>
      </c>
      <c r="F265" s="27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126</v>
      </c>
      <c r="C266" t="s">
        <v>284</v>
      </c>
      <c r="D266">
        <v>1310000</v>
      </c>
      <c r="E266" t="s">
        <v>116</v>
      </c>
      <c r="F266" s="27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77</v>
      </c>
      <c r="C267" t="s">
        <v>305</v>
      </c>
      <c r="D267">
        <v>1990000</v>
      </c>
      <c r="E267" t="s">
        <v>218</v>
      </c>
      <c r="F267" s="27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68</v>
      </c>
      <c r="C268" t="s">
        <v>283</v>
      </c>
      <c r="D268">
        <v>880000</v>
      </c>
      <c r="E268" t="s">
        <v>138</v>
      </c>
      <c r="F268" s="27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123</v>
      </c>
      <c r="C269" t="s">
        <v>334</v>
      </c>
      <c r="D269">
        <v>1310000</v>
      </c>
      <c r="E269" t="s">
        <v>116</v>
      </c>
      <c r="F269" s="27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152</v>
      </c>
      <c r="C270" t="s">
        <v>318</v>
      </c>
      <c r="D270">
        <v>1460000</v>
      </c>
      <c r="E270" t="s">
        <v>115</v>
      </c>
      <c r="F270" s="27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123</v>
      </c>
      <c r="C271" t="s">
        <v>300</v>
      </c>
      <c r="D271">
        <v>900000</v>
      </c>
      <c r="E271" t="s">
        <v>133</v>
      </c>
      <c r="F271" s="27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113</v>
      </c>
      <c r="C272" t="s">
        <v>223</v>
      </c>
      <c r="D272">
        <v>1830000</v>
      </c>
      <c r="E272" t="s">
        <v>137</v>
      </c>
      <c r="F272" s="27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68</v>
      </c>
      <c r="C273" t="s">
        <v>306</v>
      </c>
      <c r="D273">
        <v>1990000</v>
      </c>
      <c r="E273" t="s">
        <v>218</v>
      </c>
      <c r="F273" s="27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147</v>
      </c>
      <c r="C274" t="s">
        <v>221</v>
      </c>
      <c r="D274">
        <v>1840000</v>
      </c>
      <c r="E274" t="s">
        <v>114</v>
      </c>
      <c r="F274" s="27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152</v>
      </c>
      <c r="C275" t="s">
        <v>364</v>
      </c>
      <c r="D275">
        <v>1110000</v>
      </c>
      <c r="E275" t="s">
        <v>197</v>
      </c>
      <c r="F275" s="27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127</v>
      </c>
      <c r="C276" t="s">
        <v>209</v>
      </c>
      <c r="D276">
        <v>1740000</v>
      </c>
      <c r="E276" t="s">
        <v>194</v>
      </c>
      <c r="F276" s="27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147</v>
      </c>
      <c r="C277" t="s">
        <v>365</v>
      </c>
      <c r="D277">
        <v>1840000</v>
      </c>
      <c r="E277" t="s">
        <v>114</v>
      </c>
      <c r="F277" s="27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113</v>
      </c>
      <c r="C278" t="s">
        <v>279</v>
      </c>
      <c r="D278">
        <v>1830000</v>
      </c>
      <c r="E278" t="s">
        <v>137</v>
      </c>
      <c r="F278" s="27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126</v>
      </c>
      <c r="C279" t="s">
        <v>295</v>
      </c>
      <c r="D279">
        <v>1280000</v>
      </c>
      <c r="E279" t="s">
        <v>128</v>
      </c>
      <c r="F279" s="27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119</v>
      </c>
      <c r="C280" t="s">
        <v>230</v>
      </c>
      <c r="D280">
        <v>2010000</v>
      </c>
      <c r="E280" t="s">
        <v>217</v>
      </c>
      <c r="F280" s="27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176</v>
      </c>
      <c r="C281" t="s">
        <v>330</v>
      </c>
      <c r="D281">
        <v>1520000</v>
      </c>
      <c r="E281" t="s">
        <v>139</v>
      </c>
      <c r="F281" s="27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77</v>
      </c>
      <c r="C282" t="s">
        <v>215</v>
      </c>
      <c r="D282">
        <v>1310000</v>
      </c>
      <c r="E282" t="s">
        <v>116</v>
      </c>
      <c r="F282" s="27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7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113</v>
      </c>
      <c r="C284" t="s">
        <v>235</v>
      </c>
      <c r="D284">
        <v>1740000</v>
      </c>
      <c r="E284" t="s">
        <v>194</v>
      </c>
      <c r="F284" s="27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68</v>
      </c>
      <c r="C285" t="s">
        <v>198</v>
      </c>
      <c r="D285">
        <v>1820000</v>
      </c>
      <c r="E285" t="s">
        <v>105</v>
      </c>
      <c r="F285" s="27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120</v>
      </c>
      <c r="C286" t="s">
        <v>236</v>
      </c>
      <c r="D286">
        <v>1280000</v>
      </c>
      <c r="E286" t="s">
        <v>128</v>
      </c>
      <c r="F286" s="27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73</v>
      </c>
      <c r="C287" t="s">
        <v>199</v>
      </c>
      <c r="D287">
        <v>1240000</v>
      </c>
      <c r="E287" t="s">
        <v>149</v>
      </c>
      <c r="F287" s="27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125</v>
      </c>
      <c r="C288" t="s">
        <v>213</v>
      </c>
      <c r="D288">
        <v>1820000</v>
      </c>
      <c r="E288" t="s">
        <v>105</v>
      </c>
      <c r="F288" s="27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68</v>
      </c>
      <c r="C289" t="s">
        <v>198</v>
      </c>
      <c r="D289">
        <v>1820000</v>
      </c>
      <c r="E289" t="s">
        <v>105</v>
      </c>
      <c r="F289" s="27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113</v>
      </c>
      <c r="C290" t="s">
        <v>212</v>
      </c>
      <c r="D290">
        <v>1740000</v>
      </c>
      <c r="E290" t="s">
        <v>194</v>
      </c>
      <c r="F290" s="27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127</v>
      </c>
      <c r="C291" t="s">
        <v>207</v>
      </c>
      <c r="D291">
        <v>1520000</v>
      </c>
      <c r="E291" t="s">
        <v>139</v>
      </c>
      <c r="F291" s="27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75</v>
      </c>
      <c r="C292" t="s">
        <v>226</v>
      </c>
      <c r="D292">
        <v>2030000</v>
      </c>
      <c r="E292" t="s">
        <v>195</v>
      </c>
      <c r="F292" s="27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131</v>
      </c>
      <c r="C293" t="s">
        <v>206</v>
      </c>
      <c r="D293">
        <v>1480000</v>
      </c>
      <c r="E293" t="s">
        <v>121</v>
      </c>
      <c r="F293" s="27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123</v>
      </c>
      <c r="C294" t="s">
        <v>237</v>
      </c>
      <c r="D294">
        <v>1140000</v>
      </c>
      <c r="E294" t="s">
        <v>135</v>
      </c>
      <c r="F294" s="27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77</v>
      </c>
      <c r="C295" t="s">
        <v>219</v>
      </c>
      <c r="D295">
        <v>1110000</v>
      </c>
      <c r="E295" t="s">
        <v>197</v>
      </c>
      <c r="F295" s="27" t="str">
        <f t="shared" si="12"/>
        <v>rtdc.l.rtdc.4031:itc</v>
      </c>
      <c r="G295" s="8">
        <f t="shared" si="13"/>
        <v>42558.160578703704</v>
      </c>
    </row>
    <row r="296" spans="1:7" x14ac:dyDescent="0.25">
      <c r="F296" s="27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130</v>
      </c>
      <c r="C297" t="s">
        <v>181</v>
      </c>
      <c r="D297">
        <v>1090000</v>
      </c>
      <c r="E297" t="s">
        <v>134</v>
      </c>
      <c r="F297" s="27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123</v>
      </c>
      <c r="C298" t="s">
        <v>169</v>
      </c>
      <c r="D298">
        <v>1770000</v>
      </c>
      <c r="E298" t="s">
        <v>141</v>
      </c>
      <c r="F298" s="27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84</v>
      </c>
      <c r="C299" t="s">
        <v>184</v>
      </c>
      <c r="D299">
        <v>900000</v>
      </c>
      <c r="E299" t="s">
        <v>133</v>
      </c>
      <c r="F299" s="27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126</v>
      </c>
      <c r="C300" t="s">
        <v>162</v>
      </c>
      <c r="D300">
        <v>1780000</v>
      </c>
      <c r="E300" t="s">
        <v>151</v>
      </c>
      <c r="F300" s="27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120</v>
      </c>
      <c r="C301" t="s">
        <v>174</v>
      </c>
      <c r="D301">
        <v>1280000</v>
      </c>
      <c r="E301" t="s">
        <v>128</v>
      </c>
      <c r="F301" s="27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119</v>
      </c>
      <c r="C302" t="s">
        <v>173</v>
      </c>
      <c r="D302">
        <v>1280000</v>
      </c>
      <c r="E302" t="s">
        <v>128</v>
      </c>
      <c r="F302" s="27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123</v>
      </c>
      <c r="C303" t="s">
        <v>172</v>
      </c>
      <c r="D303">
        <v>1770000</v>
      </c>
      <c r="E303" t="s">
        <v>141</v>
      </c>
      <c r="F303" s="27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76</v>
      </c>
      <c r="C304" t="s">
        <v>185</v>
      </c>
      <c r="D304">
        <v>1840000</v>
      </c>
      <c r="E304" t="s">
        <v>114</v>
      </c>
      <c r="F304" s="27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126</v>
      </c>
      <c r="C305" t="s">
        <v>163</v>
      </c>
      <c r="D305">
        <v>1780000</v>
      </c>
      <c r="E305" t="s">
        <v>151</v>
      </c>
      <c r="F305" s="27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75</v>
      </c>
      <c r="C306" t="s">
        <v>186</v>
      </c>
      <c r="D306">
        <v>1840000</v>
      </c>
      <c r="E306" t="s">
        <v>114</v>
      </c>
      <c r="F306" s="27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120</v>
      </c>
      <c r="C307" t="s">
        <v>171</v>
      </c>
      <c r="D307">
        <v>1280000</v>
      </c>
      <c r="E307" t="s">
        <v>128</v>
      </c>
      <c r="F307" s="27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129</v>
      </c>
      <c r="C308" t="s">
        <v>187</v>
      </c>
      <c r="D308">
        <v>1120000</v>
      </c>
      <c r="E308" t="s">
        <v>144</v>
      </c>
      <c r="F308" s="27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119</v>
      </c>
      <c r="C309" t="s">
        <v>170</v>
      </c>
      <c r="D309">
        <v>1280000</v>
      </c>
      <c r="E309" t="s">
        <v>128</v>
      </c>
      <c r="F309" s="27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131</v>
      </c>
      <c r="C310" t="s">
        <v>188</v>
      </c>
      <c r="D310">
        <v>1460000</v>
      </c>
      <c r="E310" t="s">
        <v>115</v>
      </c>
      <c r="F310" s="27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143</v>
      </c>
      <c r="C311" t="s">
        <v>168</v>
      </c>
      <c r="D311">
        <v>1140000</v>
      </c>
      <c r="E311" t="s">
        <v>135</v>
      </c>
      <c r="F311" s="27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74</v>
      </c>
      <c r="C312" t="s">
        <v>189</v>
      </c>
      <c r="D312">
        <v>950000</v>
      </c>
      <c r="E312" t="s">
        <v>148</v>
      </c>
      <c r="F312" s="27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120</v>
      </c>
      <c r="C313" t="s">
        <v>165</v>
      </c>
      <c r="D313">
        <v>1280000</v>
      </c>
      <c r="E313" t="s">
        <v>128</v>
      </c>
      <c r="F313" s="27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130</v>
      </c>
      <c r="C314" t="s">
        <v>180</v>
      </c>
      <c r="D314">
        <v>1090000</v>
      </c>
      <c r="E314" t="s">
        <v>134</v>
      </c>
      <c r="F314" s="27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150</v>
      </c>
      <c r="C315" t="s">
        <v>167</v>
      </c>
      <c r="D315">
        <v>1290000</v>
      </c>
      <c r="E315" t="s">
        <v>179</v>
      </c>
      <c r="F315" s="27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68</v>
      </c>
      <c r="C316" t="s">
        <v>182</v>
      </c>
      <c r="D316">
        <v>1540000</v>
      </c>
      <c r="E316" t="s">
        <v>145</v>
      </c>
      <c r="F316" s="27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126</v>
      </c>
      <c r="C317" t="s">
        <v>161</v>
      </c>
      <c r="D317">
        <v>1780000</v>
      </c>
      <c r="E317" t="s">
        <v>151</v>
      </c>
      <c r="F317" s="27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176</v>
      </c>
      <c r="C318" t="s">
        <v>190</v>
      </c>
      <c r="D318">
        <v>1810000</v>
      </c>
      <c r="E318" t="s">
        <v>177</v>
      </c>
      <c r="F318" s="27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124</v>
      </c>
      <c r="C319" t="s">
        <v>164</v>
      </c>
      <c r="D319">
        <v>1240000</v>
      </c>
      <c r="E319" t="s">
        <v>149</v>
      </c>
      <c r="F319" s="27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131</v>
      </c>
      <c r="C320" t="s">
        <v>183</v>
      </c>
      <c r="D320">
        <v>1460000</v>
      </c>
      <c r="E320" t="s">
        <v>115</v>
      </c>
      <c r="F320" s="27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76</v>
      </c>
      <c r="C321" t="s">
        <v>191</v>
      </c>
      <c r="D321">
        <v>890000</v>
      </c>
      <c r="E321" t="s">
        <v>178</v>
      </c>
      <c r="F321" s="27" t="str">
        <f t="shared" si="12"/>
        <v>rtdc.l.rtdc.4017:itc</v>
      </c>
      <c r="G321" s="8">
        <f t="shared" si="13"/>
        <v>42555.544722222221</v>
      </c>
    </row>
    <row r="322" spans="1:7" x14ac:dyDescent="0.25">
      <c r="F322" s="27">
        <f t="shared" si="12"/>
        <v>0</v>
      </c>
      <c r="G322" s="8">
        <f t="shared" si="13"/>
        <v>0</v>
      </c>
    </row>
    <row r="323" spans="1:7" x14ac:dyDescent="0.25">
      <c r="F323" s="27">
        <f t="shared" si="12"/>
        <v>0</v>
      </c>
      <c r="G323" s="8">
        <f t="shared" si="13"/>
        <v>0</v>
      </c>
    </row>
    <row r="324" spans="1:7" x14ac:dyDescent="0.25">
      <c r="F324" s="27">
        <f t="shared" si="12"/>
        <v>0</v>
      </c>
      <c r="G324" s="8">
        <f t="shared" si="13"/>
        <v>0</v>
      </c>
    </row>
    <row r="325" spans="1:7" x14ac:dyDescent="0.25">
      <c r="F325" s="27">
        <f t="shared" si="12"/>
        <v>0</v>
      </c>
      <c r="G325" s="8">
        <f t="shared" si="13"/>
        <v>0</v>
      </c>
    </row>
    <row r="326" spans="1:7" x14ac:dyDescent="0.25">
      <c r="F326" s="27">
        <f t="shared" si="12"/>
        <v>0</v>
      </c>
      <c r="G326" s="8">
        <f t="shared" si="13"/>
        <v>0</v>
      </c>
    </row>
    <row r="327" spans="1:7" x14ac:dyDescent="0.25">
      <c r="F327" s="27">
        <f t="shared" si="12"/>
        <v>0</v>
      </c>
      <c r="G327" s="8">
        <f t="shared" si="13"/>
        <v>0</v>
      </c>
    </row>
    <row r="328" spans="1:7" x14ac:dyDescent="0.25">
      <c r="F328" s="27">
        <f t="shared" si="12"/>
        <v>0</v>
      </c>
      <c r="G328" s="8">
        <f t="shared" si="13"/>
        <v>0</v>
      </c>
    </row>
    <row r="329" spans="1:7" x14ac:dyDescent="0.25">
      <c r="F329" s="27">
        <f t="shared" si="12"/>
        <v>0</v>
      </c>
      <c r="G329" s="8">
        <f t="shared" si="13"/>
        <v>0</v>
      </c>
    </row>
    <row r="330" spans="1:7" x14ac:dyDescent="0.25">
      <c r="F330" s="27">
        <f t="shared" si="12"/>
        <v>0</v>
      </c>
      <c r="G330" s="8">
        <f t="shared" si="13"/>
        <v>0</v>
      </c>
    </row>
    <row r="331" spans="1:7" x14ac:dyDescent="0.25">
      <c r="F331" s="27">
        <f t="shared" si="12"/>
        <v>0</v>
      </c>
      <c r="G331" s="8">
        <f t="shared" si="13"/>
        <v>0</v>
      </c>
    </row>
    <row r="332" spans="1:7" x14ac:dyDescent="0.25">
      <c r="F332" s="27">
        <f t="shared" si="12"/>
        <v>0</v>
      </c>
      <c r="G332" s="8">
        <f t="shared" si="13"/>
        <v>0</v>
      </c>
    </row>
    <row r="333" spans="1:7" x14ac:dyDescent="0.25">
      <c r="F333" s="27">
        <f t="shared" si="12"/>
        <v>0</v>
      </c>
      <c r="G333" s="8">
        <f t="shared" si="13"/>
        <v>0</v>
      </c>
    </row>
    <row r="334" spans="1:7" x14ac:dyDescent="0.25">
      <c r="F334" s="27">
        <f t="shared" si="12"/>
        <v>0</v>
      </c>
      <c r="G334" s="8">
        <f t="shared" si="13"/>
        <v>0</v>
      </c>
    </row>
    <row r="335" spans="1:7" x14ac:dyDescent="0.25">
      <c r="F335" s="27">
        <f t="shared" si="12"/>
        <v>0</v>
      </c>
      <c r="G335" s="8">
        <f t="shared" si="13"/>
        <v>0</v>
      </c>
    </row>
    <row r="336" spans="1:7" x14ac:dyDescent="0.25">
      <c r="F336" s="27">
        <f t="shared" si="12"/>
        <v>0</v>
      </c>
      <c r="G336" s="8">
        <f t="shared" si="13"/>
        <v>0</v>
      </c>
    </row>
    <row r="337" spans="6:7" x14ac:dyDescent="0.25">
      <c r="F337" s="27">
        <f t="shared" si="12"/>
        <v>0</v>
      </c>
      <c r="G337" s="8">
        <f t="shared" si="13"/>
        <v>0</v>
      </c>
    </row>
    <row r="338" spans="6:7" x14ac:dyDescent="0.25">
      <c r="F338" s="27">
        <f t="shared" si="12"/>
        <v>0</v>
      </c>
      <c r="G338" s="8">
        <f t="shared" si="13"/>
        <v>0</v>
      </c>
    </row>
    <row r="339" spans="6:7" x14ac:dyDescent="0.25">
      <c r="F339" s="27">
        <f t="shared" si="12"/>
        <v>0</v>
      </c>
      <c r="G339" s="8">
        <f t="shared" si="13"/>
        <v>0</v>
      </c>
    </row>
    <row r="340" spans="6:7" x14ac:dyDescent="0.25">
      <c r="F340" s="27">
        <f t="shared" si="12"/>
        <v>0</v>
      </c>
      <c r="G340" s="8">
        <f t="shared" si="13"/>
        <v>0</v>
      </c>
    </row>
    <row r="341" spans="6:7" x14ac:dyDescent="0.25">
      <c r="F341" s="27">
        <f t="shared" si="12"/>
        <v>0</v>
      </c>
      <c r="G341" s="8">
        <f t="shared" si="13"/>
        <v>0</v>
      </c>
    </row>
    <row r="342" spans="6:7" x14ac:dyDescent="0.25">
      <c r="F342" s="27">
        <f t="shared" si="12"/>
        <v>0</v>
      </c>
      <c r="G342" s="8">
        <f t="shared" si="13"/>
        <v>0</v>
      </c>
    </row>
    <row r="343" spans="6:7" x14ac:dyDescent="0.25">
      <c r="F343" s="27">
        <f t="shared" si="12"/>
        <v>0</v>
      </c>
      <c r="G343" s="8">
        <f t="shared" si="13"/>
        <v>0</v>
      </c>
    </row>
    <row r="344" spans="6:7" x14ac:dyDescent="0.25">
      <c r="F344" s="27">
        <f t="shared" si="12"/>
        <v>0</v>
      </c>
      <c r="G344" s="8">
        <f t="shared" si="13"/>
        <v>0</v>
      </c>
    </row>
    <row r="345" spans="6:7" x14ac:dyDescent="0.25">
      <c r="F345" s="27">
        <f t="shared" si="12"/>
        <v>0</v>
      </c>
      <c r="G345" s="8">
        <f t="shared" si="13"/>
        <v>0</v>
      </c>
    </row>
    <row r="346" spans="6:7" x14ac:dyDescent="0.25">
      <c r="F346" s="27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7">
        <f t="shared" si="14"/>
        <v>0</v>
      </c>
      <c r="G347" s="8">
        <f t="shared" si="15"/>
        <v>0</v>
      </c>
    </row>
    <row r="348" spans="6:7" x14ac:dyDescent="0.25">
      <c r="F348" s="27">
        <f t="shared" si="14"/>
        <v>0</v>
      </c>
      <c r="G348" s="8">
        <f t="shared" si="15"/>
        <v>0</v>
      </c>
    </row>
    <row r="349" spans="6:7" x14ac:dyDescent="0.25">
      <c r="F349" s="27">
        <f t="shared" si="14"/>
        <v>0</v>
      </c>
      <c r="G349" s="8">
        <f t="shared" si="15"/>
        <v>0</v>
      </c>
    </row>
    <row r="350" spans="6:7" x14ac:dyDescent="0.25">
      <c r="F350" s="27">
        <f t="shared" si="14"/>
        <v>0</v>
      </c>
      <c r="G350" s="8">
        <f t="shared" si="15"/>
        <v>0</v>
      </c>
    </row>
    <row r="351" spans="6:7" x14ac:dyDescent="0.25">
      <c r="F351" s="27">
        <f t="shared" si="14"/>
        <v>0</v>
      </c>
      <c r="G351" s="8">
        <f t="shared" si="15"/>
        <v>0</v>
      </c>
    </row>
    <row r="352" spans="6:7" x14ac:dyDescent="0.25">
      <c r="F352" s="27">
        <f t="shared" si="14"/>
        <v>0</v>
      </c>
      <c r="G352" s="8">
        <f t="shared" si="15"/>
        <v>0</v>
      </c>
    </row>
    <row r="353" spans="6:7" x14ac:dyDescent="0.25">
      <c r="F353" s="27">
        <f t="shared" si="14"/>
        <v>0</v>
      </c>
      <c r="G353" s="8">
        <f t="shared" si="15"/>
        <v>0</v>
      </c>
    </row>
    <row r="354" spans="6:7" x14ac:dyDescent="0.25">
      <c r="F354" s="27">
        <f t="shared" si="14"/>
        <v>0</v>
      </c>
      <c r="G354" s="8">
        <f t="shared" si="15"/>
        <v>0</v>
      </c>
    </row>
    <row r="355" spans="6:7" x14ac:dyDescent="0.25">
      <c r="F355" s="27">
        <f t="shared" si="14"/>
        <v>0</v>
      </c>
      <c r="G355" s="8">
        <f t="shared" si="15"/>
        <v>0</v>
      </c>
    </row>
    <row r="356" spans="6:7" x14ac:dyDescent="0.25">
      <c r="F356" s="27">
        <f t="shared" si="14"/>
        <v>0</v>
      </c>
      <c r="G356" s="8">
        <f t="shared" si="15"/>
        <v>0</v>
      </c>
    </row>
    <row r="357" spans="6:7" x14ac:dyDescent="0.25">
      <c r="F357" s="27">
        <f t="shared" si="14"/>
        <v>0</v>
      </c>
      <c r="G357" s="8">
        <f t="shared" si="15"/>
        <v>0</v>
      </c>
    </row>
    <row r="358" spans="6:7" x14ac:dyDescent="0.25">
      <c r="F358" s="27">
        <f t="shared" si="14"/>
        <v>0</v>
      </c>
      <c r="G358" s="8">
        <f t="shared" si="15"/>
        <v>0</v>
      </c>
    </row>
    <row r="359" spans="6:7" x14ac:dyDescent="0.25">
      <c r="F359" s="27">
        <f t="shared" si="14"/>
        <v>0</v>
      </c>
      <c r="G359" s="8">
        <f t="shared" si="15"/>
        <v>0</v>
      </c>
    </row>
    <row r="360" spans="6:7" x14ac:dyDescent="0.25">
      <c r="F360" s="27">
        <f t="shared" si="14"/>
        <v>0</v>
      </c>
      <c r="G360" s="8">
        <f t="shared" si="15"/>
        <v>0</v>
      </c>
    </row>
    <row r="361" spans="6:7" x14ac:dyDescent="0.25">
      <c r="F361" s="27">
        <f t="shared" si="14"/>
        <v>0</v>
      </c>
      <c r="G361" s="8">
        <f t="shared" si="15"/>
        <v>0</v>
      </c>
    </row>
    <row r="362" spans="6:7" x14ac:dyDescent="0.25">
      <c r="F362" s="27">
        <f t="shared" si="14"/>
        <v>0</v>
      </c>
      <c r="G362" s="8">
        <f t="shared" si="15"/>
        <v>0</v>
      </c>
    </row>
    <row r="363" spans="6:7" x14ac:dyDescent="0.25">
      <c r="F363" s="27">
        <f t="shared" si="14"/>
        <v>0</v>
      </c>
      <c r="G363" s="8">
        <f t="shared" si="15"/>
        <v>0</v>
      </c>
    </row>
    <row r="364" spans="6:7" x14ac:dyDescent="0.25">
      <c r="F364" s="27">
        <f t="shared" si="14"/>
        <v>0</v>
      </c>
      <c r="G364" s="8">
        <f t="shared" si="15"/>
        <v>0</v>
      </c>
    </row>
    <row r="365" spans="6:7" x14ac:dyDescent="0.25">
      <c r="F365" s="27">
        <f t="shared" si="14"/>
        <v>0</v>
      </c>
      <c r="G365" s="8">
        <f t="shared" si="15"/>
        <v>0</v>
      </c>
    </row>
    <row r="366" spans="6:7" x14ac:dyDescent="0.25">
      <c r="F366" s="27">
        <f t="shared" si="14"/>
        <v>0</v>
      </c>
      <c r="G366" s="8">
        <f t="shared" si="15"/>
        <v>0</v>
      </c>
    </row>
    <row r="367" spans="6:7" x14ac:dyDescent="0.25">
      <c r="F367" s="27">
        <f t="shared" si="14"/>
        <v>0</v>
      </c>
      <c r="G367" s="8">
        <f t="shared" si="15"/>
        <v>0</v>
      </c>
    </row>
    <row r="368" spans="6:7" x14ac:dyDescent="0.25">
      <c r="F368" s="27">
        <f t="shared" si="14"/>
        <v>0</v>
      </c>
      <c r="G368" s="8">
        <f t="shared" si="15"/>
        <v>0</v>
      </c>
    </row>
    <row r="369" spans="6:7" x14ac:dyDescent="0.25">
      <c r="F369" s="27">
        <f t="shared" si="14"/>
        <v>0</v>
      </c>
      <c r="G369" s="8">
        <f t="shared" si="15"/>
        <v>0</v>
      </c>
    </row>
    <row r="370" spans="6:7" x14ac:dyDescent="0.25">
      <c r="F370" s="27">
        <f t="shared" si="14"/>
        <v>0</v>
      </c>
      <c r="G370" s="8">
        <f t="shared" si="15"/>
        <v>0</v>
      </c>
    </row>
    <row r="371" spans="6:7" x14ac:dyDescent="0.25">
      <c r="F371" s="27">
        <f t="shared" si="14"/>
        <v>0</v>
      </c>
      <c r="G371" s="8">
        <f t="shared" si="15"/>
        <v>0</v>
      </c>
    </row>
    <row r="372" spans="6:7" x14ac:dyDescent="0.25">
      <c r="F372" s="27">
        <f t="shared" si="14"/>
        <v>0</v>
      </c>
      <c r="G372" s="8">
        <f t="shared" si="15"/>
        <v>0</v>
      </c>
    </row>
    <row r="373" spans="6:7" x14ac:dyDescent="0.25">
      <c r="F373" s="27">
        <f t="shared" si="14"/>
        <v>0</v>
      </c>
      <c r="G373" s="8">
        <f t="shared" si="15"/>
        <v>0</v>
      </c>
    </row>
    <row r="374" spans="6:7" x14ac:dyDescent="0.25">
      <c r="F374" s="27">
        <f t="shared" si="14"/>
        <v>0</v>
      </c>
      <c r="G374" s="8">
        <f t="shared" si="15"/>
        <v>0</v>
      </c>
    </row>
    <row r="375" spans="6:7" x14ac:dyDescent="0.25">
      <c r="F375" s="27">
        <f t="shared" si="14"/>
        <v>0</v>
      </c>
      <c r="G375" s="8">
        <f t="shared" si="15"/>
        <v>0</v>
      </c>
    </row>
    <row r="376" spans="6:7" x14ac:dyDescent="0.25">
      <c r="F376" s="27">
        <f t="shared" si="14"/>
        <v>0</v>
      </c>
      <c r="G376" s="8">
        <f t="shared" si="15"/>
        <v>0</v>
      </c>
    </row>
    <row r="377" spans="6:7" x14ac:dyDescent="0.25">
      <c r="F377" s="27">
        <f t="shared" si="14"/>
        <v>0</v>
      </c>
      <c r="G377" s="8">
        <f t="shared" si="15"/>
        <v>0</v>
      </c>
    </row>
    <row r="378" spans="6:7" x14ac:dyDescent="0.25">
      <c r="F378" s="27">
        <f t="shared" si="14"/>
        <v>0</v>
      </c>
      <c r="G378" s="8">
        <f t="shared" si="15"/>
        <v>0</v>
      </c>
    </row>
    <row r="379" spans="6:7" x14ac:dyDescent="0.25">
      <c r="F379" s="27">
        <f t="shared" si="14"/>
        <v>0</v>
      </c>
      <c r="G379" s="8">
        <f t="shared" si="15"/>
        <v>0</v>
      </c>
    </row>
    <row r="380" spans="6:7" x14ac:dyDescent="0.25">
      <c r="F380" s="27">
        <f t="shared" si="14"/>
        <v>0</v>
      </c>
      <c r="G380" s="8">
        <f t="shared" si="15"/>
        <v>0</v>
      </c>
    </row>
    <row r="381" spans="6:7" x14ac:dyDescent="0.25">
      <c r="F381" s="27">
        <f t="shared" si="14"/>
        <v>0</v>
      </c>
      <c r="G381" s="8">
        <f t="shared" si="15"/>
        <v>0</v>
      </c>
    </row>
    <row r="382" spans="6:7" x14ac:dyDescent="0.25">
      <c r="F382" s="27">
        <f t="shared" si="14"/>
        <v>0</v>
      </c>
      <c r="G382" s="8">
        <f t="shared" si="15"/>
        <v>0</v>
      </c>
    </row>
    <row r="383" spans="6:7" x14ac:dyDescent="0.25">
      <c r="F383" s="27">
        <f t="shared" si="14"/>
        <v>0</v>
      </c>
      <c r="G383" s="8">
        <f t="shared" si="15"/>
        <v>0</v>
      </c>
    </row>
    <row r="384" spans="6:7" x14ac:dyDescent="0.25">
      <c r="F384" s="27">
        <f t="shared" si="14"/>
        <v>0</v>
      </c>
      <c r="G384" s="8">
        <f t="shared" si="15"/>
        <v>0</v>
      </c>
    </row>
    <row r="385" spans="6:7" x14ac:dyDescent="0.25">
      <c r="F385" s="27">
        <f t="shared" si="14"/>
        <v>0</v>
      </c>
      <c r="G385" s="8">
        <f t="shared" si="15"/>
        <v>0</v>
      </c>
    </row>
    <row r="386" spans="6:7" x14ac:dyDescent="0.25">
      <c r="F386" s="27">
        <f t="shared" si="14"/>
        <v>0</v>
      </c>
      <c r="G386" s="8">
        <f t="shared" si="15"/>
        <v>0</v>
      </c>
    </row>
    <row r="387" spans="6:7" x14ac:dyDescent="0.25">
      <c r="F387" s="27">
        <f t="shared" si="14"/>
        <v>0</v>
      </c>
      <c r="G387" s="8">
        <f t="shared" si="15"/>
        <v>0</v>
      </c>
    </row>
    <row r="388" spans="6:7" x14ac:dyDescent="0.25">
      <c r="F388" s="27">
        <f t="shared" si="14"/>
        <v>0</v>
      </c>
      <c r="G388" s="8">
        <f t="shared" si="15"/>
        <v>0</v>
      </c>
    </row>
    <row r="389" spans="6:7" x14ac:dyDescent="0.25">
      <c r="F389" s="27">
        <f t="shared" si="14"/>
        <v>0</v>
      </c>
      <c r="G389" s="8">
        <f t="shared" si="15"/>
        <v>0</v>
      </c>
    </row>
    <row r="390" spans="6:7" x14ac:dyDescent="0.25">
      <c r="F390" s="27">
        <f t="shared" si="14"/>
        <v>0</v>
      </c>
      <c r="G390" s="8">
        <f t="shared" si="15"/>
        <v>0</v>
      </c>
    </row>
    <row r="391" spans="6:7" x14ac:dyDescent="0.25">
      <c r="F391" s="27">
        <f t="shared" si="14"/>
        <v>0</v>
      </c>
      <c r="G391" s="8">
        <f t="shared" si="15"/>
        <v>0</v>
      </c>
    </row>
    <row r="392" spans="6:7" x14ac:dyDescent="0.25">
      <c r="F392" s="27">
        <f t="shared" si="14"/>
        <v>0</v>
      </c>
      <c r="G392" s="8">
        <f t="shared" si="15"/>
        <v>0</v>
      </c>
    </row>
    <row r="393" spans="6:7" x14ac:dyDescent="0.25">
      <c r="F393" s="27">
        <f t="shared" si="14"/>
        <v>0</v>
      </c>
      <c r="G393" s="8">
        <f t="shared" si="15"/>
        <v>0</v>
      </c>
    </row>
    <row r="394" spans="6:7" x14ac:dyDescent="0.25">
      <c r="F394" s="27">
        <f t="shared" si="14"/>
        <v>0</v>
      </c>
      <c r="G394" s="8">
        <f t="shared" si="15"/>
        <v>0</v>
      </c>
    </row>
    <row r="395" spans="6:7" x14ac:dyDescent="0.25">
      <c r="F395" s="27">
        <f t="shared" si="14"/>
        <v>0</v>
      </c>
      <c r="G395" s="8">
        <f t="shared" si="15"/>
        <v>0</v>
      </c>
    </row>
    <row r="396" spans="6:7" x14ac:dyDescent="0.25">
      <c r="F396" s="27">
        <f t="shared" si="14"/>
        <v>0</v>
      </c>
      <c r="G396" s="8">
        <f t="shared" si="15"/>
        <v>0</v>
      </c>
    </row>
    <row r="397" spans="6:7" x14ac:dyDescent="0.25">
      <c r="F397" s="27">
        <f t="shared" si="14"/>
        <v>0</v>
      </c>
      <c r="G397" s="8">
        <f t="shared" si="15"/>
        <v>0</v>
      </c>
    </row>
    <row r="398" spans="6:7" x14ac:dyDescent="0.25">
      <c r="F398" s="27">
        <f t="shared" si="14"/>
        <v>0</v>
      </c>
      <c r="G398" s="8">
        <f t="shared" si="15"/>
        <v>0</v>
      </c>
    </row>
    <row r="399" spans="6:7" x14ac:dyDescent="0.25">
      <c r="F399" s="27">
        <f t="shared" si="14"/>
        <v>0</v>
      </c>
      <c r="G399" s="8">
        <f t="shared" si="15"/>
        <v>0</v>
      </c>
    </row>
    <row r="400" spans="6:7" x14ac:dyDescent="0.25">
      <c r="F400" s="27">
        <f t="shared" si="14"/>
        <v>0</v>
      </c>
      <c r="G400" s="8">
        <f t="shared" si="15"/>
        <v>0</v>
      </c>
    </row>
    <row r="401" spans="6:7" x14ac:dyDescent="0.25">
      <c r="F401" s="27">
        <f t="shared" si="14"/>
        <v>0</v>
      </c>
      <c r="G401" s="8">
        <f t="shared" si="15"/>
        <v>0</v>
      </c>
    </row>
    <row r="402" spans="6:7" x14ac:dyDescent="0.25">
      <c r="F402" s="27">
        <f t="shared" si="14"/>
        <v>0</v>
      </c>
      <c r="G402" s="8">
        <f t="shared" si="15"/>
        <v>0</v>
      </c>
    </row>
    <row r="403" spans="6:7" x14ac:dyDescent="0.25">
      <c r="F403" s="27">
        <f t="shared" si="14"/>
        <v>0</v>
      </c>
      <c r="G403" s="8">
        <f t="shared" si="15"/>
        <v>0</v>
      </c>
    </row>
    <row r="404" spans="6:7" x14ac:dyDescent="0.25">
      <c r="F404" s="27">
        <f t="shared" si="14"/>
        <v>0</v>
      </c>
      <c r="G404" s="8">
        <f t="shared" si="15"/>
        <v>0</v>
      </c>
    </row>
    <row r="405" spans="6:7" x14ac:dyDescent="0.25">
      <c r="F405" s="27">
        <f t="shared" si="14"/>
        <v>0</v>
      </c>
      <c r="G405" s="8">
        <f t="shared" si="15"/>
        <v>0</v>
      </c>
    </row>
    <row r="406" spans="6:7" x14ac:dyDescent="0.25">
      <c r="F406" s="27">
        <f t="shared" si="14"/>
        <v>0</v>
      </c>
      <c r="G406" s="8">
        <f t="shared" si="15"/>
        <v>0</v>
      </c>
    </row>
    <row r="407" spans="6:7" x14ac:dyDescent="0.25">
      <c r="F407" s="27">
        <f t="shared" si="14"/>
        <v>0</v>
      </c>
      <c r="G407" s="8">
        <f t="shared" si="15"/>
        <v>0</v>
      </c>
    </row>
    <row r="408" spans="6:7" x14ac:dyDescent="0.25">
      <c r="F408" s="27">
        <f t="shared" si="14"/>
        <v>0</v>
      </c>
      <c r="G408" s="8">
        <f t="shared" si="15"/>
        <v>0</v>
      </c>
    </row>
    <row r="409" spans="6:7" x14ac:dyDescent="0.25">
      <c r="F409" s="27">
        <f t="shared" si="14"/>
        <v>0</v>
      </c>
      <c r="G409" s="8">
        <f t="shared" si="15"/>
        <v>0</v>
      </c>
    </row>
    <row r="410" spans="6:7" x14ac:dyDescent="0.25">
      <c r="F410" s="27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7">
        <f t="shared" si="16"/>
        <v>0</v>
      </c>
      <c r="G411" s="8">
        <f t="shared" si="17"/>
        <v>0</v>
      </c>
    </row>
    <row r="412" spans="6:7" x14ac:dyDescent="0.25">
      <c r="F412" s="27">
        <f t="shared" si="16"/>
        <v>0</v>
      </c>
      <c r="G412" s="8">
        <f t="shared" si="17"/>
        <v>0</v>
      </c>
    </row>
    <row r="413" spans="6:7" x14ac:dyDescent="0.25">
      <c r="F413" s="27">
        <f t="shared" si="16"/>
        <v>0</v>
      </c>
      <c r="G413" s="8">
        <f t="shared" si="17"/>
        <v>0</v>
      </c>
    </row>
    <row r="414" spans="6:7" x14ac:dyDescent="0.25">
      <c r="F414" s="27">
        <f t="shared" si="16"/>
        <v>0</v>
      </c>
      <c r="G414" s="8">
        <f t="shared" si="17"/>
        <v>0</v>
      </c>
    </row>
    <row r="415" spans="6:7" x14ac:dyDescent="0.25">
      <c r="F415" s="27">
        <f t="shared" si="16"/>
        <v>0</v>
      </c>
      <c r="G415" s="8">
        <f t="shared" si="17"/>
        <v>0</v>
      </c>
    </row>
    <row r="416" spans="6:7" x14ac:dyDescent="0.25">
      <c r="F416" s="27">
        <f t="shared" si="16"/>
        <v>0</v>
      </c>
      <c r="G416" s="8">
        <f t="shared" si="17"/>
        <v>0</v>
      </c>
    </row>
    <row r="417" spans="6:7" x14ac:dyDescent="0.25">
      <c r="F417" s="27">
        <f t="shared" si="16"/>
        <v>0</v>
      </c>
      <c r="G417" s="8">
        <f t="shared" si="17"/>
        <v>0</v>
      </c>
    </row>
    <row r="418" spans="6:7" x14ac:dyDescent="0.25">
      <c r="F418" s="27">
        <f t="shared" si="16"/>
        <v>0</v>
      </c>
      <c r="G418" s="8">
        <f t="shared" si="17"/>
        <v>0</v>
      </c>
    </row>
    <row r="419" spans="6:7" x14ac:dyDescent="0.25">
      <c r="F419" s="27">
        <f t="shared" si="16"/>
        <v>0</v>
      </c>
      <c r="G419" s="8">
        <f t="shared" si="17"/>
        <v>0</v>
      </c>
    </row>
    <row r="420" spans="6:7" x14ac:dyDescent="0.25">
      <c r="F420" s="27">
        <f t="shared" si="16"/>
        <v>0</v>
      </c>
      <c r="G420" s="8">
        <f t="shared" si="17"/>
        <v>0</v>
      </c>
    </row>
    <row r="421" spans="6:7" x14ac:dyDescent="0.25">
      <c r="F421" s="27">
        <f t="shared" si="16"/>
        <v>0</v>
      </c>
      <c r="G421" s="8">
        <f t="shared" si="17"/>
        <v>0</v>
      </c>
    </row>
    <row r="422" spans="6:7" x14ac:dyDescent="0.25">
      <c r="F422" s="27">
        <f t="shared" si="16"/>
        <v>0</v>
      </c>
      <c r="G422" s="8">
        <f t="shared" si="17"/>
        <v>0</v>
      </c>
    </row>
    <row r="423" spans="6:7" x14ac:dyDescent="0.25">
      <c r="F423" s="27">
        <f t="shared" si="16"/>
        <v>0</v>
      </c>
      <c r="G423" s="8">
        <f t="shared" si="17"/>
        <v>0</v>
      </c>
    </row>
    <row r="424" spans="6:7" x14ac:dyDescent="0.25">
      <c r="F424" s="27">
        <f t="shared" si="16"/>
        <v>0</v>
      </c>
      <c r="G424" s="8">
        <f t="shared" si="17"/>
        <v>0</v>
      </c>
    </row>
    <row r="425" spans="6:7" x14ac:dyDescent="0.25">
      <c r="F425" s="27">
        <f t="shared" si="16"/>
        <v>0</v>
      </c>
      <c r="G425" s="8">
        <f t="shared" si="17"/>
        <v>0</v>
      </c>
    </row>
    <row r="426" spans="6:7" x14ac:dyDescent="0.25">
      <c r="F426" s="27">
        <f t="shared" si="16"/>
        <v>0</v>
      </c>
      <c r="G426" s="8">
        <f t="shared" si="17"/>
        <v>0</v>
      </c>
    </row>
    <row r="427" spans="6:7" x14ac:dyDescent="0.25">
      <c r="F427" s="27">
        <f t="shared" si="16"/>
        <v>0</v>
      </c>
      <c r="G427" s="8">
        <f t="shared" si="17"/>
        <v>0</v>
      </c>
    </row>
    <row r="428" spans="6:7" x14ac:dyDescent="0.25">
      <c r="F428" s="27">
        <f t="shared" si="16"/>
        <v>0</v>
      </c>
      <c r="G428" s="8">
        <f t="shared" si="17"/>
        <v>0</v>
      </c>
    </row>
    <row r="429" spans="6:7" x14ac:dyDescent="0.25">
      <c r="F429" s="27">
        <f t="shared" si="16"/>
        <v>0</v>
      </c>
      <c r="G429" s="8">
        <f t="shared" si="17"/>
        <v>0</v>
      </c>
    </row>
    <row r="430" spans="6:7" x14ac:dyDescent="0.25">
      <c r="F430" s="27">
        <f t="shared" si="16"/>
        <v>0</v>
      </c>
      <c r="G430" s="8">
        <f t="shared" si="17"/>
        <v>0</v>
      </c>
    </row>
    <row r="431" spans="6:7" x14ac:dyDescent="0.25">
      <c r="F431" s="27">
        <f t="shared" si="16"/>
        <v>0</v>
      </c>
      <c r="G431" s="8">
        <f t="shared" si="17"/>
        <v>0</v>
      </c>
    </row>
    <row r="432" spans="6:7" x14ac:dyDescent="0.25">
      <c r="F432" s="27">
        <f t="shared" si="16"/>
        <v>0</v>
      </c>
      <c r="G432" s="8">
        <f t="shared" si="17"/>
        <v>0</v>
      </c>
    </row>
    <row r="433" spans="6:7" x14ac:dyDescent="0.25">
      <c r="F433" s="27">
        <f t="shared" si="16"/>
        <v>0</v>
      </c>
      <c r="G433" s="8">
        <f t="shared" si="17"/>
        <v>0</v>
      </c>
    </row>
    <row r="434" spans="6:7" x14ac:dyDescent="0.25">
      <c r="F434" s="27">
        <f t="shared" si="16"/>
        <v>0</v>
      </c>
      <c r="G434" s="8">
        <f t="shared" si="17"/>
        <v>0</v>
      </c>
    </row>
    <row r="435" spans="6:7" x14ac:dyDescent="0.25">
      <c r="F435" s="27">
        <f t="shared" si="16"/>
        <v>0</v>
      </c>
      <c r="G435" s="8">
        <f t="shared" si="17"/>
        <v>0</v>
      </c>
    </row>
    <row r="436" spans="6:7" x14ac:dyDescent="0.25">
      <c r="F436" s="27">
        <f t="shared" si="16"/>
        <v>0</v>
      </c>
      <c r="G436" s="8">
        <f t="shared" si="17"/>
        <v>0</v>
      </c>
    </row>
    <row r="437" spans="6:7" x14ac:dyDescent="0.25">
      <c r="F437" s="27">
        <f t="shared" si="16"/>
        <v>0</v>
      </c>
      <c r="G437" s="8">
        <f t="shared" si="17"/>
        <v>0</v>
      </c>
    </row>
    <row r="438" spans="6:7" x14ac:dyDescent="0.25">
      <c r="F438" s="27">
        <f t="shared" si="16"/>
        <v>0</v>
      </c>
      <c r="G438" s="8">
        <f t="shared" si="17"/>
        <v>0</v>
      </c>
    </row>
    <row r="439" spans="6:7" x14ac:dyDescent="0.25">
      <c r="F439" s="27">
        <f t="shared" si="16"/>
        <v>0</v>
      </c>
      <c r="G439" s="8">
        <f t="shared" si="17"/>
        <v>0</v>
      </c>
    </row>
    <row r="440" spans="6:7" x14ac:dyDescent="0.25">
      <c r="F440" s="27">
        <f t="shared" si="16"/>
        <v>0</v>
      </c>
      <c r="G440" s="8">
        <f t="shared" si="17"/>
        <v>0</v>
      </c>
    </row>
    <row r="441" spans="6:7" x14ac:dyDescent="0.25">
      <c r="F441" s="27">
        <f t="shared" si="16"/>
        <v>0</v>
      </c>
      <c r="G441" s="8">
        <f t="shared" si="17"/>
        <v>0</v>
      </c>
    </row>
    <row r="442" spans="6:7" x14ac:dyDescent="0.25">
      <c r="F442" s="27">
        <f t="shared" si="16"/>
        <v>0</v>
      </c>
      <c r="G442" s="8">
        <f t="shared" si="17"/>
        <v>0</v>
      </c>
    </row>
    <row r="443" spans="6:7" x14ac:dyDescent="0.25">
      <c r="F443" s="27">
        <f t="shared" si="16"/>
        <v>0</v>
      </c>
      <c r="G443" s="8">
        <f t="shared" si="17"/>
        <v>0</v>
      </c>
    </row>
    <row r="444" spans="6:7" x14ac:dyDescent="0.25">
      <c r="F444" s="27">
        <f t="shared" si="16"/>
        <v>0</v>
      </c>
      <c r="G444" s="8">
        <f t="shared" si="17"/>
        <v>0</v>
      </c>
    </row>
    <row r="445" spans="6:7" x14ac:dyDescent="0.25">
      <c r="F445" s="27">
        <f t="shared" si="16"/>
        <v>0</v>
      </c>
      <c r="G445" s="8">
        <f t="shared" si="17"/>
        <v>0</v>
      </c>
    </row>
    <row r="446" spans="6:7" x14ac:dyDescent="0.25">
      <c r="F446" s="27">
        <f t="shared" si="16"/>
        <v>0</v>
      </c>
      <c r="G446" s="8">
        <f t="shared" si="17"/>
        <v>0</v>
      </c>
    </row>
    <row r="447" spans="6:7" x14ac:dyDescent="0.25">
      <c r="F447" s="27">
        <f t="shared" si="16"/>
        <v>0</v>
      </c>
      <c r="G447" s="8">
        <f t="shared" si="17"/>
        <v>0</v>
      </c>
    </row>
    <row r="448" spans="6:7" x14ac:dyDescent="0.25">
      <c r="F448" s="27">
        <f t="shared" si="16"/>
        <v>0</v>
      </c>
      <c r="G448" s="8">
        <f t="shared" si="17"/>
        <v>0</v>
      </c>
    </row>
    <row r="449" spans="6:7" x14ac:dyDescent="0.25">
      <c r="F449" s="27">
        <f t="shared" si="16"/>
        <v>0</v>
      </c>
      <c r="G449" s="8">
        <f t="shared" si="17"/>
        <v>0</v>
      </c>
    </row>
    <row r="450" spans="6:7" x14ac:dyDescent="0.25">
      <c r="F450" s="27">
        <f t="shared" si="16"/>
        <v>0</v>
      </c>
      <c r="G450" s="8">
        <f t="shared" si="17"/>
        <v>0</v>
      </c>
    </row>
    <row r="451" spans="6:7" x14ac:dyDescent="0.25">
      <c r="F451" s="27">
        <f t="shared" si="16"/>
        <v>0</v>
      </c>
      <c r="G451" s="8">
        <f t="shared" si="17"/>
        <v>0</v>
      </c>
    </row>
    <row r="452" spans="6:7" x14ac:dyDescent="0.25">
      <c r="F452" s="27">
        <f t="shared" si="16"/>
        <v>0</v>
      </c>
      <c r="G452" s="8">
        <f t="shared" si="17"/>
        <v>0</v>
      </c>
    </row>
    <row r="453" spans="6:7" x14ac:dyDescent="0.25">
      <c r="F453" s="27">
        <f t="shared" si="16"/>
        <v>0</v>
      </c>
      <c r="G453" s="8">
        <f t="shared" si="17"/>
        <v>0</v>
      </c>
    </row>
    <row r="454" spans="6:7" x14ac:dyDescent="0.25">
      <c r="F454" s="27">
        <f t="shared" si="16"/>
        <v>0</v>
      </c>
      <c r="G454" s="8">
        <f t="shared" si="17"/>
        <v>0</v>
      </c>
    </row>
    <row r="455" spans="6:7" x14ac:dyDescent="0.25">
      <c r="F455" s="27">
        <f t="shared" si="16"/>
        <v>0</v>
      </c>
      <c r="G455" s="8">
        <f t="shared" si="17"/>
        <v>0</v>
      </c>
    </row>
    <row r="456" spans="6:7" x14ac:dyDescent="0.25">
      <c r="F456" s="27">
        <f t="shared" si="16"/>
        <v>0</v>
      </c>
      <c r="G456" s="8">
        <f t="shared" si="17"/>
        <v>0</v>
      </c>
    </row>
    <row r="457" spans="6:7" x14ac:dyDescent="0.25">
      <c r="F457" s="27">
        <f t="shared" si="16"/>
        <v>0</v>
      </c>
      <c r="G457" s="8">
        <f t="shared" si="17"/>
        <v>0</v>
      </c>
    </row>
    <row r="458" spans="6:7" x14ac:dyDescent="0.25">
      <c r="F458" s="27">
        <f t="shared" si="16"/>
        <v>0</v>
      </c>
      <c r="G458" s="8">
        <f t="shared" si="17"/>
        <v>0</v>
      </c>
    </row>
    <row r="459" spans="6:7" x14ac:dyDescent="0.25">
      <c r="F459" s="27">
        <f t="shared" si="16"/>
        <v>0</v>
      </c>
      <c r="G459" s="8">
        <f t="shared" si="17"/>
        <v>0</v>
      </c>
    </row>
    <row r="460" spans="6:7" x14ac:dyDescent="0.25">
      <c r="F460" s="27">
        <f t="shared" si="16"/>
        <v>0</v>
      </c>
      <c r="G460" s="8">
        <f t="shared" si="17"/>
        <v>0</v>
      </c>
    </row>
    <row r="461" spans="6:7" x14ac:dyDescent="0.25">
      <c r="F461" s="27">
        <f t="shared" si="16"/>
        <v>0</v>
      </c>
      <c r="G461" s="8">
        <f t="shared" si="17"/>
        <v>0</v>
      </c>
    </row>
    <row r="462" spans="6:7" x14ac:dyDescent="0.25">
      <c r="F462" s="27">
        <f t="shared" si="16"/>
        <v>0</v>
      </c>
      <c r="G462" s="8">
        <f t="shared" si="17"/>
        <v>0</v>
      </c>
    </row>
    <row r="463" spans="6:7" x14ac:dyDescent="0.25">
      <c r="F463" s="27">
        <f t="shared" si="16"/>
        <v>0</v>
      </c>
      <c r="G463" s="8">
        <f t="shared" si="17"/>
        <v>0</v>
      </c>
    </row>
    <row r="464" spans="6:7" x14ac:dyDescent="0.25">
      <c r="F464" s="27">
        <f t="shared" si="16"/>
        <v>0</v>
      </c>
      <c r="G464" s="8">
        <f t="shared" si="17"/>
        <v>0</v>
      </c>
    </row>
    <row r="465" spans="6:7" x14ac:dyDescent="0.25">
      <c r="F465" s="27">
        <f t="shared" si="16"/>
        <v>0</v>
      </c>
      <c r="G465" s="8">
        <f t="shared" si="17"/>
        <v>0</v>
      </c>
    </row>
    <row r="466" spans="6:7" x14ac:dyDescent="0.25">
      <c r="F466" s="27">
        <f t="shared" si="16"/>
        <v>0</v>
      </c>
      <c r="G466" s="8">
        <f t="shared" si="17"/>
        <v>0</v>
      </c>
    </row>
    <row r="467" spans="6:7" x14ac:dyDescent="0.25">
      <c r="F467" s="27">
        <f t="shared" si="16"/>
        <v>0</v>
      </c>
      <c r="G467" s="8">
        <f t="shared" si="17"/>
        <v>0</v>
      </c>
    </row>
    <row r="468" spans="6:7" x14ac:dyDescent="0.25">
      <c r="F468" s="27">
        <f t="shared" si="16"/>
        <v>0</v>
      </c>
      <c r="G468" s="8">
        <f t="shared" si="17"/>
        <v>0</v>
      </c>
    </row>
    <row r="469" spans="6:7" x14ac:dyDescent="0.25">
      <c r="F469" s="27">
        <f t="shared" si="16"/>
        <v>0</v>
      </c>
      <c r="G469" s="8">
        <f t="shared" si="17"/>
        <v>0</v>
      </c>
    </row>
    <row r="470" spans="6:7" x14ac:dyDescent="0.25">
      <c r="F470" s="27">
        <f t="shared" si="16"/>
        <v>0</v>
      </c>
      <c r="G470" s="8">
        <f t="shared" si="17"/>
        <v>0</v>
      </c>
    </row>
    <row r="471" spans="6:7" x14ac:dyDescent="0.25">
      <c r="F471" s="27">
        <f t="shared" si="16"/>
        <v>0</v>
      </c>
      <c r="G471" s="8">
        <f t="shared" si="17"/>
        <v>0</v>
      </c>
    </row>
    <row r="472" spans="6:7" x14ac:dyDescent="0.25">
      <c r="F472" s="27">
        <f t="shared" si="16"/>
        <v>0</v>
      </c>
      <c r="G472" s="8">
        <f t="shared" si="17"/>
        <v>0</v>
      </c>
    </row>
    <row r="473" spans="6:7" x14ac:dyDescent="0.25">
      <c r="F473" s="27">
        <f t="shared" si="16"/>
        <v>0</v>
      </c>
      <c r="G473" s="8">
        <f t="shared" si="17"/>
        <v>0</v>
      </c>
    </row>
    <row r="474" spans="6:7" x14ac:dyDescent="0.25">
      <c r="F474" s="27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7">
        <f t="shared" si="18"/>
        <v>0</v>
      </c>
      <c r="G475" s="8">
        <f t="shared" si="19"/>
        <v>0</v>
      </c>
    </row>
    <row r="476" spans="6:7" x14ac:dyDescent="0.25">
      <c r="F476" s="27">
        <f t="shared" si="18"/>
        <v>0</v>
      </c>
      <c r="G476" s="8">
        <f t="shared" si="19"/>
        <v>0</v>
      </c>
    </row>
    <row r="477" spans="6:7" x14ac:dyDescent="0.25">
      <c r="F477" s="27">
        <f t="shared" si="18"/>
        <v>0</v>
      </c>
      <c r="G477" s="8">
        <f t="shared" si="19"/>
        <v>0</v>
      </c>
    </row>
    <row r="478" spans="6:7" x14ac:dyDescent="0.25">
      <c r="F478" s="27">
        <f t="shared" si="18"/>
        <v>0</v>
      </c>
      <c r="G478" s="8">
        <f t="shared" si="19"/>
        <v>0</v>
      </c>
    </row>
    <row r="479" spans="6:7" x14ac:dyDescent="0.25">
      <c r="F479" s="27">
        <f t="shared" si="18"/>
        <v>0</v>
      </c>
      <c r="G479" s="8">
        <f t="shared" si="19"/>
        <v>0</v>
      </c>
    </row>
    <row r="480" spans="6:7" x14ac:dyDescent="0.25">
      <c r="F480" s="27">
        <f t="shared" si="18"/>
        <v>0</v>
      </c>
      <c r="G480" s="8">
        <f t="shared" si="19"/>
        <v>0</v>
      </c>
    </row>
    <row r="481" spans="6:7" x14ac:dyDescent="0.25">
      <c r="F481" s="27">
        <f t="shared" si="18"/>
        <v>0</v>
      </c>
      <c r="G481" s="8">
        <f t="shared" si="19"/>
        <v>0</v>
      </c>
    </row>
    <row r="482" spans="6:7" x14ac:dyDescent="0.25">
      <c r="F482" s="27">
        <f t="shared" si="18"/>
        <v>0</v>
      </c>
      <c r="G482" s="8">
        <f t="shared" si="19"/>
        <v>0</v>
      </c>
    </row>
    <row r="483" spans="6:7" x14ac:dyDescent="0.25">
      <c r="F483" s="27">
        <f t="shared" si="18"/>
        <v>0</v>
      </c>
      <c r="G483" s="8">
        <f t="shared" si="19"/>
        <v>0</v>
      </c>
    </row>
    <row r="484" spans="6:7" x14ac:dyDescent="0.25">
      <c r="F484" s="27">
        <f t="shared" si="18"/>
        <v>0</v>
      </c>
      <c r="G484" s="8">
        <f t="shared" si="19"/>
        <v>0</v>
      </c>
    </row>
    <row r="485" spans="6:7" x14ac:dyDescent="0.25">
      <c r="F485" s="27">
        <f t="shared" si="18"/>
        <v>0</v>
      </c>
      <c r="G485" s="8">
        <f t="shared" si="19"/>
        <v>0</v>
      </c>
    </row>
    <row r="486" spans="6:7" x14ac:dyDescent="0.25">
      <c r="F486" s="27">
        <f t="shared" si="18"/>
        <v>0</v>
      </c>
      <c r="G486" s="8">
        <f t="shared" si="19"/>
        <v>0</v>
      </c>
    </row>
    <row r="487" spans="6:7" x14ac:dyDescent="0.25">
      <c r="F487" s="27">
        <f t="shared" si="18"/>
        <v>0</v>
      </c>
      <c r="G487" s="8">
        <f t="shared" si="19"/>
        <v>0</v>
      </c>
    </row>
    <row r="488" spans="6:7" x14ac:dyDescent="0.25">
      <c r="F488" s="27">
        <f t="shared" si="18"/>
        <v>0</v>
      </c>
      <c r="G488" s="8">
        <f t="shared" si="19"/>
        <v>0</v>
      </c>
    </row>
    <row r="489" spans="6:7" x14ac:dyDescent="0.25">
      <c r="F489" s="27">
        <f t="shared" si="18"/>
        <v>0</v>
      </c>
      <c r="G489" s="8">
        <f t="shared" si="19"/>
        <v>0</v>
      </c>
    </row>
    <row r="490" spans="6:7" x14ac:dyDescent="0.25">
      <c r="F490" s="27">
        <f t="shared" si="18"/>
        <v>0</v>
      </c>
      <c r="G490" s="8">
        <f t="shared" si="19"/>
        <v>0</v>
      </c>
    </row>
    <row r="491" spans="6:7" x14ac:dyDescent="0.25">
      <c r="F491" s="27">
        <f t="shared" si="18"/>
        <v>0</v>
      </c>
      <c r="G491" s="8">
        <f t="shared" si="19"/>
        <v>0</v>
      </c>
    </row>
    <row r="492" spans="6:7" x14ac:dyDescent="0.25">
      <c r="F492" s="27">
        <f t="shared" si="18"/>
        <v>0</v>
      </c>
      <c r="G492" s="8">
        <f t="shared" si="19"/>
        <v>0</v>
      </c>
    </row>
    <row r="493" spans="6:7" x14ac:dyDescent="0.25">
      <c r="F493" s="27">
        <f t="shared" si="18"/>
        <v>0</v>
      </c>
      <c r="G493" s="8">
        <f t="shared" si="19"/>
        <v>0</v>
      </c>
    </row>
    <row r="494" spans="6:7" x14ac:dyDescent="0.25">
      <c r="F494" s="27">
        <f t="shared" si="18"/>
        <v>0</v>
      </c>
      <c r="G494" s="8">
        <f t="shared" si="19"/>
        <v>0</v>
      </c>
    </row>
    <row r="495" spans="6:7" x14ac:dyDescent="0.25">
      <c r="F495" s="27">
        <f t="shared" si="18"/>
        <v>0</v>
      </c>
      <c r="G495" s="8">
        <f t="shared" si="19"/>
        <v>0</v>
      </c>
    </row>
    <row r="496" spans="6:7" x14ac:dyDescent="0.25">
      <c r="F496" s="27">
        <f t="shared" si="18"/>
        <v>0</v>
      </c>
      <c r="G496" s="8">
        <f t="shared" si="19"/>
        <v>0</v>
      </c>
    </row>
    <row r="497" spans="6:7" x14ac:dyDescent="0.25">
      <c r="F497" s="27">
        <f t="shared" si="18"/>
        <v>0</v>
      </c>
      <c r="G497" s="8">
        <f t="shared" si="19"/>
        <v>0</v>
      </c>
    </row>
    <row r="498" spans="6:7" x14ac:dyDescent="0.25">
      <c r="F498" s="27">
        <f t="shared" si="18"/>
        <v>0</v>
      </c>
      <c r="G498" s="8">
        <f t="shared" si="19"/>
        <v>0</v>
      </c>
    </row>
    <row r="499" spans="6:7" x14ac:dyDescent="0.25">
      <c r="F499" s="27">
        <f t="shared" si="18"/>
        <v>0</v>
      </c>
      <c r="G499" s="8">
        <f t="shared" si="19"/>
        <v>0</v>
      </c>
    </row>
    <row r="500" spans="6:7" x14ac:dyDescent="0.25">
      <c r="F500" s="27">
        <f t="shared" si="18"/>
        <v>0</v>
      </c>
      <c r="G500" s="8">
        <f t="shared" si="19"/>
        <v>0</v>
      </c>
    </row>
    <row r="501" spans="6:7" x14ac:dyDescent="0.25">
      <c r="F501" s="27">
        <f t="shared" si="18"/>
        <v>0</v>
      </c>
      <c r="G501" s="8">
        <f t="shared" si="19"/>
        <v>0</v>
      </c>
    </row>
    <row r="502" spans="6:7" x14ac:dyDescent="0.25">
      <c r="F502" s="27">
        <f t="shared" si="18"/>
        <v>0</v>
      </c>
      <c r="G502" s="8">
        <f t="shared" si="19"/>
        <v>0</v>
      </c>
    </row>
    <row r="503" spans="6:7" x14ac:dyDescent="0.25">
      <c r="F503" s="27">
        <f t="shared" si="18"/>
        <v>0</v>
      </c>
      <c r="G503" s="8">
        <f t="shared" si="19"/>
        <v>0</v>
      </c>
    </row>
    <row r="504" spans="6:7" x14ac:dyDescent="0.25">
      <c r="F504" s="27">
        <f t="shared" si="18"/>
        <v>0</v>
      </c>
      <c r="G504" s="8">
        <f t="shared" si="19"/>
        <v>0</v>
      </c>
    </row>
    <row r="505" spans="6:7" x14ac:dyDescent="0.25">
      <c r="F505" s="27">
        <f t="shared" si="18"/>
        <v>0</v>
      </c>
      <c r="G505" s="8">
        <f t="shared" si="19"/>
        <v>0</v>
      </c>
    </row>
    <row r="506" spans="6:7" x14ac:dyDescent="0.25">
      <c r="F506" s="27">
        <f t="shared" si="18"/>
        <v>0</v>
      </c>
      <c r="G506" s="8">
        <f t="shared" si="19"/>
        <v>0</v>
      </c>
    </row>
    <row r="507" spans="6:7" x14ac:dyDescent="0.25">
      <c r="F507" s="27">
        <f t="shared" si="18"/>
        <v>0</v>
      </c>
      <c r="G507" s="8">
        <f t="shared" si="19"/>
        <v>0</v>
      </c>
    </row>
    <row r="508" spans="6:7" x14ac:dyDescent="0.25">
      <c r="F508" s="27">
        <f t="shared" si="18"/>
        <v>0</v>
      </c>
      <c r="G508" s="8">
        <f t="shared" si="19"/>
        <v>0</v>
      </c>
    </row>
    <row r="509" spans="6:7" x14ac:dyDescent="0.25">
      <c r="F509" s="27">
        <f t="shared" si="18"/>
        <v>0</v>
      </c>
      <c r="G509" s="8">
        <f t="shared" si="19"/>
        <v>0</v>
      </c>
    </row>
    <row r="510" spans="6:7" x14ac:dyDescent="0.25">
      <c r="F510" s="27">
        <f t="shared" si="18"/>
        <v>0</v>
      </c>
      <c r="G510" s="8">
        <f t="shared" si="19"/>
        <v>0</v>
      </c>
    </row>
    <row r="511" spans="6:7" x14ac:dyDescent="0.25">
      <c r="F511" s="27">
        <f t="shared" si="18"/>
        <v>0</v>
      </c>
      <c r="G511" s="8">
        <f t="shared" si="19"/>
        <v>0</v>
      </c>
    </row>
    <row r="512" spans="6:7" x14ac:dyDescent="0.25">
      <c r="F512" s="27">
        <f t="shared" si="18"/>
        <v>0</v>
      </c>
      <c r="G512" s="8">
        <f t="shared" si="19"/>
        <v>0</v>
      </c>
    </row>
    <row r="513" spans="6:7" x14ac:dyDescent="0.25">
      <c r="F513" s="27">
        <f t="shared" si="18"/>
        <v>0</v>
      </c>
      <c r="G513" s="8">
        <f t="shared" si="19"/>
        <v>0</v>
      </c>
    </row>
    <row r="514" spans="6:7" x14ac:dyDescent="0.25">
      <c r="F514" s="27">
        <f t="shared" si="18"/>
        <v>0</v>
      </c>
      <c r="G514" s="8">
        <f t="shared" si="19"/>
        <v>0</v>
      </c>
    </row>
    <row r="515" spans="6:7" x14ac:dyDescent="0.25">
      <c r="F515" s="27">
        <f t="shared" si="18"/>
        <v>0</v>
      </c>
      <c r="G515" s="8">
        <f t="shared" si="19"/>
        <v>0</v>
      </c>
    </row>
    <row r="516" spans="6:7" x14ac:dyDescent="0.25">
      <c r="F516" s="27">
        <f t="shared" si="18"/>
        <v>0</v>
      </c>
      <c r="G516" s="8">
        <f t="shared" si="19"/>
        <v>0</v>
      </c>
    </row>
    <row r="517" spans="6:7" x14ac:dyDescent="0.25">
      <c r="F517" s="27">
        <f t="shared" si="18"/>
        <v>0</v>
      </c>
      <c r="G517" s="8">
        <f t="shared" si="19"/>
        <v>0</v>
      </c>
    </row>
    <row r="518" spans="6:7" x14ac:dyDescent="0.25">
      <c r="F518" s="27">
        <f t="shared" si="18"/>
        <v>0</v>
      </c>
      <c r="G518" s="8">
        <f t="shared" si="19"/>
        <v>0</v>
      </c>
    </row>
    <row r="519" spans="6:7" x14ac:dyDescent="0.25">
      <c r="F519" s="27">
        <f t="shared" si="18"/>
        <v>0</v>
      </c>
      <c r="G519" s="8">
        <f t="shared" si="19"/>
        <v>0</v>
      </c>
    </row>
    <row r="520" spans="6:7" x14ac:dyDescent="0.25">
      <c r="F520" s="27">
        <f t="shared" si="18"/>
        <v>0</v>
      </c>
      <c r="G520" s="8">
        <f t="shared" si="19"/>
        <v>0</v>
      </c>
    </row>
    <row r="521" spans="6:7" x14ac:dyDescent="0.25">
      <c r="F521" s="27">
        <f t="shared" si="18"/>
        <v>0</v>
      </c>
      <c r="G521" s="8">
        <f t="shared" si="19"/>
        <v>0</v>
      </c>
    </row>
    <row r="522" spans="6:7" x14ac:dyDescent="0.25">
      <c r="F522" s="27">
        <f t="shared" si="18"/>
        <v>0</v>
      </c>
      <c r="G522" s="8">
        <f t="shared" si="19"/>
        <v>0</v>
      </c>
    </row>
    <row r="523" spans="6:7" x14ac:dyDescent="0.25">
      <c r="F523" s="27">
        <f t="shared" si="18"/>
        <v>0</v>
      </c>
      <c r="G523" s="8">
        <f t="shared" si="19"/>
        <v>0</v>
      </c>
    </row>
    <row r="524" spans="6:7" x14ac:dyDescent="0.25">
      <c r="F524" s="27">
        <f t="shared" si="18"/>
        <v>0</v>
      </c>
      <c r="G524" s="8">
        <f t="shared" si="19"/>
        <v>0</v>
      </c>
    </row>
    <row r="525" spans="6:7" x14ac:dyDescent="0.25">
      <c r="F525" s="27">
        <f t="shared" si="18"/>
        <v>0</v>
      </c>
      <c r="G525" s="8">
        <f t="shared" si="19"/>
        <v>0</v>
      </c>
    </row>
    <row r="526" spans="6:7" x14ac:dyDescent="0.25">
      <c r="F526" s="27">
        <f t="shared" si="18"/>
        <v>0</v>
      </c>
      <c r="G526" s="8">
        <f t="shared" si="19"/>
        <v>0</v>
      </c>
    </row>
    <row r="527" spans="6:7" x14ac:dyDescent="0.25">
      <c r="F527" s="27">
        <f t="shared" si="18"/>
        <v>0</v>
      </c>
      <c r="G527" s="8">
        <f t="shared" si="19"/>
        <v>0</v>
      </c>
    </row>
    <row r="528" spans="6:7" x14ac:dyDescent="0.25">
      <c r="F528" s="27">
        <f t="shared" si="18"/>
        <v>0</v>
      </c>
      <c r="G528" s="8">
        <f t="shared" si="19"/>
        <v>0</v>
      </c>
    </row>
    <row r="529" spans="6:7" x14ac:dyDescent="0.25">
      <c r="F529" s="27">
        <f t="shared" si="18"/>
        <v>0</v>
      </c>
      <c r="G529" s="8">
        <f t="shared" si="19"/>
        <v>0</v>
      </c>
    </row>
    <row r="530" spans="6:7" x14ac:dyDescent="0.25">
      <c r="F530" s="27">
        <f t="shared" si="18"/>
        <v>0</v>
      </c>
      <c r="G530" s="8">
        <f t="shared" si="19"/>
        <v>0</v>
      </c>
    </row>
    <row r="531" spans="6:7" x14ac:dyDescent="0.25">
      <c r="F531" s="27">
        <f t="shared" si="18"/>
        <v>0</v>
      </c>
      <c r="G531" s="8">
        <f t="shared" si="19"/>
        <v>0</v>
      </c>
    </row>
    <row r="532" spans="6:7" x14ac:dyDescent="0.25">
      <c r="F532" s="27">
        <f t="shared" si="18"/>
        <v>0</v>
      </c>
      <c r="G532" s="8">
        <f t="shared" si="19"/>
        <v>0</v>
      </c>
    </row>
    <row r="533" spans="6:7" x14ac:dyDescent="0.25">
      <c r="F533" s="27">
        <f t="shared" si="18"/>
        <v>0</v>
      </c>
      <c r="G533" s="8">
        <f t="shared" si="19"/>
        <v>0</v>
      </c>
    </row>
    <row r="534" spans="6:7" x14ac:dyDescent="0.25">
      <c r="F534" s="27">
        <f t="shared" si="18"/>
        <v>0</v>
      </c>
      <c r="G534" s="8">
        <f t="shared" si="19"/>
        <v>0</v>
      </c>
    </row>
    <row r="535" spans="6:7" x14ac:dyDescent="0.25">
      <c r="F535" s="27">
        <f t="shared" si="18"/>
        <v>0</v>
      </c>
      <c r="G535" s="8">
        <f t="shared" si="19"/>
        <v>0</v>
      </c>
    </row>
    <row r="536" spans="6:7" x14ac:dyDescent="0.25">
      <c r="F536" s="27">
        <f t="shared" si="18"/>
        <v>0</v>
      </c>
      <c r="G536" s="8">
        <f t="shared" si="19"/>
        <v>0</v>
      </c>
    </row>
    <row r="537" spans="6:7" x14ac:dyDescent="0.25">
      <c r="F537" s="27">
        <f t="shared" si="18"/>
        <v>0</v>
      </c>
      <c r="G537" s="8">
        <f t="shared" si="19"/>
        <v>0</v>
      </c>
    </row>
    <row r="538" spans="6:7" x14ac:dyDescent="0.25">
      <c r="F538" s="27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7">
        <f t="shared" si="20"/>
        <v>0</v>
      </c>
      <c r="G539" s="8">
        <f t="shared" si="21"/>
        <v>0</v>
      </c>
    </row>
    <row r="540" spans="6:7" x14ac:dyDescent="0.25">
      <c r="F540" s="27">
        <f t="shared" si="20"/>
        <v>0</v>
      </c>
      <c r="G540" s="8">
        <f t="shared" si="21"/>
        <v>0</v>
      </c>
    </row>
    <row r="541" spans="6:7" x14ac:dyDescent="0.25">
      <c r="F541" s="27">
        <f t="shared" si="20"/>
        <v>0</v>
      </c>
      <c r="G541" s="8">
        <f t="shared" si="21"/>
        <v>0</v>
      </c>
    </row>
    <row r="542" spans="6:7" x14ac:dyDescent="0.25">
      <c r="F542" s="27">
        <f t="shared" si="20"/>
        <v>0</v>
      </c>
      <c r="G542" s="8">
        <f t="shared" si="21"/>
        <v>0</v>
      </c>
    </row>
    <row r="543" spans="6:7" x14ac:dyDescent="0.25">
      <c r="F543" s="27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4" t="s">
        <v>90</v>
      </c>
      <c r="K1" s="44" t="s">
        <v>91</v>
      </c>
      <c r="L1" s="44" t="s">
        <v>92</v>
      </c>
      <c r="M1" s="27"/>
    </row>
    <row r="2" spans="1:13" ht="15.75" thickBot="1" x14ac:dyDescent="0.3">
      <c r="A2" s="16">
        <v>42559</v>
      </c>
      <c r="B2" s="4"/>
      <c r="C2" s="19">
        <v>50</v>
      </c>
      <c r="F2" t="s">
        <v>63</v>
      </c>
      <c r="J2" s="44" t="s">
        <v>90</v>
      </c>
      <c r="K2" s="44" t="s">
        <v>91</v>
      </c>
      <c r="L2" s="44" t="s">
        <v>92</v>
      </c>
      <c r="M2" s="27"/>
    </row>
    <row r="3" spans="1:13" x14ac:dyDescent="0.25">
      <c r="F3" t="s">
        <v>64</v>
      </c>
      <c r="J3" s="45" t="s">
        <v>93</v>
      </c>
      <c r="K3" s="46">
        <v>2.7052</v>
      </c>
      <c r="L3" s="46">
        <v>2.7349999999999999</v>
      </c>
      <c r="M3" s="27">
        <f t="shared" ref="M3:M14" si="0">AVERAGE(K3:L3)</f>
        <v>2.7201</v>
      </c>
    </row>
    <row r="4" spans="1:13" x14ac:dyDescent="0.25">
      <c r="F4" t="s">
        <v>65</v>
      </c>
      <c r="J4" s="45" t="s">
        <v>94</v>
      </c>
      <c r="K4" s="46">
        <v>3.0830000000000002</v>
      </c>
      <c r="L4" s="46">
        <v>3.097</v>
      </c>
      <c r="M4" s="27">
        <f t="shared" si="0"/>
        <v>3.09</v>
      </c>
    </row>
    <row r="5" spans="1:13" x14ac:dyDescent="0.25">
      <c r="J5" s="45" t="s">
        <v>95</v>
      </c>
      <c r="K5" s="46">
        <v>3.3136000000000001</v>
      </c>
      <c r="L5" s="46">
        <v>3.3256999999999999</v>
      </c>
      <c r="M5" s="27">
        <f t="shared" si="0"/>
        <v>3.3196500000000002</v>
      </c>
    </row>
    <row r="6" spans="1:13" x14ac:dyDescent="0.25">
      <c r="J6" s="45" t="s">
        <v>96</v>
      </c>
      <c r="K6" s="46">
        <v>4.2778999999999998</v>
      </c>
      <c r="L6" s="46">
        <v>4.2961</v>
      </c>
      <c r="M6" s="27">
        <f t="shared" si="0"/>
        <v>4.2869999999999999</v>
      </c>
    </row>
    <row r="7" spans="1:13" x14ac:dyDescent="0.25">
      <c r="J7" s="45" t="s">
        <v>97</v>
      </c>
      <c r="K7" s="46">
        <v>4.7865000000000002</v>
      </c>
      <c r="L7" s="46">
        <v>4.8048000000000002</v>
      </c>
      <c r="M7" s="27">
        <f t="shared" si="0"/>
        <v>4.7956500000000002</v>
      </c>
    </row>
    <row r="8" spans="1:13" x14ac:dyDescent="0.25">
      <c r="J8" s="45" t="s">
        <v>98</v>
      </c>
      <c r="K8" s="46">
        <v>5.3155000000000001</v>
      </c>
      <c r="L8" s="46">
        <v>5.3277000000000001</v>
      </c>
      <c r="M8" s="27">
        <f t="shared" si="0"/>
        <v>5.3216000000000001</v>
      </c>
    </row>
    <row r="9" spans="1:13" x14ac:dyDescent="0.25">
      <c r="J9" s="45" t="s">
        <v>99</v>
      </c>
      <c r="K9" s="46">
        <v>5.8117000000000001</v>
      </c>
      <c r="L9" s="46">
        <v>5.8300999999999998</v>
      </c>
      <c r="M9" s="27">
        <f t="shared" si="0"/>
        <v>5.8209</v>
      </c>
    </row>
    <row r="10" spans="1:13" x14ac:dyDescent="0.25">
      <c r="J10" s="45" t="s">
        <v>100</v>
      </c>
      <c r="K10" s="46">
        <v>5.8783000000000003</v>
      </c>
      <c r="L10" s="46">
        <v>5.8903999999999996</v>
      </c>
      <c r="M10" s="27">
        <f t="shared" si="0"/>
        <v>5.8843499999999995</v>
      </c>
    </row>
    <row r="11" spans="1:13" x14ac:dyDescent="0.25">
      <c r="J11" s="45" t="s">
        <v>101</v>
      </c>
      <c r="K11" s="46">
        <v>6.3068</v>
      </c>
      <c r="L11" s="46">
        <v>6.3308999999999997</v>
      </c>
      <c r="M11" s="27">
        <f t="shared" si="0"/>
        <v>6.3188499999999994</v>
      </c>
    </row>
    <row r="12" spans="1:13" x14ac:dyDescent="0.25">
      <c r="J12" s="45" t="s">
        <v>102</v>
      </c>
      <c r="K12" s="46">
        <v>7.8349000000000002</v>
      </c>
      <c r="L12" s="46">
        <v>7.8468999999999998</v>
      </c>
      <c r="M12" s="27">
        <f t="shared" si="0"/>
        <v>7.8408999999999995</v>
      </c>
    </row>
    <row r="13" spans="1:13" x14ac:dyDescent="0.25">
      <c r="J13" s="45" t="s">
        <v>103</v>
      </c>
      <c r="K13" s="46">
        <v>10.373799999999999</v>
      </c>
      <c r="L13" s="46">
        <v>10.38</v>
      </c>
      <c r="M13" s="27">
        <f t="shared" si="0"/>
        <v>10.376899999999999</v>
      </c>
    </row>
    <row r="14" spans="1:13" x14ac:dyDescent="0.25">
      <c r="J14" s="45" t="s">
        <v>104</v>
      </c>
      <c r="K14" s="46">
        <v>10.8954</v>
      </c>
      <c r="L14" s="46">
        <v>10.913500000000001</v>
      </c>
      <c r="M14" s="27">
        <f t="shared" si="0"/>
        <v>10.904450000000001</v>
      </c>
    </row>
    <row r="15" spans="1:13" x14ac:dyDescent="0.25">
      <c r="J15" s="45"/>
      <c r="K15" s="46"/>
      <c r="L15" s="46"/>
      <c r="M15" s="27"/>
    </row>
    <row r="16" spans="1:13" x14ac:dyDescent="0.25">
      <c r="J16" s="45"/>
      <c r="K16" s="46"/>
      <c r="L16" s="46"/>
      <c r="M16" s="27"/>
    </row>
    <row r="17" spans="10:13" x14ac:dyDescent="0.25">
      <c r="J17" s="45"/>
      <c r="K17" s="46"/>
      <c r="L17" s="46"/>
      <c r="M17" s="27"/>
    </row>
    <row r="18" spans="10:13" x14ac:dyDescent="0.25">
      <c r="J18" s="45" t="s">
        <v>254</v>
      </c>
      <c r="K18" s="46"/>
      <c r="L18" s="46"/>
      <c r="M18" s="27" t="str">
        <f>"""C:\Program Files (x86)\AstroGrep\AstroGrep.exe"""</f>
        <v>"C:\Program Files (x86)\AstroGrep\AstroGrep.exe"</v>
      </c>
    </row>
    <row r="19" spans="10:13" x14ac:dyDescent="0.25">
      <c r="J19" s="45" t="s">
        <v>255</v>
      </c>
      <c r="K19" s="46"/>
      <c r="L19" s="46"/>
      <c r="M19" s="27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256</v>
      </c>
      <c r="M20" t="s">
        <v>257</v>
      </c>
    </row>
    <row r="21" spans="10:13" x14ac:dyDescent="0.25">
      <c r="J21" s="27" t="s">
        <v>260</v>
      </c>
      <c r="K21" s="27" t="s">
        <v>261</v>
      </c>
      <c r="M21" s="27" t="s">
        <v>261</v>
      </c>
    </row>
    <row r="22" spans="10:13" x14ac:dyDescent="0.25">
      <c r="J22" s="27" t="s">
        <v>262</v>
      </c>
      <c r="K22" s="27" t="s">
        <v>263</v>
      </c>
      <c r="M22" s="27" t="s">
        <v>263</v>
      </c>
    </row>
    <row r="23" spans="10:13" x14ac:dyDescent="0.25">
      <c r="J23" s="41" t="s">
        <v>265</v>
      </c>
      <c r="K23" s="27"/>
      <c r="M23" s="27">
        <v>-6</v>
      </c>
    </row>
    <row r="24" spans="10:13" x14ac:dyDescent="0.25">
      <c r="J24" s="27"/>
      <c r="K24" s="27"/>
      <c r="M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2016-08-04T17:41:25Z</dcterms:modified>
</cp:coreProperties>
</file>