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Enforcements!$A$2:$N$68</definedName>
    <definedName name="_xlnm._FilterDatabase" localSheetId="0" hidden="1">'Train Runs'!$A$2:$AA$154</definedName>
    <definedName name="Denver_Train_Runs_04122016" localSheetId="0">'Train Runs'!$A$2:$J$159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0" i="1" l="1"/>
  <c r="Z4" i="1" l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3" i="1"/>
  <c r="AA3" i="1"/>
  <c r="L12" i="3"/>
  <c r="L14" i="3"/>
  <c r="L30" i="3"/>
  <c r="L31" i="3"/>
  <c r="L6" i="3"/>
  <c r="L32" i="3"/>
  <c r="L15" i="3"/>
  <c r="L33" i="3"/>
  <c r="L34" i="3"/>
  <c r="L3" i="3"/>
  <c r="L35" i="3"/>
  <c r="L36" i="3"/>
  <c r="L37" i="3"/>
  <c r="L38" i="3"/>
  <c r="L39" i="3"/>
  <c r="L40" i="3"/>
  <c r="L41" i="3"/>
  <c r="L42" i="3"/>
  <c r="L43" i="3"/>
  <c r="L44" i="3"/>
  <c r="L16" i="3"/>
  <c r="L45" i="3"/>
  <c r="L17" i="3"/>
  <c r="L46" i="3"/>
  <c r="L7" i="3"/>
  <c r="L18" i="3"/>
  <c r="L19" i="3"/>
  <c r="L47" i="3"/>
  <c r="L48" i="3"/>
  <c r="L49" i="3"/>
  <c r="L50" i="3"/>
  <c r="L20" i="3"/>
  <c r="L4" i="3"/>
  <c r="L21" i="3"/>
  <c r="L51" i="3"/>
  <c r="L8" i="3"/>
  <c r="L52" i="3"/>
  <c r="L22" i="3"/>
  <c r="L53" i="3"/>
  <c r="L54" i="3"/>
  <c r="L9" i="3"/>
  <c r="L23" i="3"/>
  <c r="L55" i="3"/>
  <c r="L56" i="3"/>
  <c r="L57" i="3"/>
  <c r="L58" i="3"/>
  <c r="L59" i="3"/>
  <c r="L60" i="3"/>
  <c r="L61" i="3"/>
  <c r="L62" i="3"/>
  <c r="L10" i="3"/>
  <c r="L11" i="3"/>
  <c r="L63" i="3"/>
  <c r="L64" i="3"/>
  <c r="L5" i="3"/>
  <c r="L65" i="3"/>
  <c r="L24" i="3"/>
  <c r="L25" i="3"/>
  <c r="L66" i="3"/>
  <c r="L26" i="3"/>
  <c r="L27" i="3"/>
  <c r="L67" i="3"/>
  <c r="L68" i="3"/>
  <c r="L28" i="3"/>
  <c r="T5" i="1"/>
  <c r="V5" i="1"/>
  <c r="W5" i="1"/>
  <c r="X5" i="1"/>
  <c r="T6" i="1"/>
  <c r="V6" i="1"/>
  <c r="W6" i="1"/>
  <c r="X6" i="1"/>
  <c r="T7" i="1"/>
  <c r="V7" i="1"/>
  <c r="W7" i="1"/>
  <c r="X7" i="1"/>
  <c r="T8" i="1"/>
  <c r="V8" i="1"/>
  <c r="W8" i="1"/>
  <c r="X8" i="1"/>
  <c r="T9" i="1"/>
  <c r="V9" i="1"/>
  <c r="W9" i="1"/>
  <c r="X9" i="1"/>
  <c r="T10" i="1"/>
  <c r="V10" i="1"/>
  <c r="W10" i="1"/>
  <c r="X10" i="1"/>
  <c r="T11" i="1"/>
  <c r="V11" i="1"/>
  <c r="W11" i="1"/>
  <c r="X11" i="1"/>
  <c r="T12" i="1"/>
  <c r="V12" i="1"/>
  <c r="W12" i="1"/>
  <c r="X12" i="1"/>
  <c r="T13" i="1"/>
  <c r="V13" i="1"/>
  <c r="W13" i="1"/>
  <c r="X13" i="1"/>
  <c r="T14" i="1"/>
  <c r="V14" i="1"/>
  <c r="W14" i="1"/>
  <c r="X14" i="1"/>
  <c r="T15" i="1"/>
  <c r="V15" i="1"/>
  <c r="W15" i="1"/>
  <c r="X15" i="1"/>
  <c r="T16" i="1"/>
  <c r="V16" i="1"/>
  <c r="W16" i="1"/>
  <c r="X16" i="1"/>
  <c r="T17" i="1"/>
  <c r="V17" i="1"/>
  <c r="W17" i="1"/>
  <c r="X17" i="1"/>
  <c r="T18" i="1"/>
  <c r="V18" i="1"/>
  <c r="W18" i="1"/>
  <c r="X18" i="1"/>
  <c r="T19" i="1"/>
  <c r="V19" i="1"/>
  <c r="W19" i="1"/>
  <c r="X19" i="1"/>
  <c r="T20" i="1"/>
  <c r="V20" i="1"/>
  <c r="W20" i="1"/>
  <c r="X20" i="1"/>
  <c r="T21" i="1"/>
  <c r="V21" i="1"/>
  <c r="W21" i="1"/>
  <c r="X21" i="1"/>
  <c r="T22" i="1"/>
  <c r="V22" i="1"/>
  <c r="W22" i="1"/>
  <c r="X22" i="1"/>
  <c r="T23" i="1"/>
  <c r="V23" i="1"/>
  <c r="W23" i="1"/>
  <c r="X23" i="1"/>
  <c r="T24" i="1"/>
  <c r="V24" i="1"/>
  <c r="W24" i="1"/>
  <c r="X24" i="1"/>
  <c r="T25" i="1"/>
  <c r="V25" i="1"/>
  <c r="W25" i="1"/>
  <c r="X25" i="1"/>
  <c r="T26" i="1"/>
  <c r="V26" i="1"/>
  <c r="W26" i="1"/>
  <c r="X26" i="1"/>
  <c r="T27" i="1"/>
  <c r="V27" i="1"/>
  <c r="W27" i="1"/>
  <c r="X27" i="1"/>
  <c r="T28" i="1"/>
  <c r="V28" i="1"/>
  <c r="W28" i="1"/>
  <c r="X28" i="1"/>
  <c r="T29" i="1"/>
  <c r="V29" i="1"/>
  <c r="W29" i="1"/>
  <c r="X29" i="1"/>
  <c r="T30" i="1"/>
  <c r="V30" i="1"/>
  <c r="W30" i="1"/>
  <c r="X30" i="1"/>
  <c r="T31" i="1"/>
  <c r="V31" i="1"/>
  <c r="W31" i="1"/>
  <c r="X31" i="1"/>
  <c r="T32" i="1"/>
  <c r="V32" i="1"/>
  <c r="W32" i="1"/>
  <c r="X32" i="1"/>
  <c r="T33" i="1"/>
  <c r="V33" i="1"/>
  <c r="W33" i="1"/>
  <c r="X33" i="1"/>
  <c r="T34" i="1"/>
  <c r="V34" i="1"/>
  <c r="W34" i="1"/>
  <c r="X34" i="1"/>
  <c r="T35" i="1"/>
  <c r="V35" i="1"/>
  <c r="W35" i="1"/>
  <c r="X35" i="1"/>
  <c r="T36" i="1"/>
  <c r="V36" i="1"/>
  <c r="W36" i="1"/>
  <c r="X36" i="1"/>
  <c r="T37" i="1"/>
  <c r="V37" i="1"/>
  <c r="W37" i="1"/>
  <c r="X37" i="1"/>
  <c r="T38" i="1"/>
  <c r="V38" i="1"/>
  <c r="W38" i="1"/>
  <c r="X38" i="1"/>
  <c r="T39" i="1"/>
  <c r="V39" i="1"/>
  <c r="W39" i="1"/>
  <c r="X39" i="1"/>
  <c r="T40" i="1"/>
  <c r="V40" i="1"/>
  <c r="W40" i="1"/>
  <c r="X40" i="1"/>
  <c r="T41" i="1"/>
  <c r="V41" i="1"/>
  <c r="W41" i="1"/>
  <c r="X41" i="1"/>
  <c r="T42" i="1"/>
  <c r="V42" i="1"/>
  <c r="W42" i="1"/>
  <c r="X42" i="1"/>
  <c r="T43" i="1"/>
  <c r="V43" i="1"/>
  <c r="W43" i="1"/>
  <c r="X43" i="1"/>
  <c r="T44" i="1"/>
  <c r="V44" i="1"/>
  <c r="W44" i="1"/>
  <c r="X44" i="1"/>
  <c r="T45" i="1"/>
  <c r="V45" i="1"/>
  <c r="W45" i="1"/>
  <c r="X45" i="1"/>
  <c r="T46" i="1"/>
  <c r="V46" i="1"/>
  <c r="W46" i="1"/>
  <c r="X46" i="1"/>
  <c r="T47" i="1"/>
  <c r="V47" i="1"/>
  <c r="W47" i="1"/>
  <c r="X47" i="1"/>
  <c r="T48" i="1"/>
  <c r="V48" i="1"/>
  <c r="W48" i="1"/>
  <c r="X48" i="1"/>
  <c r="T49" i="1"/>
  <c r="V49" i="1"/>
  <c r="W49" i="1"/>
  <c r="X49" i="1"/>
  <c r="T50" i="1"/>
  <c r="V50" i="1"/>
  <c r="W50" i="1"/>
  <c r="X50" i="1"/>
  <c r="T51" i="1"/>
  <c r="V51" i="1"/>
  <c r="W51" i="1"/>
  <c r="X51" i="1"/>
  <c r="T52" i="1"/>
  <c r="V52" i="1"/>
  <c r="W52" i="1"/>
  <c r="X52" i="1"/>
  <c r="T53" i="1"/>
  <c r="V53" i="1"/>
  <c r="W53" i="1"/>
  <c r="X53" i="1"/>
  <c r="T54" i="1"/>
  <c r="V54" i="1"/>
  <c r="W54" i="1"/>
  <c r="X54" i="1"/>
  <c r="T55" i="1"/>
  <c r="V55" i="1"/>
  <c r="W55" i="1"/>
  <c r="Y55" i="1" s="1"/>
  <c r="U55" i="1" s="1"/>
  <c r="T56" i="1"/>
  <c r="V56" i="1"/>
  <c r="W56" i="1"/>
  <c r="X56" i="1"/>
  <c r="T57" i="1"/>
  <c r="V57" i="1"/>
  <c r="W57" i="1"/>
  <c r="X57" i="1"/>
  <c r="T58" i="1"/>
  <c r="V58" i="1"/>
  <c r="W58" i="1"/>
  <c r="X58" i="1"/>
  <c r="T59" i="1"/>
  <c r="V59" i="1"/>
  <c r="W59" i="1"/>
  <c r="X59" i="1"/>
  <c r="T60" i="1"/>
  <c r="V60" i="1"/>
  <c r="W60" i="1"/>
  <c r="X60" i="1"/>
  <c r="T61" i="1"/>
  <c r="V61" i="1"/>
  <c r="W61" i="1"/>
  <c r="X61" i="1"/>
  <c r="T62" i="1"/>
  <c r="V62" i="1"/>
  <c r="W62" i="1"/>
  <c r="X62" i="1"/>
  <c r="T63" i="1"/>
  <c r="V63" i="1"/>
  <c r="W63" i="1"/>
  <c r="X63" i="1"/>
  <c r="T64" i="1"/>
  <c r="V64" i="1"/>
  <c r="W64" i="1"/>
  <c r="X64" i="1"/>
  <c r="T65" i="1"/>
  <c r="V65" i="1"/>
  <c r="W65" i="1"/>
  <c r="X65" i="1"/>
  <c r="T66" i="1"/>
  <c r="V66" i="1"/>
  <c r="W66" i="1"/>
  <c r="X66" i="1"/>
  <c r="T67" i="1"/>
  <c r="V67" i="1"/>
  <c r="W67" i="1"/>
  <c r="X67" i="1"/>
  <c r="T68" i="1"/>
  <c r="V68" i="1"/>
  <c r="W68" i="1"/>
  <c r="X68" i="1"/>
  <c r="T69" i="1"/>
  <c r="V69" i="1"/>
  <c r="W69" i="1"/>
  <c r="X69" i="1"/>
  <c r="T70" i="1"/>
  <c r="V70" i="1"/>
  <c r="W70" i="1"/>
  <c r="X70" i="1"/>
  <c r="T71" i="1"/>
  <c r="V71" i="1"/>
  <c r="W71" i="1"/>
  <c r="X71" i="1"/>
  <c r="T72" i="1"/>
  <c r="V72" i="1"/>
  <c r="W72" i="1"/>
  <c r="X72" i="1"/>
  <c r="T73" i="1"/>
  <c r="V73" i="1"/>
  <c r="W73" i="1"/>
  <c r="X73" i="1"/>
  <c r="T74" i="1"/>
  <c r="V74" i="1"/>
  <c r="W74" i="1"/>
  <c r="X74" i="1"/>
  <c r="T75" i="1"/>
  <c r="V75" i="1"/>
  <c r="W75" i="1"/>
  <c r="X75" i="1"/>
  <c r="T76" i="1"/>
  <c r="V76" i="1"/>
  <c r="W76" i="1"/>
  <c r="X76" i="1"/>
  <c r="T77" i="1"/>
  <c r="V77" i="1"/>
  <c r="W77" i="1"/>
  <c r="X77" i="1"/>
  <c r="T78" i="1"/>
  <c r="V78" i="1"/>
  <c r="W78" i="1"/>
  <c r="X78" i="1"/>
  <c r="T79" i="1"/>
  <c r="V79" i="1"/>
  <c r="W79" i="1"/>
  <c r="X79" i="1"/>
  <c r="T80" i="1"/>
  <c r="V80" i="1"/>
  <c r="W80" i="1"/>
  <c r="X80" i="1"/>
  <c r="T81" i="1"/>
  <c r="V81" i="1"/>
  <c r="W81" i="1"/>
  <c r="X81" i="1"/>
  <c r="T82" i="1"/>
  <c r="V82" i="1"/>
  <c r="W82" i="1"/>
  <c r="X82" i="1"/>
  <c r="T83" i="1"/>
  <c r="V83" i="1"/>
  <c r="W83" i="1"/>
  <c r="X83" i="1"/>
  <c r="T84" i="1"/>
  <c r="V84" i="1"/>
  <c r="W84" i="1"/>
  <c r="X84" i="1"/>
  <c r="T85" i="1"/>
  <c r="V85" i="1"/>
  <c r="W85" i="1"/>
  <c r="X85" i="1"/>
  <c r="T86" i="1"/>
  <c r="V86" i="1"/>
  <c r="W86" i="1"/>
  <c r="X86" i="1"/>
  <c r="T87" i="1"/>
  <c r="V87" i="1"/>
  <c r="W87" i="1"/>
  <c r="X87" i="1"/>
  <c r="T88" i="1"/>
  <c r="V88" i="1"/>
  <c r="W88" i="1"/>
  <c r="X88" i="1"/>
  <c r="T89" i="1"/>
  <c r="V89" i="1"/>
  <c r="W89" i="1"/>
  <c r="X89" i="1"/>
  <c r="T90" i="1"/>
  <c r="V90" i="1"/>
  <c r="W90" i="1"/>
  <c r="X90" i="1"/>
  <c r="T91" i="1"/>
  <c r="V91" i="1"/>
  <c r="W91" i="1"/>
  <c r="X91" i="1"/>
  <c r="T92" i="1"/>
  <c r="V92" i="1"/>
  <c r="W92" i="1"/>
  <c r="X92" i="1"/>
  <c r="T93" i="1"/>
  <c r="V93" i="1"/>
  <c r="W93" i="1"/>
  <c r="X93" i="1"/>
  <c r="T94" i="1"/>
  <c r="V94" i="1"/>
  <c r="W94" i="1"/>
  <c r="X94" i="1"/>
  <c r="T95" i="1"/>
  <c r="V95" i="1"/>
  <c r="W95" i="1"/>
  <c r="X95" i="1"/>
  <c r="T96" i="1"/>
  <c r="V96" i="1"/>
  <c r="W96" i="1"/>
  <c r="X96" i="1"/>
  <c r="T97" i="1"/>
  <c r="V97" i="1"/>
  <c r="W97" i="1"/>
  <c r="Y97" i="1" s="1"/>
  <c r="U97" i="1" s="1"/>
  <c r="X97" i="1"/>
  <c r="T98" i="1"/>
  <c r="V98" i="1"/>
  <c r="W98" i="1"/>
  <c r="X98" i="1"/>
  <c r="T99" i="1"/>
  <c r="V99" i="1"/>
  <c r="W99" i="1"/>
  <c r="Y99" i="1" s="1"/>
  <c r="U99" i="1" s="1"/>
  <c r="X99" i="1"/>
  <c r="T100" i="1"/>
  <c r="V100" i="1"/>
  <c r="W100" i="1"/>
  <c r="X100" i="1"/>
  <c r="T101" i="1"/>
  <c r="V101" i="1"/>
  <c r="W101" i="1"/>
  <c r="X101" i="1"/>
  <c r="T102" i="1"/>
  <c r="V102" i="1"/>
  <c r="W102" i="1"/>
  <c r="X102" i="1"/>
  <c r="T103" i="1"/>
  <c r="V103" i="1"/>
  <c r="W103" i="1"/>
  <c r="X103" i="1"/>
  <c r="T104" i="1"/>
  <c r="V104" i="1"/>
  <c r="W104" i="1"/>
  <c r="X104" i="1"/>
  <c r="T105" i="1"/>
  <c r="V105" i="1"/>
  <c r="W105" i="1"/>
  <c r="X105" i="1"/>
  <c r="T106" i="1"/>
  <c r="V106" i="1"/>
  <c r="W106" i="1"/>
  <c r="X106" i="1"/>
  <c r="T107" i="1"/>
  <c r="V107" i="1"/>
  <c r="W107" i="1"/>
  <c r="X107" i="1"/>
  <c r="T108" i="1"/>
  <c r="V108" i="1"/>
  <c r="W108" i="1"/>
  <c r="X108" i="1"/>
  <c r="T109" i="1"/>
  <c r="V109" i="1"/>
  <c r="W109" i="1"/>
  <c r="X109" i="1"/>
  <c r="T110" i="1"/>
  <c r="V110" i="1"/>
  <c r="W110" i="1"/>
  <c r="X110" i="1"/>
  <c r="T111" i="1"/>
  <c r="V111" i="1"/>
  <c r="W111" i="1"/>
  <c r="X111" i="1"/>
  <c r="T112" i="1"/>
  <c r="V112" i="1"/>
  <c r="W112" i="1"/>
  <c r="X112" i="1"/>
  <c r="T113" i="1"/>
  <c r="V113" i="1"/>
  <c r="W113" i="1"/>
  <c r="Y113" i="1" s="1"/>
  <c r="U113" i="1" s="1"/>
  <c r="X113" i="1"/>
  <c r="T114" i="1"/>
  <c r="V114" i="1"/>
  <c r="W114" i="1"/>
  <c r="X114" i="1"/>
  <c r="T115" i="1"/>
  <c r="V115" i="1"/>
  <c r="W115" i="1"/>
  <c r="Y115" i="1" s="1"/>
  <c r="U115" i="1" s="1"/>
  <c r="X115" i="1"/>
  <c r="T116" i="1"/>
  <c r="V116" i="1"/>
  <c r="W116" i="1"/>
  <c r="X116" i="1"/>
  <c r="T117" i="1"/>
  <c r="V117" i="1"/>
  <c r="W117" i="1"/>
  <c r="X117" i="1"/>
  <c r="T118" i="1"/>
  <c r="V118" i="1"/>
  <c r="W118" i="1"/>
  <c r="X118" i="1"/>
  <c r="T119" i="1"/>
  <c r="V119" i="1"/>
  <c r="W119" i="1"/>
  <c r="X119" i="1"/>
  <c r="T120" i="1"/>
  <c r="V120" i="1"/>
  <c r="W120" i="1"/>
  <c r="X120" i="1"/>
  <c r="T121" i="1"/>
  <c r="V121" i="1"/>
  <c r="W121" i="1"/>
  <c r="X121" i="1"/>
  <c r="T122" i="1"/>
  <c r="V122" i="1"/>
  <c r="W122" i="1"/>
  <c r="Y122" i="1" s="1"/>
  <c r="U122" i="1" s="1"/>
  <c r="X122" i="1"/>
  <c r="T123" i="1"/>
  <c r="V123" i="1"/>
  <c r="W123" i="1"/>
  <c r="X123" i="1"/>
  <c r="Y123" i="1" s="1"/>
  <c r="U123" i="1" s="1"/>
  <c r="T124" i="1"/>
  <c r="V124" i="1"/>
  <c r="W124" i="1"/>
  <c r="X124" i="1"/>
  <c r="T125" i="1"/>
  <c r="V125" i="1"/>
  <c r="W125" i="1"/>
  <c r="X125" i="1"/>
  <c r="T126" i="1"/>
  <c r="V126" i="1"/>
  <c r="W126" i="1"/>
  <c r="X126" i="1"/>
  <c r="T127" i="1"/>
  <c r="V127" i="1"/>
  <c r="W127" i="1"/>
  <c r="X127" i="1"/>
  <c r="T128" i="1"/>
  <c r="V128" i="1"/>
  <c r="W128" i="1"/>
  <c r="X128" i="1"/>
  <c r="T129" i="1"/>
  <c r="V129" i="1"/>
  <c r="W129" i="1"/>
  <c r="X129" i="1"/>
  <c r="T130" i="1"/>
  <c r="V130" i="1"/>
  <c r="W130" i="1"/>
  <c r="X130" i="1"/>
  <c r="Y130" i="1" s="1"/>
  <c r="U130" i="1" s="1"/>
  <c r="T131" i="1"/>
  <c r="V131" i="1"/>
  <c r="W131" i="1"/>
  <c r="X131" i="1"/>
  <c r="T132" i="1"/>
  <c r="V132" i="1"/>
  <c r="W132" i="1"/>
  <c r="X132" i="1"/>
  <c r="Y132" i="1" s="1"/>
  <c r="U132" i="1" s="1"/>
  <c r="T133" i="1"/>
  <c r="V133" i="1"/>
  <c r="W133" i="1"/>
  <c r="X133" i="1"/>
  <c r="T134" i="1"/>
  <c r="V134" i="1"/>
  <c r="W134" i="1"/>
  <c r="X134" i="1"/>
  <c r="Y134" i="1" s="1"/>
  <c r="U134" i="1" s="1"/>
  <c r="T135" i="1"/>
  <c r="V135" i="1"/>
  <c r="W135" i="1"/>
  <c r="X135" i="1"/>
  <c r="Y135" i="1" s="1"/>
  <c r="U135" i="1" s="1"/>
  <c r="T136" i="1"/>
  <c r="V136" i="1"/>
  <c r="W136" i="1"/>
  <c r="X136" i="1"/>
  <c r="T137" i="1"/>
  <c r="V137" i="1"/>
  <c r="W137" i="1"/>
  <c r="X137" i="1"/>
  <c r="T138" i="1"/>
  <c r="V138" i="1"/>
  <c r="W138" i="1"/>
  <c r="X138" i="1"/>
  <c r="Y138" i="1"/>
  <c r="U138" i="1" s="1"/>
  <c r="T139" i="1"/>
  <c r="V139" i="1"/>
  <c r="W139" i="1"/>
  <c r="Y139" i="1"/>
  <c r="U139" i="1" s="1"/>
  <c r="T140" i="1"/>
  <c r="V140" i="1"/>
  <c r="W140" i="1"/>
  <c r="X140" i="1"/>
  <c r="Y140" i="1" s="1"/>
  <c r="U140" i="1" s="1"/>
  <c r="T141" i="1"/>
  <c r="V141" i="1"/>
  <c r="W141" i="1"/>
  <c r="X141" i="1"/>
  <c r="T142" i="1"/>
  <c r="V142" i="1"/>
  <c r="W142" i="1"/>
  <c r="X142" i="1"/>
  <c r="T143" i="1"/>
  <c r="V143" i="1"/>
  <c r="W143" i="1"/>
  <c r="X143" i="1"/>
  <c r="T144" i="1"/>
  <c r="V144" i="1"/>
  <c r="W144" i="1"/>
  <c r="X144" i="1"/>
  <c r="T145" i="1"/>
  <c r="V145" i="1"/>
  <c r="W145" i="1"/>
  <c r="X145" i="1"/>
  <c r="T146" i="1"/>
  <c r="V146" i="1"/>
  <c r="W146" i="1"/>
  <c r="X146" i="1"/>
  <c r="T147" i="1"/>
  <c r="V147" i="1"/>
  <c r="W147" i="1"/>
  <c r="X147" i="1"/>
  <c r="Y147" i="1" s="1"/>
  <c r="U147" i="1" s="1"/>
  <c r="T148" i="1"/>
  <c r="V148" i="1"/>
  <c r="W148" i="1"/>
  <c r="X148" i="1"/>
  <c r="Y148" i="1" s="1"/>
  <c r="U148" i="1" s="1"/>
  <c r="T149" i="1"/>
  <c r="V149" i="1"/>
  <c r="W149" i="1"/>
  <c r="X149" i="1"/>
  <c r="T150" i="1"/>
  <c r="V150" i="1"/>
  <c r="W150" i="1"/>
  <c r="X150" i="1"/>
  <c r="T151" i="1"/>
  <c r="V151" i="1"/>
  <c r="W151" i="1"/>
  <c r="X151" i="1"/>
  <c r="T152" i="1"/>
  <c r="V152" i="1"/>
  <c r="W152" i="1"/>
  <c r="X152" i="1"/>
  <c r="T153" i="1"/>
  <c r="V153" i="1"/>
  <c r="W153" i="1"/>
  <c r="X153" i="1"/>
  <c r="T154" i="1"/>
  <c r="V154" i="1"/>
  <c r="W154" i="1"/>
  <c r="X154" i="1"/>
  <c r="K4" i="1"/>
  <c r="L4" i="1"/>
  <c r="M4" i="1"/>
  <c r="K5" i="1"/>
  <c r="L5" i="1"/>
  <c r="M5" i="1"/>
  <c r="N5" i="1" s="1"/>
  <c r="K6" i="1"/>
  <c r="L6" i="1"/>
  <c r="M6" i="1"/>
  <c r="K7" i="1"/>
  <c r="L7" i="1"/>
  <c r="M7" i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P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P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P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P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K108" i="1"/>
  <c r="L108" i="1"/>
  <c r="M108" i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P116" i="1" s="1"/>
  <c r="K117" i="1"/>
  <c r="L117" i="1"/>
  <c r="M117" i="1"/>
  <c r="N117" i="1" s="1"/>
  <c r="K118" i="1"/>
  <c r="L118" i="1"/>
  <c r="M118" i="1"/>
  <c r="K119" i="1"/>
  <c r="L119" i="1"/>
  <c r="M119" i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K128" i="1"/>
  <c r="L128" i="1"/>
  <c r="M128" i="1"/>
  <c r="K129" i="1"/>
  <c r="L129" i="1"/>
  <c r="M129" i="1"/>
  <c r="P129" i="1" s="1"/>
  <c r="K130" i="1"/>
  <c r="L130" i="1"/>
  <c r="M130" i="1"/>
  <c r="K131" i="1"/>
  <c r="L131" i="1"/>
  <c r="M131" i="1"/>
  <c r="K132" i="1"/>
  <c r="L132" i="1"/>
  <c r="M132" i="1"/>
  <c r="K133" i="1"/>
  <c r="L133" i="1"/>
  <c r="M133" i="1"/>
  <c r="P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P147" i="1" s="1"/>
  <c r="K148" i="1"/>
  <c r="L148" i="1"/>
  <c r="M148" i="1"/>
  <c r="N148" i="1" s="1"/>
  <c r="K149" i="1"/>
  <c r="L149" i="1"/>
  <c r="M149" i="1"/>
  <c r="N149" i="1" s="1"/>
  <c r="K150" i="1"/>
  <c r="L150" i="1"/>
  <c r="M150" i="1"/>
  <c r="N150" i="1" s="1"/>
  <c r="K151" i="1"/>
  <c r="L151" i="1"/>
  <c r="M151" i="1"/>
  <c r="N151" i="1" s="1"/>
  <c r="K152" i="1"/>
  <c r="L152" i="1"/>
  <c r="M152" i="1"/>
  <c r="N152" i="1" s="1"/>
  <c r="K153" i="1"/>
  <c r="L153" i="1"/>
  <c r="M153" i="1"/>
  <c r="N153" i="1" s="1"/>
  <c r="K154" i="1"/>
  <c r="L154" i="1"/>
  <c r="M154" i="1"/>
  <c r="N154" i="1" s="1"/>
  <c r="I156" i="1"/>
  <c r="J160" i="1"/>
  <c r="Y152" i="1" l="1"/>
  <c r="U152" i="1" s="1"/>
  <c r="P93" i="1"/>
  <c r="Y153" i="1"/>
  <c r="U153" i="1" s="1"/>
  <c r="Y151" i="1"/>
  <c r="U151" i="1" s="1"/>
  <c r="Y149" i="1"/>
  <c r="U149" i="1" s="1"/>
  <c r="Y106" i="1"/>
  <c r="U106" i="1" s="1"/>
  <c r="Y90" i="1"/>
  <c r="U90" i="1" s="1"/>
  <c r="Y103" i="1"/>
  <c r="U103" i="1" s="1"/>
  <c r="Y102" i="1"/>
  <c r="U102" i="1" s="1"/>
  <c r="Y100" i="1"/>
  <c r="U100" i="1" s="1"/>
  <c r="Y98" i="1"/>
  <c r="U98" i="1" s="1"/>
  <c r="Y91" i="1"/>
  <c r="U91" i="1" s="1"/>
  <c r="Y146" i="1"/>
  <c r="U146" i="1" s="1"/>
  <c r="Y150" i="1"/>
  <c r="U150" i="1" s="1"/>
  <c r="Y154" i="1"/>
  <c r="U154" i="1" s="1"/>
  <c r="Y131" i="1"/>
  <c r="U131" i="1" s="1"/>
  <c r="Y129" i="1"/>
  <c r="U129" i="1" s="1"/>
  <c r="Y119" i="1"/>
  <c r="U119" i="1" s="1"/>
  <c r="Y118" i="1"/>
  <c r="U118" i="1" s="1"/>
  <c r="Y116" i="1"/>
  <c r="U116" i="1" s="1"/>
  <c r="Y114" i="1"/>
  <c r="U114" i="1" s="1"/>
  <c r="Y107" i="1"/>
  <c r="U107" i="1" s="1"/>
  <c r="Y137" i="1"/>
  <c r="U137" i="1" s="1"/>
  <c r="Y121" i="1"/>
  <c r="U121" i="1" s="1"/>
  <c r="Y105" i="1"/>
  <c r="U105" i="1" s="1"/>
  <c r="Y144" i="1"/>
  <c r="U144" i="1" s="1"/>
  <c r="Y143" i="1"/>
  <c r="U143" i="1" s="1"/>
  <c r="Y141" i="1"/>
  <c r="U141" i="1" s="1"/>
  <c r="Y127" i="1"/>
  <c r="U127" i="1" s="1"/>
  <c r="Y126" i="1"/>
  <c r="U126" i="1" s="1"/>
  <c r="Y124" i="1"/>
  <c r="U124" i="1" s="1"/>
  <c r="Y111" i="1"/>
  <c r="U111" i="1" s="1"/>
  <c r="Y110" i="1"/>
  <c r="U110" i="1" s="1"/>
  <c r="Y108" i="1"/>
  <c r="U108" i="1" s="1"/>
  <c r="Y95" i="1"/>
  <c r="U95" i="1" s="1"/>
  <c r="Y94" i="1"/>
  <c r="U94" i="1" s="1"/>
  <c r="Y92" i="1"/>
  <c r="U92" i="1" s="1"/>
  <c r="P118" i="1"/>
  <c r="P107" i="1"/>
  <c r="Y125" i="1"/>
  <c r="U125" i="1" s="1"/>
  <c r="Y117" i="1"/>
  <c r="U117" i="1" s="1"/>
  <c r="Y142" i="1"/>
  <c r="U142" i="1" s="1"/>
  <c r="Y133" i="1"/>
  <c r="U133" i="1" s="1"/>
  <c r="Y109" i="1"/>
  <c r="U109" i="1" s="1"/>
  <c r="Y101" i="1"/>
  <c r="U101" i="1" s="1"/>
  <c r="Y93" i="1"/>
  <c r="U93" i="1" s="1"/>
  <c r="Y145" i="1"/>
  <c r="U145" i="1" s="1"/>
  <c r="Y136" i="1"/>
  <c r="U136" i="1" s="1"/>
  <c r="Y128" i="1"/>
  <c r="U128" i="1" s="1"/>
  <c r="Y120" i="1"/>
  <c r="U120" i="1" s="1"/>
  <c r="Y112" i="1"/>
  <c r="U112" i="1" s="1"/>
  <c r="Y104" i="1"/>
  <c r="U104" i="1" s="1"/>
  <c r="Y96" i="1"/>
  <c r="U96" i="1" s="1"/>
  <c r="Y89" i="1"/>
  <c r="U89" i="1" s="1"/>
  <c r="Y88" i="1"/>
  <c r="U88" i="1" s="1"/>
  <c r="Y87" i="1"/>
  <c r="U87" i="1" s="1"/>
  <c r="Y86" i="1"/>
  <c r="U86" i="1" s="1"/>
  <c r="Y54" i="1"/>
  <c r="U54" i="1" s="1"/>
  <c r="Y53" i="1"/>
  <c r="U53" i="1" s="1"/>
  <c r="Y52" i="1"/>
  <c r="U52" i="1" s="1"/>
  <c r="Y51" i="1"/>
  <c r="U51" i="1" s="1"/>
  <c r="Y50" i="1"/>
  <c r="U50" i="1" s="1"/>
  <c r="Y49" i="1"/>
  <c r="U49" i="1" s="1"/>
  <c r="Y48" i="1"/>
  <c r="U48" i="1" s="1"/>
  <c r="Y47" i="1"/>
  <c r="U47" i="1" s="1"/>
  <c r="P127" i="1"/>
  <c r="Y85" i="1"/>
  <c r="U85" i="1" s="1"/>
  <c r="Y84" i="1"/>
  <c r="U84" i="1" s="1"/>
  <c r="Y83" i="1"/>
  <c r="U83" i="1" s="1"/>
  <c r="Y82" i="1"/>
  <c r="U82" i="1" s="1"/>
  <c r="Y81" i="1"/>
  <c r="U81" i="1" s="1"/>
  <c r="Y80" i="1"/>
  <c r="U80" i="1" s="1"/>
  <c r="Y79" i="1"/>
  <c r="U79" i="1" s="1"/>
  <c r="Y78" i="1"/>
  <c r="U78" i="1" s="1"/>
  <c r="Y77" i="1"/>
  <c r="U77" i="1" s="1"/>
  <c r="Y76" i="1"/>
  <c r="U76" i="1" s="1"/>
  <c r="Y75" i="1"/>
  <c r="U75" i="1" s="1"/>
  <c r="Y74" i="1"/>
  <c r="U74" i="1" s="1"/>
  <c r="Y73" i="1"/>
  <c r="U73" i="1" s="1"/>
  <c r="Y72" i="1"/>
  <c r="U72" i="1" s="1"/>
  <c r="Y71" i="1"/>
  <c r="U71" i="1" s="1"/>
  <c r="Y70" i="1"/>
  <c r="U70" i="1" s="1"/>
  <c r="Y69" i="1"/>
  <c r="U69" i="1" s="1"/>
  <c r="Y68" i="1"/>
  <c r="U68" i="1" s="1"/>
  <c r="Y67" i="1"/>
  <c r="U67" i="1" s="1"/>
  <c r="Y66" i="1"/>
  <c r="U66" i="1" s="1"/>
  <c r="Y65" i="1"/>
  <c r="U65" i="1" s="1"/>
  <c r="Y64" i="1"/>
  <c r="U64" i="1" s="1"/>
  <c r="Y63" i="1"/>
  <c r="U63" i="1" s="1"/>
  <c r="Y62" i="1"/>
  <c r="U62" i="1" s="1"/>
  <c r="Y61" i="1"/>
  <c r="U61" i="1" s="1"/>
  <c r="Y60" i="1"/>
  <c r="U60" i="1" s="1"/>
  <c r="Y59" i="1"/>
  <c r="U59" i="1" s="1"/>
  <c r="Y58" i="1"/>
  <c r="U58" i="1" s="1"/>
  <c r="Y57" i="1"/>
  <c r="U57" i="1" s="1"/>
  <c r="Y56" i="1"/>
  <c r="U56" i="1" s="1"/>
  <c r="Y46" i="1"/>
  <c r="U46" i="1" s="1"/>
  <c r="Y44" i="1"/>
  <c r="U44" i="1" s="1"/>
  <c r="Y42" i="1"/>
  <c r="U42" i="1" s="1"/>
  <c r="Y40" i="1"/>
  <c r="U40" i="1" s="1"/>
  <c r="Y38" i="1"/>
  <c r="U38" i="1" s="1"/>
  <c r="Y36" i="1"/>
  <c r="U36" i="1" s="1"/>
  <c r="Y34" i="1"/>
  <c r="U34" i="1" s="1"/>
  <c r="Y32" i="1"/>
  <c r="U32" i="1" s="1"/>
  <c r="Y30" i="1"/>
  <c r="U30" i="1" s="1"/>
  <c r="Y28" i="1"/>
  <c r="U28" i="1" s="1"/>
  <c r="Y26" i="1"/>
  <c r="U26" i="1" s="1"/>
  <c r="Y24" i="1"/>
  <c r="U24" i="1" s="1"/>
  <c r="Y22" i="1"/>
  <c r="U22" i="1" s="1"/>
  <c r="Y20" i="1"/>
  <c r="U20" i="1" s="1"/>
  <c r="Y18" i="1"/>
  <c r="U18" i="1" s="1"/>
  <c r="Y16" i="1"/>
  <c r="U16" i="1" s="1"/>
  <c r="Y14" i="1"/>
  <c r="U14" i="1" s="1"/>
  <c r="Y12" i="1"/>
  <c r="U12" i="1" s="1"/>
  <c r="Y10" i="1"/>
  <c r="U10" i="1" s="1"/>
  <c r="Y8" i="1"/>
  <c r="U8" i="1" s="1"/>
  <c r="Y6" i="1"/>
  <c r="U6" i="1" s="1"/>
  <c r="Y5" i="1"/>
  <c r="U5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W4" i="1"/>
  <c r="X4" i="1"/>
  <c r="V3" i="1"/>
  <c r="Y4" i="1" l="1"/>
  <c r="V4" i="1" l="1"/>
  <c r="T4" i="1"/>
  <c r="T3" i="1"/>
  <c r="W3" i="1"/>
  <c r="X3" i="1"/>
  <c r="U4" i="1" l="1"/>
  <c r="Y3" i="1"/>
  <c r="U3" i="1" s="1"/>
  <c r="L13" i="3" l="1"/>
  <c r="M71" i="3" l="1"/>
  <c r="M72" i="3" s="1"/>
  <c r="M160" i="1"/>
  <c r="L29" i="3" l="1"/>
  <c r="K3" i="1" l="1"/>
  <c r="L3" i="1"/>
  <c r="M3" i="1"/>
  <c r="J162" i="1" l="1"/>
  <c r="J159" i="1"/>
  <c r="N159" i="1"/>
  <c r="A1" i="6"/>
  <c r="J161" i="1" l="1"/>
  <c r="J158" i="1"/>
  <c r="J163" i="1" s="1"/>
  <c r="N162" i="1"/>
  <c r="O162" i="1"/>
  <c r="O159" i="1"/>
  <c r="M162" i="1"/>
  <c r="A1" i="3" l="1"/>
  <c r="A1" i="1" l="1"/>
  <c r="O160" i="1" l="1"/>
  <c r="N160" i="1"/>
  <c r="M159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<sst xmlns="http://schemas.openxmlformats.org/spreadsheetml/2006/main" count="1674" uniqueCount="455">
  <si>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</si>
  <si>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</si>
  <si>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</si>
  <si>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</si>
  <si>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</si>
  <si>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</si>
  <si>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</si>
  <si>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</si>
  <si>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</si>
  <si>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</si>
  <si>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</si>
  <si>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</si>
  <si>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</si>
  <si>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</si>
  <si>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</si>
  <si>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</si>
  <si>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</si>
  <si>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</si>
  <si>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</si>
  <si>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</si>
  <si>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</si>
  <si>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</si>
  <si>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</si>
  <si>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</si>
  <si>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</si>
  <si>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</si>
  <si>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</si>
  <si>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</si>
  <si>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</si>
  <si>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</si>
  <si>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</si>
  <si>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</si>
  <si>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</si>
  <si>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</si>
  <si>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</si>
  <si>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</si>
  <si>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</si>
  <si>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</si>
  <si>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</si>
  <si>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</si>
  <si>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</si>
  <si>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</si>
  <si>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</si>
  <si>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</si>
  <si>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</si>
  <si>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</si>
  <si>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</si>
  <si>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</si>
  <si>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</si>
  <si>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</si>
  <si>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</si>
  <si>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</si>
  <si>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</si>
  <si>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</si>
  <si>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</si>
  <si>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</si>
  <si>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</si>
  <si>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</si>
  <si>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</si>
  <si>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</si>
  <si>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</si>
  <si>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</si>
  <si>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</si>
  <si>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</si>
  <si>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</si>
  <si>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</si>
  <si>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</si>
  <si>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</si>
  <si>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</si>
  <si>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</si>
  <si>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</si>
  <si>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</si>
  <si>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</si>
  <si>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</si>
  <si>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</si>
  <si>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</si>
  <si>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</si>
  <si>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204:233304</t>
  </si>
  <si>
    <t>204:232989</t>
  </si>
  <si>
    <t>204:145</t>
  </si>
  <si>
    <t>204:447</t>
  </si>
  <si>
    <t>204:471</t>
  </si>
  <si>
    <t>204:455</t>
  </si>
  <si>
    <t>204:451</t>
  </si>
  <si>
    <t>204:233000</t>
  </si>
  <si>
    <t>204:453</t>
  </si>
  <si>
    <t>204:232998</t>
  </si>
  <si>
    <t>204:233299</t>
  </si>
  <si>
    <t>204:152</t>
  </si>
  <si>
    <t>204:163</t>
  </si>
  <si>
    <t>204:232994</t>
  </si>
  <si>
    <t>204:464</t>
  </si>
  <si>
    <t>204:232993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</si>
  <si>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</si>
  <si>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</si>
  <si>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</si>
  <si>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</si>
  <si>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</si>
  <si>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</si>
  <si>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</si>
  <si>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rtdc.l.rtdc.4008:itc</t>
  </si>
  <si>
    <t>GRADE CROSSING</t>
  </si>
  <si>
    <t>Bulletin (2)</t>
  </si>
  <si>
    <t>204:141</t>
  </si>
  <si>
    <t>204:150</t>
  </si>
  <si>
    <t>204:232975</t>
  </si>
  <si>
    <t>204:232981</t>
  </si>
  <si>
    <t>204:232990</t>
  </si>
  <si>
    <t>Married Pair</t>
  </si>
  <si>
    <t>204:233315</t>
  </si>
  <si>
    <t>204:232971</t>
  </si>
  <si>
    <t>204:134</t>
  </si>
  <si>
    <t>204:147</t>
  </si>
  <si>
    <t>204:462</t>
  </si>
  <si>
    <t>204:233317</t>
  </si>
  <si>
    <t>204:433</t>
  </si>
  <si>
    <t>204:233293</t>
  </si>
  <si>
    <t>204:232982</t>
  </si>
  <si>
    <t>204:473</t>
  </si>
  <si>
    <t>204:167</t>
  </si>
  <si>
    <t>204:232986</t>
  </si>
  <si>
    <t>STRICKLAND</t>
  </si>
  <si>
    <t>BRUDER</t>
  </si>
  <si>
    <t>SPECTOR</t>
  </si>
  <si>
    <t>CHANDLER</t>
  </si>
  <si>
    <t>YORK</t>
  </si>
  <si>
    <t>STORY</t>
  </si>
  <si>
    <t>rtdc.l.rtdc.4009:itc</t>
  </si>
  <si>
    <t>ADANE</t>
  </si>
  <si>
    <t>NEWELL</t>
  </si>
  <si>
    <t>rtdc.l.rtdc.4010:itc</t>
  </si>
  <si>
    <t>CANFIELD</t>
  </si>
  <si>
    <t>204:233319</t>
  </si>
  <si>
    <t>204:440</t>
  </si>
  <si>
    <t>204:138</t>
  </si>
  <si>
    <t>204:233301</t>
  </si>
  <si>
    <t>204:158</t>
  </si>
  <si>
    <t>204:232984</t>
  </si>
  <si>
    <t>204:233284</t>
  </si>
  <si>
    <t>204:467</t>
  </si>
  <si>
    <t>204:442</t>
  </si>
  <si>
    <t>REBOLETTI</t>
  </si>
  <si>
    <t>Closed</t>
  </si>
  <si>
    <t>204:233322</t>
  </si>
  <si>
    <t>204:233011</t>
  </si>
  <si>
    <t>204:458</t>
  </si>
  <si>
    <t>204:232988</t>
  </si>
  <si>
    <t>204:469</t>
  </si>
  <si>
    <t>204:511</t>
  </si>
  <si>
    <t>rtdc.l.rtdc.4040:itc</t>
  </si>
  <si>
    <t>rtdc.l.rtdc.4013:itc</t>
  </si>
  <si>
    <t>rtdc.l.rtdc.4039:itc</t>
  </si>
  <si>
    <t>rtdc.l.rtdc.4014:itc</t>
  </si>
  <si>
    <t>204:233307</t>
  </si>
  <si>
    <t>STEWART</t>
  </si>
  <si>
    <t>DE LA ROSA</t>
  </si>
  <si>
    <t>rtdc.l.rtdc.4026:itc</t>
  </si>
  <si>
    <t>204:139</t>
  </si>
  <si>
    <t>204:233306</t>
  </si>
  <si>
    <t>204:444</t>
  </si>
  <si>
    <t>204:233323</t>
  </si>
  <si>
    <t>MALAVE</t>
  </si>
  <si>
    <t>rtdc.l.rtdc.4025:itc</t>
  </si>
  <si>
    <t>244-12</t>
  </si>
  <si>
    <t>242-12</t>
  </si>
  <si>
    <t>EQUIPMENT RESTRICTION</t>
  </si>
  <si>
    <t>Y</t>
  </si>
  <si>
    <t>204:233289</t>
  </si>
  <si>
    <t>204:232973</t>
  </si>
  <si>
    <t>204:233276</t>
  </si>
  <si>
    <t>204:232963</t>
  </si>
  <si>
    <t>204:438</t>
  </si>
  <si>
    <t>204:233298</t>
  </si>
  <si>
    <t>204:232969</t>
  </si>
  <si>
    <t>204:232679</t>
  </si>
  <si>
    <t>204:233264</t>
  </si>
  <si>
    <t>204:232979</t>
  </si>
  <si>
    <t>204:233329</t>
  </si>
  <si>
    <t>204:125</t>
  </si>
  <si>
    <t>204:233331</t>
  </si>
  <si>
    <t>204:437</t>
  </si>
  <si>
    <t>101-13</t>
  </si>
  <si>
    <t>204:19195</t>
  </si>
  <si>
    <t>204:233327</t>
  </si>
  <si>
    <t>204:777</t>
  </si>
  <si>
    <t>204:1360</t>
  </si>
  <si>
    <t>102-13</t>
  </si>
  <si>
    <t>103-13</t>
  </si>
  <si>
    <t>204:19197</t>
  </si>
  <si>
    <t>204:755</t>
  </si>
  <si>
    <t>204:1127</t>
  </si>
  <si>
    <t>104-13</t>
  </si>
  <si>
    <t>204:232653</t>
  </si>
  <si>
    <t>107-13</t>
  </si>
  <si>
    <t>108-13</t>
  </si>
  <si>
    <t>204:232493</t>
  </si>
  <si>
    <t>109-13</t>
  </si>
  <si>
    <t>110-13</t>
  </si>
  <si>
    <t>111-13</t>
  </si>
  <si>
    <t>204:772</t>
  </si>
  <si>
    <t>204:233309</t>
  </si>
  <si>
    <t>112-13</t>
  </si>
  <si>
    <t>113-13</t>
  </si>
  <si>
    <t>114-13</t>
  </si>
  <si>
    <t>204:232977</t>
  </si>
  <si>
    <t>115-13</t>
  </si>
  <si>
    <t>204:757</t>
  </si>
  <si>
    <t>116-13</t>
  </si>
  <si>
    <t>117-13</t>
  </si>
  <si>
    <t>118-13</t>
  </si>
  <si>
    <t>204:232972</t>
  </si>
  <si>
    <t>120-13</t>
  </si>
  <si>
    <t>121-13</t>
  </si>
  <si>
    <t>122-13</t>
  </si>
  <si>
    <t>204:233023</t>
  </si>
  <si>
    <t>123-13</t>
  </si>
  <si>
    <t>124-13</t>
  </si>
  <si>
    <t>125-13</t>
  </si>
  <si>
    <t>204:435</t>
  </si>
  <si>
    <t>126-13</t>
  </si>
  <si>
    <t>127-13</t>
  </si>
  <si>
    <t>128-13</t>
  </si>
  <si>
    <t>129-13</t>
  </si>
  <si>
    <t>204:482</t>
  </si>
  <si>
    <t>130-13</t>
  </si>
  <si>
    <t>204:220</t>
  </si>
  <si>
    <t>131-13</t>
  </si>
  <si>
    <t>132-13</t>
  </si>
  <si>
    <t>133-13</t>
  </si>
  <si>
    <t>134-13</t>
  </si>
  <si>
    <t>135-13</t>
  </si>
  <si>
    <t>204:1109</t>
  </si>
  <si>
    <t>136-13</t>
  </si>
  <si>
    <t>204:233051</t>
  </si>
  <si>
    <t>137-13</t>
  </si>
  <si>
    <t>204:233363</t>
  </si>
  <si>
    <t>138-13</t>
  </si>
  <si>
    <t>204:232987</t>
  </si>
  <si>
    <t>139-13</t>
  </si>
  <si>
    <t>140-13</t>
  </si>
  <si>
    <t>141-13</t>
  </si>
  <si>
    <t>142-13</t>
  </si>
  <si>
    <t>143-13</t>
  </si>
  <si>
    <t>204:544</t>
  </si>
  <si>
    <t>144-13</t>
  </si>
  <si>
    <t>145-13</t>
  </si>
  <si>
    <t>204:449</t>
  </si>
  <si>
    <t>204:233325</t>
  </si>
  <si>
    <t>146-13</t>
  </si>
  <si>
    <t>147-13</t>
  </si>
  <si>
    <t>148-13</t>
  </si>
  <si>
    <t>149-13</t>
  </si>
  <si>
    <t>204:233334</t>
  </si>
  <si>
    <t>150-13</t>
  </si>
  <si>
    <t>204:233015</t>
  </si>
  <si>
    <t>151-13</t>
  </si>
  <si>
    <t>152-13</t>
  </si>
  <si>
    <t>153-13</t>
  </si>
  <si>
    <t>204:233300</t>
  </si>
  <si>
    <t>154-13</t>
  </si>
  <si>
    <t>155-13</t>
  </si>
  <si>
    <t>204:460</t>
  </si>
  <si>
    <t>156-13</t>
  </si>
  <si>
    <t>204:178</t>
  </si>
  <si>
    <t>157-13</t>
  </si>
  <si>
    <t>158-13</t>
  </si>
  <si>
    <t>204:232996</t>
  </si>
  <si>
    <t>159-13</t>
  </si>
  <si>
    <t>160-13</t>
  </si>
  <si>
    <t>161-13</t>
  </si>
  <si>
    <t>162-13</t>
  </si>
  <si>
    <t>204:232976</t>
  </si>
  <si>
    <t>163-13</t>
  </si>
  <si>
    <t>204:422</t>
  </si>
  <si>
    <t>164-13</t>
  </si>
  <si>
    <t>165-13</t>
  </si>
  <si>
    <t>166-13</t>
  </si>
  <si>
    <t>167-13</t>
  </si>
  <si>
    <t>168-13</t>
  </si>
  <si>
    <t>169-13</t>
  </si>
  <si>
    <t>170-13</t>
  </si>
  <si>
    <t>204:3668</t>
  </si>
  <si>
    <t>171-13</t>
  </si>
  <si>
    <t>172-13</t>
  </si>
  <si>
    <t>173-13</t>
  </si>
  <si>
    <t>204:233302</t>
  </si>
  <si>
    <t>174-13</t>
  </si>
  <si>
    <t>175-13</t>
  </si>
  <si>
    <t>204:233311</t>
  </si>
  <si>
    <t>176-13</t>
  </si>
  <si>
    <t>177-13</t>
  </si>
  <si>
    <t>204:233287</t>
  </si>
  <si>
    <t>178-13</t>
  </si>
  <si>
    <t>204:109</t>
  </si>
  <si>
    <t>179-13</t>
  </si>
  <si>
    <t>204:233337</t>
  </si>
  <si>
    <t>180-13</t>
  </si>
  <si>
    <t>204:233019</t>
  </si>
  <si>
    <t>181-13</t>
  </si>
  <si>
    <t>182-13</t>
  </si>
  <si>
    <t>204:233006</t>
  </si>
  <si>
    <t>183-13</t>
  </si>
  <si>
    <t>184-13</t>
  </si>
  <si>
    <t>204:4925</t>
  </si>
  <si>
    <t>185-13</t>
  </si>
  <si>
    <t>204:233385</t>
  </si>
  <si>
    <t>186-13</t>
  </si>
  <si>
    <t>204:233076</t>
  </si>
  <si>
    <t>187-13</t>
  </si>
  <si>
    <t>188-13</t>
  </si>
  <si>
    <t>189-13</t>
  </si>
  <si>
    <t>204:233270</t>
  </si>
  <si>
    <t>190-13</t>
  </si>
  <si>
    <t>204:232955</t>
  </si>
  <si>
    <t>204:64059</t>
  </si>
  <si>
    <t>204:36775</t>
  </si>
  <si>
    <t>191-13</t>
  </si>
  <si>
    <t>204:52305</t>
  </si>
  <si>
    <t>204:64706</t>
  </si>
  <si>
    <t>204:233347</t>
  </si>
  <si>
    <t>192-13</t>
  </si>
  <si>
    <t>204:233040</t>
  </si>
  <si>
    <t>193-13</t>
  </si>
  <si>
    <t>204:233406</t>
  </si>
  <si>
    <t>194-13</t>
  </si>
  <si>
    <t>204:233068</t>
  </si>
  <si>
    <t>195-13</t>
  </si>
  <si>
    <t>204:233353</t>
  </si>
  <si>
    <t>196-13</t>
  </si>
  <si>
    <t>204:233046</t>
  </si>
  <si>
    <t>197-13</t>
  </si>
  <si>
    <t>204:233351</t>
  </si>
  <si>
    <t>198-13</t>
  </si>
  <si>
    <t>204:233057</t>
  </si>
  <si>
    <t>204:6498</t>
  </si>
  <si>
    <t>199-13</t>
  </si>
  <si>
    <t>204:233286</t>
  </si>
  <si>
    <t>200-13</t>
  </si>
  <si>
    <t>201-13</t>
  </si>
  <si>
    <t>202-13</t>
  </si>
  <si>
    <t>203-13</t>
  </si>
  <si>
    <t>204-13</t>
  </si>
  <si>
    <t>204:153997</t>
  </si>
  <si>
    <t>204:192764</t>
  </si>
  <si>
    <t>205-13</t>
  </si>
  <si>
    <t>204:233370</t>
  </si>
  <si>
    <t>206-13</t>
  </si>
  <si>
    <t>204:233064</t>
  </si>
  <si>
    <t>207-13</t>
  </si>
  <si>
    <t>204:233336</t>
  </si>
  <si>
    <t>208-13</t>
  </si>
  <si>
    <t>204:233005</t>
  </si>
  <si>
    <t>204:214</t>
  </si>
  <si>
    <t>209-13</t>
  </si>
  <si>
    <t>210-13</t>
  </si>
  <si>
    <t>211-13</t>
  </si>
  <si>
    <t>212-13</t>
  </si>
  <si>
    <t>204:4280</t>
  </si>
  <si>
    <t>213-13</t>
  </si>
  <si>
    <t>214-13</t>
  </si>
  <si>
    <t>204:154004</t>
  </si>
  <si>
    <t>204:192</t>
  </si>
  <si>
    <t>204:218455</t>
  </si>
  <si>
    <t>215-13</t>
  </si>
  <si>
    <t>204:233305</t>
  </si>
  <si>
    <t>216-13</t>
  </si>
  <si>
    <t>217-13</t>
  </si>
  <si>
    <t>218-13</t>
  </si>
  <si>
    <t>219-13</t>
  </si>
  <si>
    <t>220-13</t>
  </si>
  <si>
    <t>221-13</t>
  </si>
  <si>
    <t>204:233288</t>
  </si>
  <si>
    <t>222-13</t>
  </si>
  <si>
    <t>204:127861</t>
  </si>
  <si>
    <t>204:232959</t>
  </si>
  <si>
    <t>204:158705</t>
  </si>
  <si>
    <t>223-13</t>
  </si>
  <si>
    <t>204:528</t>
  </si>
  <si>
    <t>204:154555</t>
  </si>
  <si>
    <t>224-13</t>
  </si>
  <si>
    <t>204:1328</t>
  </si>
  <si>
    <t>204:1167</t>
  </si>
  <si>
    <t>225-13</t>
  </si>
  <si>
    <t>204:155128</t>
  </si>
  <si>
    <t>226-13</t>
  </si>
  <si>
    <t>227-13</t>
  </si>
  <si>
    <t>228-13</t>
  </si>
  <si>
    <t>229-13</t>
  </si>
  <si>
    <t>230-13</t>
  </si>
  <si>
    <t>231-13</t>
  </si>
  <si>
    <t>204:484</t>
  </si>
  <si>
    <t>204:619</t>
  </si>
  <si>
    <t>232-13</t>
  </si>
  <si>
    <t>204:311</t>
  </si>
  <si>
    <t>233-13</t>
  </si>
  <si>
    <t>204:233321</t>
  </si>
  <si>
    <t>234-13</t>
  </si>
  <si>
    <t>235-13</t>
  </si>
  <si>
    <t>236-13</t>
  </si>
  <si>
    <t>237-13</t>
  </si>
  <si>
    <t>238-13</t>
  </si>
  <si>
    <t>239-13</t>
  </si>
  <si>
    <t>204:606</t>
  </si>
  <si>
    <t>204:630</t>
  </si>
  <si>
    <t>240-13</t>
  </si>
  <si>
    <t>204:232962</t>
  </si>
  <si>
    <t>241-13</t>
  </si>
  <si>
    <t>242-13</t>
  </si>
  <si>
    <t>204:172</t>
  </si>
  <si>
    <t>243-13</t>
  </si>
  <si>
    <t>244-13</t>
  </si>
  <si>
    <t>204:232974</t>
  </si>
  <si>
    <t>245-13</t>
  </si>
  <si>
    <t>246-13</t>
  </si>
  <si>
    <t>204:1186</t>
  </si>
  <si>
    <t>rtdc.l.rtdc.4044:itc</t>
  </si>
  <si>
    <t>SWITCH UNKNOWN</t>
  </si>
  <si>
    <t>Track device (7)</t>
  </si>
  <si>
    <t>rtdc.l.rtdc.4043:itc</t>
  </si>
  <si>
    <t>rtdc.l.rtdc.4038:itc</t>
  </si>
  <si>
    <t>rtdc.l.rtdc.4037:itc</t>
  </si>
  <si>
    <t>rtdc.l.rtdc.4015:itc</t>
  </si>
  <si>
    <t>105-13</t>
  </si>
  <si>
    <t>106-13</t>
  </si>
  <si>
    <t>Not offered</t>
  </si>
  <si>
    <t>119-13</t>
  </si>
  <si>
    <t>Routing at DUS Signal 2N</t>
  </si>
  <si>
    <t>Routing at DUS (southbound signals)</t>
  </si>
  <si>
    <t>Premature downgrade at EC0629XH 63-1T 1S</t>
  </si>
  <si>
    <t>Tentative</t>
  </si>
  <si>
    <t>Investigating</t>
  </si>
  <si>
    <t>Premature downgrade at 78th Signal 4S</t>
  </si>
  <si>
    <t>Onboard entered a failed state</t>
  </si>
  <si>
    <t>Ticket Needed</t>
  </si>
  <si>
    <t>Reverser handle needs to be in forward position when selecting track</t>
  </si>
  <si>
    <t>Overspeed</t>
  </si>
  <si>
    <t>SANTIZO</t>
  </si>
  <si>
    <t>LEDERHAUSE</t>
  </si>
  <si>
    <t>LOCKLEAR</t>
  </si>
  <si>
    <t>NELSON</t>
  </si>
  <si>
    <t>STARKS</t>
  </si>
  <si>
    <t>MAYBERRY</t>
  </si>
  <si>
    <t>rtdc.l.rtdc.4016:itc</t>
  </si>
  <si>
    <t>WEBSTER</t>
  </si>
  <si>
    <t>ROCHA</t>
  </si>
  <si>
    <t>ROCHA-13</t>
  </si>
  <si>
    <t>Early Arrival</t>
  </si>
  <si>
    <t>Premature downgrade at EC1752RH 167-1T 1N</t>
  </si>
  <si>
    <t>Wi-MAX outage</t>
  </si>
  <si>
    <t>Premature downgrade at EC0508RH 43-1T 1N</t>
  </si>
  <si>
    <t>No issue found in logs, no issue found in service log. Signals ahead were all PROCEED CAB. GPS was acceptable. Not sure why a cut out happened here.</t>
  </si>
  <si>
    <t>Routing @ Pena, MAP DISAPPEARED</t>
  </si>
  <si>
    <t>Open</t>
  </si>
  <si>
    <t>Link failures to 78th</t>
  </si>
  <si>
    <t>Link failures to 61st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</si>
</sst>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71"/>
  <sheetViews>
    <sheetView showGridLines="0" tabSelected="1" topLeftCell="A73" zoomScale="85" zoomScaleNormal="85" workbookViewId="0">
      <selection activeCell="T25" sqref="T25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0.2851562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6" t="str">
        <f>"Eagle P3 System Performance - "&amp;TEXT(Variables!A2,"yyyy-mm-dd")</f>
        <v>Eagle P3 System Performance - 2016-05-13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108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181</v>
      </c>
      <c r="B3" s="61">
        <v>4044</v>
      </c>
      <c r="C3" s="61" t="s">
        <v>64</v>
      </c>
      <c r="D3" s="61" t="s">
        <v>182</v>
      </c>
      <c r="E3" s="30">
        <v>42503.139675925922</v>
      </c>
      <c r="F3" s="30">
        <v>42503.140439814815</v>
      </c>
      <c r="G3" s="38">
        <v>1</v>
      </c>
      <c r="H3" s="30" t="s">
        <v>183</v>
      </c>
      <c r="I3" s="30">
        <v>42503.162280092591</v>
      </c>
      <c r="J3" s="61">
        <v>1</v>
      </c>
      <c r="K3" s="61" t="str">
        <f t="shared" ref="K3" si="0">IF(ISEVEN(B3),(B3-1)&amp;"/"&amp;B3,B3&amp;"/"&amp;(B3+1))</f>
        <v>4043/4044</v>
      </c>
      <c r="L3" s="61" t="str">
        <f>VLOOKUP(A3,'Trips&amp;Operators'!$C$1:$E$9999,3,FALSE)</f>
        <v>LEDERHAUSE</v>
      </c>
      <c r="M3" s="12">
        <f t="shared" ref="M3" si="1">I3-F3</f>
        <v>2.1840277775481809E-2</v>
      </c>
      <c r="N3" s="13"/>
      <c r="O3" s="13"/>
      <c r="P3" s="13"/>
      <c r="Q3" s="62"/>
      <c r="R3" s="52"/>
      <c r="T3" s="74" t="str">
        <f t="shared" ref="T3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https://search-rtdc-monitor-bjffxe2xuh6vdkpspy63sjmuny.us-east-1.es.amazonaws.com/_plugin/kibana/#/discover/Steve-Slow-Train-Analysis-(2080s-and-2083s)?_g=(refreshInterval:(display:Off,section:0,value:0),time:(from:'2016-05-13 03:20:08-0600',mode:absolute,to:'2016-05-13 03:54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" s="74" t="str">
        <f t="shared" ref="U3" si="3">IF(Y3&lt;23,"Y","N")</f>
        <v>Y</v>
      </c>
      <c r="V3" s="74" t="e">
        <f t="shared" ref="V3" si="4">VALUE(LEFT(A3,3))-VALUE(LEFT(A2,3))</f>
        <v>#VALUE!</v>
      </c>
      <c r="W3" s="74">
        <f t="shared" ref="W3:W34" si="5">RIGHT(D3,LEN(D3)-4)/10000</f>
        <v>1.9195</v>
      </c>
      <c r="X3" s="74">
        <f t="shared" ref="X3:X34" si="6">RIGHT(H3,LEN(H3)-4)/10000</f>
        <v>23.332699999999999</v>
      </c>
      <c r="Y3" s="74">
        <f t="shared" ref="Y3:Y34" si="7">ABS(X3-W3)</f>
        <v>21.4132</v>
      </c>
      <c r="Z3" s="75" t="e">
        <f>VLOOKUP(A3,Enforcements!$C$3:$J$12,8,0)</f>
        <v>#N/A</v>
      </c>
      <c r="AA3" s="75" t="e">
        <f>VLOOKUP(A3,Enforcements!$C$3:$J$12,3,0)</f>
        <v>#N/A</v>
      </c>
    </row>
    <row r="4" spans="1:89" s="2" customFormat="1" x14ac:dyDescent="0.25">
      <c r="A4" s="61" t="s">
        <v>181</v>
      </c>
      <c r="B4" s="61">
        <v>4044</v>
      </c>
      <c r="C4" s="61" t="s">
        <v>64</v>
      </c>
      <c r="D4" s="61" t="s">
        <v>184</v>
      </c>
      <c r="E4" s="30">
        <v>42503.132025462961</v>
      </c>
      <c r="F4" s="30">
        <v>42503.134409722225</v>
      </c>
      <c r="G4" s="38">
        <v>3</v>
      </c>
      <c r="H4" s="30" t="s">
        <v>185</v>
      </c>
      <c r="I4" s="30">
        <v>42503.136678240742</v>
      </c>
      <c r="J4" s="61">
        <v>0</v>
      </c>
      <c r="K4" s="61" t="str">
        <f t="shared" ref="K4:K35" si="8">IF(ISEVEN(B4),(B4-1)&amp;"/"&amp;B4,B4&amp;"/"&amp;(B4+1))</f>
        <v>4043/4044</v>
      </c>
      <c r="L4" s="61" t="str">
        <f>VLOOKUP(A4,'Trips&amp;Operators'!$C$1:$E$9999,3,FALSE)</f>
        <v>LEDERHAUSE</v>
      </c>
      <c r="M4" s="12">
        <f t="shared" ref="M4:M35" si="9">I4-F4</f>
        <v>2.268518517666962E-3</v>
      </c>
      <c r="N4" s="13"/>
      <c r="O4" s="13"/>
      <c r="P4" s="13">
        <v>34</v>
      </c>
      <c r="Q4" s="62" t="s">
        <v>429</v>
      </c>
      <c r="R4" s="62" t="s">
        <v>426</v>
      </c>
      <c r="T4" s="74" t="str">
        <f t="shared" ref="T4:T35" si="10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https://search-rtdc-monitor-bjffxe2xuh6vdkpspy63sjmuny.us-east-1.es.amazonaws.com/_plugin/kibana/#/discover/Steve-Slow-Train-Analysis-(2080s-and-2083s)?_g=(refreshInterval:(display:Off,section:0,value:0),time:(from:'2016-05-13 03:09:07-0600',mode:absolute,to:'2016-05-13 03:17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" s="74" t="str">
        <f t="shared" ref="U4:U35" si="11">IF(Y4&lt;23,"Y","N")</f>
        <v>Y</v>
      </c>
      <c r="V4" s="74">
        <f t="shared" ref="V4:V35" si="12">VALUE(LEFT(A4,3))-VALUE(LEFT(A3,3))</f>
        <v>0</v>
      </c>
      <c r="W4" s="74">
        <f t="shared" si="5"/>
        <v>7.7700000000000005E-2</v>
      </c>
      <c r="X4" s="74">
        <f t="shared" si="6"/>
        <v>0.13600000000000001</v>
      </c>
      <c r="Y4" s="74">
        <f t="shared" si="7"/>
        <v>5.8300000000000005E-2</v>
      </c>
      <c r="Z4" s="75" t="e">
        <f>VLOOKUP(A4,Enforcements!$C$3:$J$12,8,0)</f>
        <v>#N/A</v>
      </c>
      <c r="AA4" s="75" t="e">
        <f>VLOOKUP(A4,Enforcements!$C$3:$J$12,3,0)</f>
        <v>#N/A</v>
      </c>
    </row>
    <row r="5" spans="1:89" s="2" customFormat="1" x14ac:dyDescent="0.25">
      <c r="A5" s="61" t="s">
        <v>186</v>
      </c>
      <c r="B5" s="61">
        <v>4015</v>
      </c>
      <c r="C5" s="61" t="s">
        <v>64</v>
      </c>
      <c r="D5" s="61" t="s">
        <v>174</v>
      </c>
      <c r="E5" s="30">
        <v>42503.171956018516</v>
      </c>
      <c r="F5" s="30">
        <v>42503.172754629632</v>
      </c>
      <c r="G5" s="38">
        <v>1</v>
      </c>
      <c r="H5" s="30" t="s">
        <v>178</v>
      </c>
      <c r="I5" s="30">
        <v>42503.202326388891</v>
      </c>
      <c r="J5" s="61">
        <v>0</v>
      </c>
      <c r="K5" s="61" t="str">
        <f t="shared" si="8"/>
        <v>4015/4016</v>
      </c>
      <c r="L5" s="61" t="str">
        <f>VLOOKUP(A5,'Trips&amp;Operators'!$C$1:$E$9999,3,FALSE)</f>
        <v>LEDERHAUSE</v>
      </c>
      <c r="M5" s="12">
        <f t="shared" si="9"/>
        <v>2.9571759259852115E-2</v>
      </c>
      <c r="N5" s="13">
        <f>$M5*24*60</f>
        <v>42.583333334187046</v>
      </c>
      <c r="O5" s="13"/>
      <c r="P5" s="13"/>
      <c r="Q5" s="62"/>
      <c r="R5" s="62"/>
      <c r="T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04:06:37-0600',mode:absolute,to:'2016-05-13 04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" s="74" t="str">
        <f t="shared" si="11"/>
        <v>N</v>
      </c>
      <c r="V5" s="74">
        <f t="shared" si="12"/>
        <v>1</v>
      </c>
      <c r="W5" s="74">
        <f t="shared" si="5"/>
        <v>23.267900000000001</v>
      </c>
      <c r="X5" s="74">
        <f t="shared" si="6"/>
        <v>1.2500000000000001E-2</v>
      </c>
      <c r="Y5" s="74">
        <f t="shared" si="7"/>
        <v>23.255400000000002</v>
      </c>
      <c r="Z5" s="75" t="e">
        <f>VLOOKUP(A5,Enforcements!$C$3:$J$12,8,0)</f>
        <v>#N/A</v>
      </c>
      <c r="AA5" s="75" t="e">
        <f>VLOOKUP(A5,Enforcements!$C$3:$J$12,3,0)</f>
        <v>#N/A</v>
      </c>
    </row>
    <row r="6" spans="1:89" s="2" customFormat="1" x14ac:dyDescent="0.25">
      <c r="A6" s="61" t="s">
        <v>187</v>
      </c>
      <c r="B6" s="61">
        <v>4009</v>
      </c>
      <c r="C6" s="61" t="s">
        <v>64</v>
      </c>
      <c r="D6" s="61" t="s">
        <v>188</v>
      </c>
      <c r="E6" s="30">
        <v>42503.160486111112</v>
      </c>
      <c r="F6" s="30">
        <v>42503.161261574074</v>
      </c>
      <c r="G6" s="38">
        <v>1</v>
      </c>
      <c r="H6" s="30" t="s">
        <v>167</v>
      </c>
      <c r="I6" s="30">
        <v>42503.182766203703</v>
      </c>
      <c r="J6" s="61">
        <v>1</v>
      </c>
      <c r="K6" s="61" t="str">
        <f t="shared" si="8"/>
        <v>4009/4010</v>
      </c>
      <c r="L6" s="61" t="str">
        <f>VLOOKUP(A6,'Trips&amp;Operators'!$C$1:$E$9999,3,FALSE)</f>
        <v>CHANDLER</v>
      </c>
      <c r="M6" s="12">
        <f t="shared" si="9"/>
        <v>2.1504629628907423E-2</v>
      </c>
      <c r="N6" s="13"/>
      <c r="O6" s="13"/>
      <c r="P6" s="13">
        <v>35</v>
      </c>
      <c r="Q6" s="62" t="s">
        <v>429</v>
      </c>
      <c r="R6" s="62" t="s">
        <v>426</v>
      </c>
      <c r="T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03:50:06-0600',mode:absolute,to:'2016-05-13 04:24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" s="74" t="str">
        <f t="shared" si="11"/>
        <v>Y</v>
      </c>
      <c r="V6" s="74">
        <f t="shared" si="12"/>
        <v>1</v>
      </c>
      <c r="W6" s="74">
        <f t="shared" si="5"/>
        <v>1.9197</v>
      </c>
      <c r="X6" s="74">
        <f t="shared" si="6"/>
        <v>23.328900000000001</v>
      </c>
      <c r="Y6" s="74">
        <f t="shared" si="7"/>
        <v>21.409200000000002</v>
      </c>
      <c r="Z6" s="75" t="e">
        <f>VLOOKUP(A6,Enforcements!$C$3:$J$12,8,0)</f>
        <v>#N/A</v>
      </c>
      <c r="AA6" s="75" t="e">
        <f>VLOOKUP(A6,Enforcements!$C$3:$J$12,3,0)</f>
        <v>#N/A</v>
      </c>
    </row>
    <row r="7" spans="1:89" s="2" customFormat="1" x14ac:dyDescent="0.25">
      <c r="A7" s="61" t="s">
        <v>187</v>
      </c>
      <c r="B7" s="61">
        <v>4009</v>
      </c>
      <c r="C7" s="61" t="s">
        <v>64</v>
      </c>
      <c r="D7" s="61" t="s">
        <v>189</v>
      </c>
      <c r="E7" s="30">
        <v>42503.153541666667</v>
      </c>
      <c r="F7" s="30">
        <v>42503.154432870368</v>
      </c>
      <c r="G7" s="38">
        <v>1</v>
      </c>
      <c r="H7" s="30" t="s">
        <v>190</v>
      </c>
      <c r="I7" s="30">
        <v>42503.156898148147</v>
      </c>
      <c r="J7" s="61">
        <v>0</v>
      </c>
      <c r="K7" s="61" t="str">
        <f t="shared" si="8"/>
        <v>4009/4010</v>
      </c>
      <c r="L7" s="61" t="str">
        <f>VLOOKUP(A7,'Trips&amp;Operators'!$C$1:$E$9999,3,FALSE)</f>
        <v>CHANDLER</v>
      </c>
      <c r="M7" s="12">
        <f t="shared" si="9"/>
        <v>2.4652777792653069E-3</v>
      </c>
      <c r="N7" s="13"/>
      <c r="O7" s="13"/>
      <c r="P7" s="13"/>
      <c r="Q7" s="62"/>
      <c r="R7" s="62"/>
      <c r="T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03:40:06-0600',mode:absolute,to:'2016-05-13 03:46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" s="74" t="str">
        <f t="shared" si="11"/>
        <v>Y</v>
      </c>
      <c r="V7" s="74">
        <f t="shared" si="12"/>
        <v>0</v>
      </c>
      <c r="W7" s="74">
        <f t="shared" si="5"/>
        <v>7.5499999999999998E-2</v>
      </c>
      <c r="X7" s="74">
        <f t="shared" si="6"/>
        <v>0.11269999999999999</v>
      </c>
      <c r="Y7" s="74">
        <f t="shared" si="7"/>
        <v>3.7199999999999997E-2</v>
      </c>
      <c r="Z7" s="75" t="e">
        <f>VLOOKUP(A7,Enforcements!$C$3:$J$12,8,0)</f>
        <v>#N/A</v>
      </c>
      <c r="AA7" s="75" t="e">
        <f>VLOOKUP(A7,Enforcements!$C$3:$J$12,3,0)</f>
        <v>#N/A</v>
      </c>
    </row>
    <row r="8" spans="1:89" s="2" customFormat="1" x14ac:dyDescent="0.25">
      <c r="A8" s="61" t="s">
        <v>191</v>
      </c>
      <c r="B8" s="61">
        <v>4026</v>
      </c>
      <c r="C8" s="61" t="s">
        <v>64</v>
      </c>
      <c r="D8" s="61" t="s">
        <v>192</v>
      </c>
      <c r="E8" s="30">
        <v>42503.192141203705</v>
      </c>
      <c r="F8" s="30">
        <v>42503.193761574075</v>
      </c>
      <c r="G8" s="38">
        <v>2</v>
      </c>
      <c r="H8" s="30" t="s">
        <v>71</v>
      </c>
      <c r="I8" s="30">
        <v>42503.221736111111</v>
      </c>
      <c r="J8" s="61">
        <v>0</v>
      </c>
      <c r="K8" s="61" t="str">
        <f t="shared" si="8"/>
        <v>4025/4026</v>
      </c>
      <c r="L8" s="61" t="str">
        <f>VLOOKUP(A8,'Trips&amp;Operators'!$C$1:$E$9999,3,FALSE)</f>
        <v>CHANDLER</v>
      </c>
      <c r="M8" s="12">
        <f t="shared" si="9"/>
        <v>2.7974537035333924E-2</v>
      </c>
      <c r="N8" s="13">
        <f t="shared" ref="N8:N35" si="13">$M8*24*60</f>
        <v>40.283333330880851</v>
      </c>
      <c r="O8" s="13"/>
      <c r="P8" s="13"/>
      <c r="Q8" s="62"/>
      <c r="R8" s="62"/>
      <c r="T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04:35:41-0600',mode:absolute,to:'2016-05-13 05:20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" s="74" t="str">
        <f t="shared" si="11"/>
        <v>N</v>
      </c>
      <c r="V8" s="74">
        <f t="shared" si="12"/>
        <v>1</v>
      </c>
      <c r="W8" s="74">
        <f t="shared" si="5"/>
        <v>23.2653</v>
      </c>
      <c r="X8" s="74">
        <f t="shared" si="6"/>
        <v>1.49E-2</v>
      </c>
      <c r="Y8" s="74">
        <f t="shared" si="7"/>
        <v>23.250399999999999</v>
      </c>
      <c r="Z8" s="75" t="e">
        <f>VLOOKUP(A8,Enforcements!$C$3:$J$12,8,0)</f>
        <v>#N/A</v>
      </c>
      <c r="AA8" s="75" t="e">
        <f>VLOOKUP(A8,Enforcements!$C$3:$J$12,3,0)</f>
        <v>#N/A</v>
      </c>
    </row>
    <row r="9" spans="1:89" s="2" customFormat="1" x14ac:dyDescent="0.25">
      <c r="A9" s="61" t="s">
        <v>193</v>
      </c>
      <c r="B9" s="61">
        <v>4020</v>
      </c>
      <c r="C9" s="61" t="s">
        <v>64</v>
      </c>
      <c r="D9" s="61" t="s">
        <v>95</v>
      </c>
      <c r="E9" s="30">
        <v>42503.184849537036</v>
      </c>
      <c r="F9" s="30">
        <v>42503.185740740744</v>
      </c>
      <c r="G9" s="38">
        <v>1</v>
      </c>
      <c r="H9" s="30" t="s">
        <v>143</v>
      </c>
      <c r="I9" s="30">
        <v>42503.21329861111</v>
      </c>
      <c r="J9" s="61">
        <v>0</v>
      </c>
      <c r="K9" s="61" t="str">
        <f t="shared" si="8"/>
        <v>4019/4020</v>
      </c>
      <c r="L9" s="61" t="str">
        <f>VLOOKUP(A9,'Trips&amp;Operators'!$C$1:$E$9999,3,FALSE)</f>
        <v>STARKS</v>
      </c>
      <c r="M9" s="12">
        <f t="shared" si="9"/>
        <v>2.7557870365853887E-2</v>
      </c>
      <c r="N9" s="13">
        <f t="shared" si="13"/>
        <v>39.683333326829597</v>
      </c>
      <c r="O9" s="13"/>
      <c r="P9" s="13"/>
      <c r="Q9" s="62"/>
      <c r="R9" s="62"/>
      <c r="T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04:25:11-0600',mode:absolute,to:'2016-05-13 05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" s="74" t="str">
        <f t="shared" si="11"/>
        <v>N</v>
      </c>
      <c r="V9" s="74">
        <f t="shared" si="12"/>
        <v>3</v>
      </c>
      <c r="W9" s="74">
        <f t="shared" si="5"/>
        <v>4.6600000000000003E-2</v>
      </c>
      <c r="X9" s="74">
        <f t="shared" si="6"/>
        <v>23.3322</v>
      </c>
      <c r="Y9" s="74">
        <f t="shared" si="7"/>
        <v>23.285599999999999</v>
      </c>
      <c r="Z9" s="75" t="e">
        <f>VLOOKUP(A9,Enforcements!$C$3:$J$12,8,0)</f>
        <v>#N/A</v>
      </c>
      <c r="AA9" s="75" t="e">
        <f>VLOOKUP(A9,Enforcements!$C$3:$J$12,3,0)</f>
        <v>#N/A</v>
      </c>
    </row>
    <row r="10" spans="1:89" s="2" customFormat="1" x14ac:dyDescent="0.25">
      <c r="A10" s="61" t="s">
        <v>194</v>
      </c>
      <c r="B10" s="61">
        <v>4019</v>
      </c>
      <c r="C10" s="61" t="s">
        <v>64</v>
      </c>
      <c r="D10" s="61" t="s">
        <v>195</v>
      </c>
      <c r="E10" s="30">
        <v>42503.224421296298</v>
      </c>
      <c r="F10" s="30">
        <v>42503.226886574077</v>
      </c>
      <c r="G10" s="38">
        <v>3</v>
      </c>
      <c r="H10" s="30" t="s">
        <v>69</v>
      </c>
      <c r="I10" s="30">
        <v>42503.253136574072</v>
      </c>
      <c r="J10" s="61">
        <v>1</v>
      </c>
      <c r="K10" s="61" t="str">
        <f t="shared" si="8"/>
        <v>4019/4020</v>
      </c>
      <c r="L10" s="61" t="str">
        <f>VLOOKUP(A10,'Trips&amp;Operators'!$C$1:$E$9999,3,FALSE)</f>
        <v>STARKS</v>
      </c>
      <c r="M10" s="12">
        <f t="shared" si="9"/>
        <v>2.6249999995343387E-2</v>
      </c>
      <c r="N10" s="13">
        <f t="shared" si="13"/>
        <v>37.799999993294477</v>
      </c>
      <c r="O10" s="13"/>
      <c r="P10" s="13"/>
      <c r="Q10" s="62"/>
      <c r="R10" s="62"/>
      <c r="T1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05:22:10-0600',mode:absolute,to:'2016-05-13 06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" s="74" t="str">
        <f t="shared" si="11"/>
        <v>N</v>
      </c>
      <c r="V10" s="74">
        <f t="shared" si="12"/>
        <v>1</v>
      </c>
      <c r="W10" s="74">
        <f t="shared" si="5"/>
        <v>23.249300000000002</v>
      </c>
      <c r="X10" s="74">
        <f t="shared" si="6"/>
        <v>1.5599999999999999E-2</v>
      </c>
      <c r="Y10" s="74">
        <f t="shared" si="7"/>
        <v>23.233700000000002</v>
      </c>
      <c r="Z10" s="75" t="e">
        <f>VLOOKUP(A10,Enforcements!$C$3:$J$12,8,0)</f>
        <v>#N/A</v>
      </c>
      <c r="AA10" s="75" t="e">
        <f>VLOOKUP(A10,Enforcements!$C$3:$J$12,3,0)</f>
        <v>#N/A</v>
      </c>
    </row>
    <row r="11" spans="1:89" s="2" customFormat="1" x14ac:dyDescent="0.25">
      <c r="A11" s="61" t="s">
        <v>196</v>
      </c>
      <c r="B11" s="61">
        <v>4040</v>
      </c>
      <c r="C11" s="61" t="s">
        <v>64</v>
      </c>
      <c r="D11" s="61" t="s">
        <v>113</v>
      </c>
      <c r="E11" s="30">
        <v>42503.192870370367</v>
      </c>
      <c r="F11" s="30">
        <v>42503.194293981483</v>
      </c>
      <c r="G11" s="38">
        <v>2</v>
      </c>
      <c r="H11" s="30" t="s">
        <v>109</v>
      </c>
      <c r="I11" s="30">
        <v>42503.222893518519</v>
      </c>
      <c r="J11" s="61">
        <v>0</v>
      </c>
      <c r="K11" s="61" t="str">
        <f t="shared" si="8"/>
        <v>4039/4040</v>
      </c>
      <c r="L11" s="61" t="str">
        <f>VLOOKUP(A11,'Trips&amp;Operators'!$C$1:$E$9999,3,FALSE)</f>
        <v>MALAVE</v>
      </c>
      <c r="M11" s="12">
        <f t="shared" si="9"/>
        <v>2.8599537035916001E-2</v>
      </c>
      <c r="N11" s="13">
        <f t="shared" si="13"/>
        <v>41.183333331719041</v>
      </c>
      <c r="O11" s="13"/>
      <c r="P11" s="13"/>
      <c r="Q11" s="62"/>
      <c r="R11" s="62"/>
      <c r="T1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04:36:44-0600',mode:absolute,to:'2016-05-13 05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" s="74" t="str">
        <f t="shared" si="11"/>
        <v>N</v>
      </c>
      <c r="V11" s="74">
        <f t="shared" si="12"/>
        <v>1</v>
      </c>
      <c r="W11" s="74">
        <f t="shared" si="5"/>
        <v>4.6199999999999998E-2</v>
      </c>
      <c r="X11" s="74">
        <f t="shared" si="6"/>
        <v>23.331499999999998</v>
      </c>
      <c r="Y11" s="74">
        <f t="shared" si="7"/>
        <v>23.285299999999999</v>
      </c>
      <c r="Z11" s="75" t="e">
        <f>VLOOKUP(A11,Enforcements!$C$3:$J$12,8,0)</f>
        <v>#N/A</v>
      </c>
      <c r="AA11" s="75" t="e">
        <f>VLOOKUP(A11,Enforcements!$C$3:$J$12,3,0)</f>
        <v>#N/A</v>
      </c>
    </row>
    <row r="12" spans="1:89" s="2" customFormat="1" x14ac:dyDescent="0.25">
      <c r="A12" s="61" t="s">
        <v>197</v>
      </c>
      <c r="B12" s="61">
        <v>4039</v>
      </c>
      <c r="C12" s="61" t="s">
        <v>64</v>
      </c>
      <c r="D12" s="61" t="s">
        <v>92</v>
      </c>
      <c r="E12" s="30">
        <v>42503.234074074076</v>
      </c>
      <c r="F12" s="30">
        <v>42503.237175925926</v>
      </c>
      <c r="G12" s="38">
        <v>4</v>
      </c>
      <c r="H12" s="30" t="s">
        <v>76</v>
      </c>
      <c r="I12" s="30">
        <v>42503.262118055558</v>
      </c>
      <c r="J12" s="61">
        <v>1</v>
      </c>
      <c r="K12" s="61" t="str">
        <f t="shared" si="8"/>
        <v>4039/4040</v>
      </c>
      <c r="L12" s="61" t="str">
        <f>VLOOKUP(A12,'Trips&amp;Operators'!$C$1:$E$9999,3,FALSE)</f>
        <v>MALAVE</v>
      </c>
      <c r="M12" s="12">
        <f t="shared" si="9"/>
        <v>2.4942129632108845E-2</v>
      </c>
      <c r="N12" s="13">
        <f t="shared" si="13"/>
        <v>35.916666670236737</v>
      </c>
      <c r="O12" s="13"/>
      <c r="P12" s="13"/>
      <c r="Q12" s="62"/>
      <c r="R12" s="62"/>
      <c r="T1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05:36:04-0600',mode:absolute,to:'2016-05-13 06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" s="74" t="str">
        <f t="shared" si="11"/>
        <v>N</v>
      </c>
      <c r="V12" s="74">
        <f t="shared" si="12"/>
        <v>1</v>
      </c>
      <c r="W12" s="74">
        <f t="shared" si="5"/>
        <v>23.299299999999999</v>
      </c>
      <c r="X12" s="74">
        <f t="shared" si="6"/>
        <v>1.54E-2</v>
      </c>
      <c r="Y12" s="74">
        <f t="shared" si="7"/>
        <v>23.283899999999999</v>
      </c>
      <c r="Z12" s="75" t="e">
        <f>VLOOKUP(A12,Enforcements!$C$3:$J$12,8,0)</f>
        <v>#N/A</v>
      </c>
      <c r="AA12" s="75" t="e">
        <f>VLOOKUP(A12,Enforcements!$C$3:$J$12,3,0)</f>
        <v>#N/A</v>
      </c>
    </row>
    <row r="13" spans="1:89" s="2" customFormat="1" x14ac:dyDescent="0.25">
      <c r="A13" s="61" t="s">
        <v>198</v>
      </c>
      <c r="B13" s="61">
        <v>4044</v>
      </c>
      <c r="C13" s="61" t="s">
        <v>64</v>
      </c>
      <c r="D13" s="61" t="s">
        <v>199</v>
      </c>
      <c r="E13" s="30">
        <v>42503.205069444448</v>
      </c>
      <c r="F13" s="30">
        <v>42503.207106481481</v>
      </c>
      <c r="G13" s="38">
        <v>2</v>
      </c>
      <c r="H13" s="30" t="s">
        <v>200</v>
      </c>
      <c r="I13" s="30">
        <v>42503.233634259261</v>
      </c>
      <c r="J13" s="61">
        <v>1</v>
      </c>
      <c r="K13" s="61" t="str">
        <f t="shared" si="8"/>
        <v>4043/4044</v>
      </c>
      <c r="L13" s="61" t="str">
        <f>VLOOKUP(A13,'Trips&amp;Operators'!$C$1:$E$9999,3,FALSE)</f>
        <v>YORK</v>
      </c>
      <c r="M13" s="12">
        <f t="shared" si="9"/>
        <v>2.6527777779847383E-2</v>
      </c>
      <c r="N13" s="13">
        <f t="shared" si="13"/>
        <v>38.200000002980232</v>
      </c>
      <c r="O13" s="13"/>
      <c r="P13" s="13"/>
      <c r="Q13" s="62"/>
      <c r="R13" s="62"/>
      <c r="T1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04:54:18-0600',mode:absolute,to:'2016-05-13 05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" s="74" t="str">
        <f t="shared" si="11"/>
        <v>N</v>
      </c>
      <c r="V13" s="74">
        <f t="shared" si="12"/>
        <v>1</v>
      </c>
      <c r="W13" s="74">
        <f t="shared" si="5"/>
        <v>7.7200000000000005E-2</v>
      </c>
      <c r="X13" s="74">
        <f t="shared" si="6"/>
        <v>23.3309</v>
      </c>
      <c r="Y13" s="74">
        <f t="shared" si="7"/>
        <v>23.253699999999998</v>
      </c>
      <c r="Z13" s="75">
        <f>VLOOKUP(A13,Enforcements!$C$3:$J$12,8,0)</f>
        <v>103445</v>
      </c>
      <c r="AA13" s="75" t="str">
        <f>VLOOKUP(A13,Enforcements!$C$3:$J$12,3,0)</f>
        <v>SWITCH UNKNOWN</v>
      </c>
    </row>
    <row r="14" spans="1:89" s="2" customFormat="1" x14ac:dyDescent="0.25">
      <c r="A14" s="61" t="s">
        <v>201</v>
      </c>
      <c r="B14" s="61">
        <v>4043</v>
      </c>
      <c r="C14" s="61" t="s">
        <v>64</v>
      </c>
      <c r="D14" s="61" t="s">
        <v>146</v>
      </c>
      <c r="E14" s="30">
        <v>42503.241111111114</v>
      </c>
      <c r="F14" s="30">
        <v>42503.242175925923</v>
      </c>
      <c r="G14" s="38">
        <v>1</v>
      </c>
      <c r="H14" s="30" t="s">
        <v>104</v>
      </c>
      <c r="I14" s="30">
        <v>42503.273541666669</v>
      </c>
      <c r="J14" s="61">
        <v>0</v>
      </c>
      <c r="K14" s="61" t="str">
        <f t="shared" si="8"/>
        <v>4043/4044</v>
      </c>
      <c r="L14" s="61" t="str">
        <f>VLOOKUP(A14,'Trips&amp;Operators'!$C$1:$E$9999,3,FALSE)</f>
        <v>YORK</v>
      </c>
      <c r="M14" s="12">
        <f t="shared" si="9"/>
        <v>3.1365740745968651E-2</v>
      </c>
      <c r="N14" s="13">
        <f t="shared" si="13"/>
        <v>45.166666674194857</v>
      </c>
      <c r="O14" s="13"/>
      <c r="P14" s="13"/>
      <c r="Q14" s="62"/>
      <c r="R14" s="62"/>
      <c r="T1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05:46:12-0600',mode:absolute,to:'2016-05-13 06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" s="74" t="str">
        <f t="shared" si="11"/>
        <v>N</v>
      </c>
      <c r="V14" s="74">
        <f t="shared" si="12"/>
        <v>1</v>
      </c>
      <c r="W14" s="74">
        <f t="shared" si="5"/>
        <v>23.2988</v>
      </c>
      <c r="X14" s="74">
        <f t="shared" si="6"/>
        <v>1.4999999999999999E-2</v>
      </c>
      <c r="Y14" s="74">
        <f t="shared" si="7"/>
        <v>23.283799999999999</v>
      </c>
      <c r="Z14" s="75" t="e">
        <f>VLOOKUP(A14,Enforcements!$C$3:$J$12,8,0)</f>
        <v>#N/A</v>
      </c>
      <c r="AA14" s="75" t="e">
        <f>VLOOKUP(A14,Enforcements!$C$3:$J$12,3,0)</f>
        <v>#N/A</v>
      </c>
    </row>
    <row r="15" spans="1:89" s="2" customFormat="1" x14ac:dyDescent="0.25">
      <c r="A15" s="61" t="s">
        <v>202</v>
      </c>
      <c r="B15" s="61">
        <v>4016</v>
      </c>
      <c r="C15" s="61" t="s">
        <v>64</v>
      </c>
      <c r="D15" s="61" t="s">
        <v>74</v>
      </c>
      <c r="E15" s="30">
        <v>42503.208831018521</v>
      </c>
      <c r="F15" s="30">
        <v>42503.210023148145</v>
      </c>
      <c r="G15" s="38">
        <v>1</v>
      </c>
      <c r="H15" s="30" t="s">
        <v>132</v>
      </c>
      <c r="I15" s="30">
        <v>42503.243703703702</v>
      </c>
      <c r="J15" s="61">
        <v>0</v>
      </c>
      <c r="K15" s="61" t="str">
        <f t="shared" si="8"/>
        <v>4015/4016</v>
      </c>
      <c r="L15" s="61" t="str">
        <f>VLOOKUP(A15,'Trips&amp;Operators'!$C$1:$E$9999,3,FALSE)</f>
        <v>LEDERHAUSE</v>
      </c>
      <c r="M15" s="12">
        <f t="shared" si="9"/>
        <v>3.3680555556202307E-2</v>
      </c>
      <c r="N15" s="13">
        <f t="shared" si="13"/>
        <v>48.500000000931323</v>
      </c>
      <c r="O15" s="13"/>
      <c r="P15" s="13"/>
      <c r="Q15" s="62"/>
      <c r="R15" s="62"/>
      <c r="T1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04:59:43-0600',mode:absolute,to:'2016-05-13 05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5" s="74" t="str">
        <f t="shared" si="11"/>
        <v>N</v>
      </c>
      <c r="V15" s="74">
        <f t="shared" si="12"/>
        <v>1</v>
      </c>
      <c r="W15" s="74">
        <f t="shared" si="5"/>
        <v>4.5699999999999998E-2</v>
      </c>
      <c r="X15" s="74">
        <f t="shared" si="6"/>
        <v>23.331900000000001</v>
      </c>
      <c r="Y15" s="74">
        <f t="shared" si="7"/>
        <v>23.286200000000001</v>
      </c>
      <c r="Z15" s="75" t="e">
        <f>VLOOKUP(A15,Enforcements!$C$3:$J$12,8,0)</f>
        <v>#N/A</v>
      </c>
      <c r="AA15" s="75" t="e">
        <f>VLOOKUP(A15,Enforcements!$C$3:$J$12,3,0)</f>
        <v>#N/A</v>
      </c>
    </row>
    <row r="16" spans="1:89" s="2" customFormat="1" x14ac:dyDescent="0.25">
      <c r="A16" s="61" t="s">
        <v>203</v>
      </c>
      <c r="B16" s="61">
        <v>4015</v>
      </c>
      <c r="C16" s="61" t="s">
        <v>64</v>
      </c>
      <c r="D16" s="61" t="s">
        <v>204</v>
      </c>
      <c r="E16" s="30">
        <v>42503.253576388888</v>
      </c>
      <c r="F16" s="30">
        <v>42503.254814814813</v>
      </c>
      <c r="G16" s="38">
        <v>1</v>
      </c>
      <c r="H16" s="30" t="s">
        <v>69</v>
      </c>
      <c r="I16" s="30">
        <v>42503.283530092594</v>
      </c>
      <c r="J16" s="61">
        <v>0</v>
      </c>
      <c r="K16" s="61" t="str">
        <f t="shared" si="8"/>
        <v>4015/4016</v>
      </c>
      <c r="L16" s="61" t="str">
        <f>VLOOKUP(A16,'Trips&amp;Operators'!$C$1:$E$9999,3,FALSE)</f>
        <v>LEDERHAUSE</v>
      </c>
      <c r="M16" s="12">
        <f t="shared" si="9"/>
        <v>2.8715277781884652E-2</v>
      </c>
      <c r="N16" s="13">
        <f t="shared" si="13"/>
        <v>41.350000005913898</v>
      </c>
      <c r="O16" s="13"/>
      <c r="P16" s="13"/>
      <c r="Q16" s="62"/>
      <c r="R16" s="62"/>
      <c r="T1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06:04:09-0600',mode:absolute,to:'2016-05-13 06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6" s="74" t="str">
        <f t="shared" si="11"/>
        <v>N</v>
      </c>
      <c r="V16" s="74">
        <f t="shared" si="12"/>
        <v>1</v>
      </c>
      <c r="W16" s="74">
        <f t="shared" si="5"/>
        <v>23.297699999999999</v>
      </c>
      <c r="X16" s="74">
        <f t="shared" si="6"/>
        <v>1.5599999999999999E-2</v>
      </c>
      <c r="Y16" s="74">
        <f t="shared" si="7"/>
        <v>23.2821</v>
      </c>
      <c r="Z16" s="75" t="e">
        <f>VLOOKUP(A16,Enforcements!$C$3:$J$12,8,0)</f>
        <v>#N/A</v>
      </c>
      <c r="AA16" s="75" t="e">
        <f>VLOOKUP(A16,Enforcements!$C$3:$J$12,3,0)</f>
        <v>#N/A</v>
      </c>
    </row>
    <row r="17" spans="1:27" s="2" customFormat="1" x14ac:dyDescent="0.25">
      <c r="A17" s="61" t="s">
        <v>205</v>
      </c>
      <c r="B17" s="61">
        <v>4009</v>
      </c>
      <c r="C17" s="61" t="s">
        <v>64</v>
      </c>
      <c r="D17" s="61" t="s">
        <v>206</v>
      </c>
      <c r="E17" s="30">
        <v>42503.225706018522</v>
      </c>
      <c r="F17" s="30">
        <v>42503.227025462962</v>
      </c>
      <c r="G17" s="38">
        <v>1</v>
      </c>
      <c r="H17" s="30" t="s">
        <v>169</v>
      </c>
      <c r="I17" s="30">
        <v>42503.253854166665</v>
      </c>
      <c r="J17" s="61">
        <v>0</v>
      </c>
      <c r="K17" s="61" t="str">
        <f t="shared" si="8"/>
        <v>4009/4010</v>
      </c>
      <c r="L17" s="61" t="str">
        <f>VLOOKUP(A17,'Trips&amp;Operators'!$C$1:$E$9999,3,FALSE)</f>
        <v>SANTIZO</v>
      </c>
      <c r="M17" s="12">
        <f t="shared" si="9"/>
        <v>2.6828703703358769E-2</v>
      </c>
      <c r="N17" s="13">
        <f t="shared" si="13"/>
        <v>38.633333332836628</v>
      </c>
      <c r="O17" s="13"/>
      <c r="P17" s="13"/>
      <c r="Q17" s="62"/>
      <c r="R17" s="62"/>
      <c r="T1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05:24:01-0600',mode:absolute,to:'2016-05-13 06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7" s="74" t="str">
        <f t="shared" si="11"/>
        <v>N</v>
      </c>
      <c r="V17" s="74">
        <f t="shared" si="12"/>
        <v>1</v>
      </c>
      <c r="W17" s="74">
        <f t="shared" si="5"/>
        <v>7.5700000000000003E-2</v>
      </c>
      <c r="X17" s="74">
        <f t="shared" si="6"/>
        <v>23.3276</v>
      </c>
      <c r="Y17" s="74">
        <f t="shared" si="7"/>
        <v>23.251899999999999</v>
      </c>
      <c r="Z17" s="75" t="e">
        <f>VLOOKUP(A17,Enforcements!$C$3:$J$12,8,0)</f>
        <v>#N/A</v>
      </c>
      <c r="AA17" s="75" t="e">
        <f>VLOOKUP(A17,Enforcements!$C$3:$J$12,3,0)</f>
        <v>#N/A</v>
      </c>
    </row>
    <row r="18" spans="1:27" s="2" customFormat="1" x14ac:dyDescent="0.25">
      <c r="A18" s="61" t="s">
        <v>207</v>
      </c>
      <c r="B18" s="61">
        <v>4010</v>
      </c>
      <c r="C18" s="61" t="s">
        <v>64</v>
      </c>
      <c r="D18" s="61" t="s">
        <v>110</v>
      </c>
      <c r="E18" s="30">
        <v>42503.263611111113</v>
      </c>
      <c r="F18" s="30">
        <v>42503.265324074076</v>
      </c>
      <c r="G18" s="38">
        <v>2</v>
      </c>
      <c r="H18" s="30" t="s">
        <v>88</v>
      </c>
      <c r="I18" s="30">
        <v>42503.295578703706</v>
      </c>
      <c r="J18" s="61">
        <v>0</v>
      </c>
      <c r="K18" s="61" t="str">
        <f t="shared" si="8"/>
        <v>4009/4010</v>
      </c>
      <c r="L18" s="61" t="str">
        <f>VLOOKUP(A18,'Trips&amp;Operators'!$C$1:$E$9999,3,FALSE)</f>
        <v>SANTIZO</v>
      </c>
      <c r="M18" s="12">
        <f t="shared" si="9"/>
        <v>3.0254629629780538E-2</v>
      </c>
      <c r="N18" s="13">
        <f t="shared" si="13"/>
        <v>43.566666666883975</v>
      </c>
      <c r="O18" s="13"/>
      <c r="P18" s="13"/>
      <c r="Q18" s="62"/>
      <c r="R18" s="62"/>
      <c r="T1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06:18:36-0600',mode:absolute,to:'2016-05-13 07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8" s="74" t="str">
        <f t="shared" si="11"/>
        <v>N</v>
      </c>
      <c r="V18" s="74">
        <f t="shared" si="12"/>
        <v>1</v>
      </c>
      <c r="W18" s="74">
        <f t="shared" si="5"/>
        <v>23.2971</v>
      </c>
      <c r="X18" s="74">
        <f t="shared" si="6"/>
        <v>1.52E-2</v>
      </c>
      <c r="Y18" s="74">
        <f t="shared" si="7"/>
        <v>23.2819</v>
      </c>
      <c r="Z18" s="75" t="e">
        <f>VLOOKUP(A18,Enforcements!$C$3:$J$12,8,0)</f>
        <v>#N/A</v>
      </c>
      <c r="AA18" s="75" t="e">
        <f>VLOOKUP(A18,Enforcements!$C$3:$J$12,3,0)</f>
        <v>#N/A</v>
      </c>
    </row>
    <row r="19" spans="1:27" s="2" customFormat="1" x14ac:dyDescent="0.25">
      <c r="A19" s="61" t="s">
        <v>208</v>
      </c>
      <c r="B19" s="61">
        <v>4025</v>
      </c>
      <c r="C19" s="61" t="s">
        <v>64</v>
      </c>
      <c r="D19" s="61" t="s">
        <v>113</v>
      </c>
      <c r="E19" s="30">
        <v>42503.229745370372</v>
      </c>
      <c r="F19" s="30">
        <v>42503.230868055558</v>
      </c>
      <c r="G19" s="38">
        <v>1</v>
      </c>
      <c r="H19" s="30" t="s">
        <v>116</v>
      </c>
      <c r="I19" s="30">
        <v>42503.264456018522</v>
      </c>
      <c r="J19" s="61">
        <v>1</v>
      </c>
      <c r="K19" s="61" t="str">
        <f t="shared" si="8"/>
        <v>4025/4026</v>
      </c>
      <c r="L19" s="61" t="str">
        <f>VLOOKUP(A19,'Trips&amp;Operators'!$C$1:$E$9999,3,FALSE)</f>
        <v>CHANDLER</v>
      </c>
      <c r="M19" s="12">
        <f t="shared" si="9"/>
        <v>3.3587962963792961E-2</v>
      </c>
      <c r="N19" s="13">
        <f t="shared" si="13"/>
        <v>48.366666667861864</v>
      </c>
      <c r="O19" s="13"/>
      <c r="P19" s="13"/>
      <c r="Q19" s="62"/>
      <c r="R19" s="62"/>
      <c r="T1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05:29:50-0600',mode:absolute,to:'2016-05-13 06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9" s="74" t="str">
        <f t="shared" si="11"/>
        <v>N</v>
      </c>
      <c r="V19" s="74">
        <f t="shared" si="12"/>
        <v>1</v>
      </c>
      <c r="W19" s="74">
        <f t="shared" si="5"/>
        <v>4.6199999999999998E-2</v>
      </c>
      <c r="X19" s="74">
        <f t="shared" si="6"/>
        <v>23.3293</v>
      </c>
      <c r="Y19" s="74">
        <f t="shared" si="7"/>
        <v>23.283100000000001</v>
      </c>
      <c r="Z19" s="75" t="e">
        <f>VLOOKUP(A19,Enforcements!$C$3:$J$12,8,0)</f>
        <v>#N/A</v>
      </c>
      <c r="AA19" s="75" t="e">
        <f>VLOOKUP(A19,Enforcements!$C$3:$J$12,3,0)</f>
        <v>#N/A</v>
      </c>
    </row>
    <row r="20" spans="1:27" s="2" customFormat="1" x14ac:dyDescent="0.25">
      <c r="A20" s="61" t="s">
        <v>209</v>
      </c>
      <c r="B20" s="61">
        <v>4026</v>
      </c>
      <c r="C20" s="61" t="s">
        <v>64</v>
      </c>
      <c r="D20" s="61" t="s">
        <v>210</v>
      </c>
      <c r="E20" s="30">
        <v>42503.274699074071</v>
      </c>
      <c r="F20" s="30">
        <v>42503.27584490741</v>
      </c>
      <c r="G20" s="38">
        <v>1</v>
      </c>
      <c r="H20" s="30" t="s">
        <v>103</v>
      </c>
      <c r="I20" s="30">
        <v>42503.304606481484</v>
      </c>
      <c r="J20" s="61">
        <v>0</v>
      </c>
      <c r="K20" s="61" t="str">
        <f t="shared" si="8"/>
        <v>4025/4026</v>
      </c>
      <c r="L20" s="61" t="str">
        <f>VLOOKUP(A20,'Trips&amp;Operators'!$C$1:$E$9999,3,FALSE)</f>
        <v>CHANDLER</v>
      </c>
      <c r="M20" s="12">
        <f t="shared" si="9"/>
        <v>2.8761574074451346E-2</v>
      </c>
      <c r="N20" s="13">
        <f t="shared" si="13"/>
        <v>41.416666667209938</v>
      </c>
      <c r="O20" s="13"/>
      <c r="P20" s="13"/>
      <c r="Q20" s="62"/>
      <c r="R20" s="62"/>
      <c r="T2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06:34:34-0600',mode:absolute,to:'2016-05-13 07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0" s="74" t="str">
        <f t="shared" si="11"/>
        <v>N</v>
      </c>
      <c r="V20" s="74">
        <f t="shared" si="12"/>
        <v>1</v>
      </c>
      <c r="W20" s="74">
        <f t="shared" si="5"/>
        <v>23.2972</v>
      </c>
      <c r="X20" s="74">
        <f t="shared" si="6"/>
        <v>1.41E-2</v>
      </c>
      <c r="Y20" s="74">
        <f t="shared" si="7"/>
        <v>23.283100000000001</v>
      </c>
      <c r="Z20" s="75" t="e">
        <f>VLOOKUP(A20,Enforcements!$C$3:$J$12,8,0)</f>
        <v>#N/A</v>
      </c>
      <c r="AA20" s="75" t="e">
        <f>VLOOKUP(A20,Enforcements!$C$3:$J$12,3,0)</f>
        <v>#N/A</v>
      </c>
    </row>
    <row r="21" spans="1:27" s="2" customFormat="1" x14ac:dyDescent="0.25">
      <c r="A21" s="61" t="s">
        <v>211</v>
      </c>
      <c r="B21" s="61">
        <v>4013</v>
      </c>
      <c r="C21" s="61" t="s">
        <v>64</v>
      </c>
      <c r="D21" s="61" t="s">
        <v>204</v>
      </c>
      <c r="E21" s="30">
        <v>42503.283680555556</v>
      </c>
      <c r="F21" s="30">
        <v>42503.285451388889</v>
      </c>
      <c r="G21" s="38">
        <v>2</v>
      </c>
      <c r="H21" s="30" t="s">
        <v>112</v>
      </c>
      <c r="I21" s="30">
        <v>42503.318032407406</v>
      </c>
      <c r="J21" s="61">
        <v>1</v>
      </c>
      <c r="K21" s="61" t="str">
        <f t="shared" si="8"/>
        <v>4013/4014</v>
      </c>
      <c r="L21" s="61" t="str">
        <f>VLOOKUP(A21,'Trips&amp;Operators'!$C$1:$E$9999,3,FALSE)</f>
        <v>NEWELL</v>
      </c>
      <c r="M21" s="12">
        <f t="shared" si="9"/>
        <v>3.2581018516793847E-2</v>
      </c>
      <c r="N21" s="13">
        <f t="shared" si="13"/>
        <v>46.91666666418314</v>
      </c>
      <c r="O21" s="13"/>
      <c r="P21" s="13"/>
      <c r="Q21" s="62"/>
      <c r="R21" s="62"/>
      <c r="T2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06:47:30-0600',mode:absolute,to:'2016-05-13 07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1" s="74" t="str">
        <f t="shared" si="11"/>
        <v>N</v>
      </c>
      <c r="V21" s="74">
        <f t="shared" si="12"/>
        <v>2</v>
      </c>
      <c r="W21" s="74">
        <f t="shared" si="5"/>
        <v>23.297699999999999</v>
      </c>
      <c r="X21" s="74">
        <f t="shared" si="6"/>
        <v>1.47E-2</v>
      </c>
      <c r="Y21" s="74">
        <f t="shared" si="7"/>
        <v>23.282999999999998</v>
      </c>
      <c r="Z21" s="75" t="e">
        <f>VLOOKUP(A21,Enforcements!$C$3:$J$12,8,0)</f>
        <v>#N/A</v>
      </c>
      <c r="AA21" s="75" t="e">
        <f>VLOOKUP(A21,Enforcements!$C$3:$J$12,3,0)</f>
        <v>#N/A</v>
      </c>
    </row>
    <row r="22" spans="1:27" s="2" customFormat="1" x14ac:dyDescent="0.25">
      <c r="A22" s="61" t="s">
        <v>212</v>
      </c>
      <c r="B22" s="61">
        <v>4020</v>
      </c>
      <c r="C22" s="61" t="s">
        <v>64</v>
      </c>
      <c r="D22" s="61" t="s">
        <v>81</v>
      </c>
      <c r="E22" s="30">
        <v>42503.257986111108</v>
      </c>
      <c r="F22" s="30">
        <v>42503.259050925924</v>
      </c>
      <c r="G22" s="38">
        <v>1</v>
      </c>
      <c r="H22" s="30" t="s">
        <v>177</v>
      </c>
      <c r="I22" s="30">
        <v>42503.28597222222</v>
      </c>
      <c r="J22" s="61">
        <v>0</v>
      </c>
      <c r="K22" s="61" t="str">
        <f t="shared" si="8"/>
        <v>4019/4020</v>
      </c>
      <c r="L22" s="61" t="str">
        <f>VLOOKUP(A22,'Trips&amp;Operators'!$C$1:$E$9999,3,FALSE)</f>
        <v>STARKS</v>
      </c>
      <c r="M22" s="12">
        <f t="shared" si="9"/>
        <v>2.6921296295768116E-2</v>
      </c>
      <c r="N22" s="13">
        <f t="shared" si="13"/>
        <v>38.766666665906087</v>
      </c>
      <c r="O22" s="13"/>
      <c r="P22" s="13"/>
      <c r="Q22" s="62"/>
      <c r="R22" s="62"/>
      <c r="T2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06:10:30-0600',mode:absolute,to:'2016-05-13 06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2" s="74" t="str">
        <f t="shared" si="11"/>
        <v>N</v>
      </c>
      <c r="V22" s="74">
        <f t="shared" si="12"/>
        <v>1</v>
      </c>
      <c r="W22" s="74">
        <f t="shared" si="5"/>
        <v>4.7100000000000003E-2</v>
      </c>
      <c r="X22" s="74">
        <f t="shared" si="6"/>
        <v>23.332899999999999</v>
      </c>
      <c r="Y22" s="74">
        <f t="shared" si="7"/>
        <v>23.285799999999998</v>
      </c>
      <c r="Z22" s="75" t="e">
        <f>VLOOKUP(A22,Enforcements!$C$3:$J$12,8,0)</f>
        <v>#N/A</v>
      </c>
      <c r="AA22" s="75" t="e">
        <f>VLOOKUP(A22,Enforcements!$C$3:$J$12,3,0)</f>
        <v>#N/A</v>
      </c>
    </row>
    <row r="23" spans="1:27" s="2" customFormat="1" x14ac:dyDescent="0.25">
      <c r="A23" s="61" t="s">
        <v>213</v>
      </c>
      <c r="B23" s="61">
        <v>4019</v>
      </c>
      <c r="C23" s="61" t="s">
        <v>64</v>
      </c>
      <c r="D23" s="61" t="s">
        <v>214</v>
      </c>
      <c r="E23" s="30">
        <v>42503.297083333331</v>
      </c>
      <c r="F23" s="30">
        <v>42503.297986111109</v>
      </c>
      <c r="G23" s="38">
        <v>1</v>
      </c>
      <c r="H23" s="30" t="s">
        <v>157</v>
      </c>
      <c r="I23" s="30">
        <v>42503.32775462963</v>
      </c>
      <c r="J23" s="61">
        <v>1</v>
      </c>
      <c r="K23" s="61" t="str">
        <f t="shared" si="8"/>
        <v>4019/4020</v>
      </c>
      <c r="L23" s="61" t="str">
        <f>VLOOKUP(A23,'Trips&amp;Operators'!$C$1:$E$9999,3,FALSE)</f>
        <v>STARKS</v>
      </c>
      <c r="M23" s="12">
        <f t="shared" si="9"/>
        <v>2.976851852145046E-2</v>
      </c>
      <c r="N23" s="13">
        <f t="shared" si="13"/>
        <v>42.866666670888662</v>
      </c>
      <c r="O23" s="13"/>
      <c r="P23" s="13"/>
      <c r="Q23" s="62"/>
      <c r="R23" s="62"/>
      <c r="T2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07:06:48-0600',mode:absolute,to:'2016-05-13 07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3" s="74" t="str">
        <f t="shared" si="11"/>
        <v>N</v>
      </c>
      <c r="V23" s="74">
        <f t="shared" si="12"/>
        <v>1</v>
      </c>
      <c r="W23" s="74">
        <f t="shared" si="5"/>
        <v>23.302299999999999</v>
      </c>
      <c r="X23" s="74">
        <f t="shared" si="6"/>
        <v>1.3899999999999999E-2</v>
      </c>
      <c r="Y23" s="74">
        <f t="shared" si="7"/>
        <v>23.288399999999999</v>
      </c>
      <c r="Z23" s="75" t="e">
        <f>VLOOKUP(A23,Enforcements!$C$3:$J$12,8,0)</f>
        <v>#N/A</v>
      </c>
      <c r="AA23" s="75" t="e">
        <f>VLOOKUP(A23,Enforcements!$C$3:$J$12,3,0)</f>
        <v>#N/A</v>
      </c>
    </row>
    <row r="24" spans="1:27" s="2" customFormat="1" x14ac:dyDescent="0.25">
      <c r="A24" s="61" t="s">
        <v>215</v>
      </c>
      <c r="B24" s="61">
        <v>4040</v>
      </c>
      <c r="C24" s="61" t="s">
        <v>64</v>
      </c>
      <c r="D24" s="61" t="s">
        <v>83</v>
      </c>
      <c r="E24" s="30">
        <v>42503.267650462964</v>
      </c>
      <c r="F24" s="30">
        <v>42503.268599537034</v>
      </c>
      <c r="G24" s="38">
        <v>1</v>
      </c>
      <c r="H24" s="30" t="s">
        <v>65</v>
      </c>
      <c r="I24" s="30">
        <v>42503.296053240738</v>
      </c>
      <c r="J24" s="61">
        <v>2</v>
      </c>
      <c r="K24" s="61" t="str">
        <f t="shared" si="8"/>
        <v>4039/4040</v>
      </c>
      <c r="L24" s="61" t="str">
        <f>VLOOKUP(A24,'Trips&amp;Operators'!$C$1:$E$9999,3,FALSE)</f>
        <v>MALAVE</v>
      </c>
      <c r="M24" s="12">
        <f t="shared" si="9"/>
        <v>2.7453703703940846E-2</v>
      </c>
      <c r="N24" s="13">
        <f t="shared" si="13"/>
        <v>39.533333333674818</v>
      </c>
      <c r="O24" s="13"/>
      <c r="P24" s="13"/>
      <c r="Q24" s="62"/>
      <c r="R24" s="62"/>
      <c r="T2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06:24:25-0600',mode:absolute,to:'2016-05-13 07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4" s="74" t="str">
        <f t="shared" si="11"/>
        <v>N</v>
      </c>
      <c r="V24" s="74">
        <f t="shared" si="12"/>
        <v>1</v>
      </c>
      <c r="W24" s="74">
        <f t="shared" si="5"/>
        <v>4.5100000000000001E-2</v>
      </c>
      <c r="X24" s="74">
        <f t="shared" si="6"/>
        <v>23.329699999999999</v>
      </c>
      <c r="Y24" s="74">
        <f t="shared" si="7"/>
        <v>23.284599999999998</v>
      </c>
      <c r="Z24" s="75">
        <f>VLOOKUP(A24,Enforcements!$C$3:$J$12,8,0)</f>
        <v>153800</v>
      </c>
      <c r="AA24" s="75" t="str">
        <f>VLOOKUP(A24,Enforcements!$C$3:$J$12,3,0)</f>
        <v>GRADE CROSSING</v>
      </c>
    </row>
    <row r="25" spans="1:27" s="2" customFormat="1" x14ac:dyDescent="0.25">
      <c r="A25" s="61" t="s">
        <v>216</v>
      </c>
      <c r="B25" s="61">
        <v>4039</v>
      </c>
      <c r="C25" s="61" t="s">
        <v>64</v>
      </c>
      <c r="D25" s="61" t="s">
        <v>168</v>
      </c>
      <c r="E25" s="30">
        <v>42503.308148148149</v>
      </c>
      <c r="F25" s="30">
        <v>42503.309884259259</v>
      </c>
      <c r="G25" s="30">
        <v>2</v>
      </c>
      <c r="H25" s="30" t="s">
        <v>88</v>
      </c>
      <c r="I25" s="30">
        <v>42503.336226851854</v>
      </c>
      <c r="J25" s="61">
        <v>3</v>
      </c>
      <c r="K25" s="61" t="str">
        <f t="shared" si="8"/>
        <v>4039/4040</v>
      </c>
      <c r="L25" s="61" t="str">
        <f>VLOOKUP(A25,'Trips&amp;Operators'!$C$1:$E$9999,3,FALSE)</f>
        <v>MALAVE</v>
      </c>
      <c r="M25" s="12">
        <f t="shared" si="9"/>
        <v>2.6342592595028691E-2</v>
      </c>
      <c r="N25" s="13">
        <f t="shared" si="13"/>
        <v>37.933333336841315</v>
      </c>
      <c r="O25" s="13"/>
      <c r="P25" s="13"/>
      <c r="Q25" s="62"/>
      <c r="R25" s="62"/>
      <c r="T2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07:22:44-0600',mode:absolute,to:'2016-05-13 08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5" s="74" t="str">
        <f t="shared" si="11"/>
        <v>N</v>
      </c>
      <c r="V25" s="74">
        <f t="shared" si="12"/>
        <v>1</v>
      </c>
      <c r="W25" s="74">
        <f t="shared" si="5"/>
        <v>23.2973</v>
      </c>
      <c r="X25" s="74">
        <f t="shared" si="6"/>
        <v>1.52E-2</v>
      </c>
      <c r="Y25" s="74">
        <f t="shared" si="7"/>
        <v>23.2821</v>
      </c>
      <c r="Z25" s="75">
        <f>VLOOKUP(A25,Enforcements!$C$3:$J$12,8,0)</f>
        <v>103864</v>
      </c>
      <c r="AA25" s="75" t="str">
        <f>VLOOKUP(A25,Enforcements!$C$3:$J$12,3,0)</f>
        <v>EQUIPMENT RESTRICTION</v>
      </c>
    </row>
    <row r="26" spans="1:27" s="2" customFormat="1" x14ac:dyDescent="0.25">
      <c r="A26" s="61" t="s">
        <v>217</v>
      </c>
      <c r="B26" s="61">
        <v>4044</v>
      </c>
      <c r="C26" s="61" t="s">
        <v>64</v>
      </c>
      <c r="D26" s="61" t="s">
        <v>218</v>
      </c>
      <c r="E26" s="30">
        <v>42503.275613425925</v>
      </c>
      <c r="F26" s="30">
        <v>42503.276886574073</v>
      </c>
      <c r="G26" s="38">
        <v>1</v>
      </c>
      <c r="H26" s="30" t="s">
        <v>65</v>
      </c>
      <c r="I26" s="30">
        <v>42503.306759259256</v>
      </c>
      <c r="J26" s="61">
        <v>0</v>
      </c>
      <c r="K26" s="61" t="str">
        <f t="shared" si="8"/>
        <v>4043/4044</v>
      </c>
      <c r="L26" s="61" t="str">
        <f>VLOOKUP(A26,'Trips&amp;Operators'!$C$1:$E$9999,3,FALSE)</f>
        <v>YORK</v>
      </c>
      <c r="M26" s="12">
        <f t="shared" si="9"/>
        <v>2.9872685183363501E-2</v>
      </c>
      <c r="N26" s="13">
        <f t="shared" si="13"/>
        <v>43.016666664043441</v>
      </c>
      <c r="O26" s="13"/>
      <c r="P26" s="13"/>
      <c r="Q26" s="62"/>
      <c r="R26" s="62"/>
      <c r="T2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06:35:53-0600',mode:absolute,to:'2016-05-13 07:22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6" s="74" t="str">
        <f t="shared" si="11"/>
        <v>N</v>
      </c>
      <c r="V26" s="74">
        <f t="shared" si="12"/>
        <v>1</v>
      </c>
      <c r="W26" s="74">
        <f t="shared" si="5"/>
        <v>4.3499999999999997E-2</v>
      </c>
      <c r="X26" s="74">
        <f t="shared" si="6"/>
        <v>23.329699999999999</v>
      </c>
      <c r="Y26" s="74">
        <f t="shared" si="7"/>
        <v>23.286199999999997</v>
      </c>
      <c r="Z26" s="75" t="e">
        <f>VLOOKUP(A26,Enforcements!$C$3:$J$12,8,0)</f>
        <v>#N/A</v>
      </c>
      <c r="AA26" s="75" t="e">
        <f>VLOOKUP(A26,Enforcements!$C$3:$J$12,3,0)</f>
        <v>#N/A</v>
      </c>
    </row>
    <row r="27" spans="1:27" s="2" customFormat="1" x14ac:dyDescent="0.25">
      <c r="A27" s="61" t="s">
        <v>219</v>
      </c>
      <c r="B27" s="61">
        <v>4043</v>
      </c>
      <c r="C27" s="61" t="s">
        <v>64</v>
      </c>
      <c r="D27" s="61" t="s">
        <v>75</v>
      </c>
      <c r="E27" s="30">
        <v>42503.313136574077</v>
      </c>
      <c r="F27" s="30">
        <v>42503.314131944448</v>
      </c>
      <c r="G27" s="38">
        <v>1</v>
      </c>
      <c r="H27" s="30" t="s">
        <v>69</v>
      </c>
      <c r="I27" s="30">
        <v>42503.346087962964</v>
      </c>
      <c r="J27" s="61">
        <v>1</v>
      </c>
      <c r="K27" s="61" t="str">
        <f t="shared" si="8"/>
        <v>4043/4044</v>
      </c>
      <c r="L27" s="61" t="str">
        <f>VLOOKUP(A27,'Trips&amp;Operators'!$C$1:$E$9999,3,FALSE)</f>
        <v>YORK</v>
      </c>
      <c r="M27" s="12">
        <f t="shared" si="9"/>
        <v>3.195601851621177E-2</v>
      </c>
      <c r="N27" s="13">
        <f t="shared" si="13"/>
        <v>46.016666663344949</v>
      </c>
      <c r="O27" s="13"/>
      <c r="P27" s="13"/>
      <c r="Q27" s="62"/>
      <c r="R27" s="62"/>
      <c r="T2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07:29:55-0600',mode:absolute,to:'2016-05-13 08:19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7" s="74" t="str">
        <f t="shared" si="11"/>
        <v>N</v>
      </c>
      <c r="V27" s="74">
        <f t="shared" si="12"/>
        <v>1</v>
      </c>
      <c r="W27" s="74">
        <f t="shared" si="5"/>
        <v>23.299099999999999</v>
      </c>
      <c r="X27" s="74">
        <f t="shared" si="6"/>
        <v>1.5599999999999999E-2</v>
      </c>
      <c r="Y27" s="74">
        <f t="shared" si="7"/>
        <v>23.2835</v>
      </c>
      <c r="Z27" s="75" t="e">
        <f>VLOOKUP(A27,Enforcements!$C$3:$J$12,8,0)</f>
        <v>#N/A</v>
      </c>
      <c r="AA27" s="75" t="e">
        <f>VLOOKUP(A27,Enforcements!$C$3:$J$12,3,0)</f>
        <v>#N/A</v>
      </c>
    </row>
    <row r="28" spans="1:27" s="2" customFormat="1" x14ac:dyDescent="0.25">
      <c r="A28" s="61" t="s">
        <v>220</v>
      </c>
      <c r="B28" s="61">
        <v>4016</v>
      </c>
      <c r="C28" s="61" t="s">
        <v>64</v>
      </c>
      <c r="D28" s="61" t="s">
        <v>95</v>
      </c>
      <c r="E28" s="30">
        <v>42503.28497685185</v>
      </c>
      <c r="F28" s="30">
        <v>42503.286180555559</v>
      </c>
      <c r="G28" s="38">
        <v>1</v>
      </c>
      <c r="H28" s="30" t="s">
        <v>135</v>
      </c>
      <c r="I28" s="30">
        <v>42503.316782407404</v>
      </c>
      <c r="J28" s="61">
        <v>0</v>
      </c>
      <c r="K28" s="61" t="str">
        <f t="shared" si="8"/>
        <v>4015/4016</v>
      </c>
      <c r="L28" s="61" t="str">
        <f>VLOOKUP(A28,'Trips&amp;Operators'!$C$1:$E$9999,3,FALSE)</f>
        <v>LEDERHAUSE</v>
      </c>
      <c r="M28" s="12">
        <f t="shared" si="9"/>
        <v>3.0601851845858619E-2</v>
      </c>
      <c r="N28" s="13">
        <f t="shared" si="13"/>
        <v>44.066666658036411</v>
      </c>
      <c r="O28" s="13"/>
      <c r="P28" s="13"/>
      <c r="Q28" s="62"/>
      <c r="R28" s="62"/>
      <c r="T2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06:49:22-0600',mode:absolute,to:'2016-05-13 07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8" s="74" t="str">
        <f t="shared" si="11"/>
        <v>N</v>
      </c>
      <c r="V28" s="74">
        <f t="shared" si="12"/>
        <v>1</v>
      </c>
      <c r="W28" s="74">
        <f t="shared" si="5"/>
        <v>4.6600000000000003E-2</v>
      </c>
      <c r="X28" s="74">
        <f t="shared" si="6"/>
        <v>23.330100000000002</v>
      </c>
      <c r="Y28" s="74">
        <f t="shared" si="7"/>
        <v>23.2835</v>
      </c>
      <c r="Z28" s="75" t="e">
        <f>VLOOKUP(A28,Enforcements!$C$3:$J$12,8,0)</f>
        <v>#N/A</v>
      </c>
      <c r="AA28" s="75" t="e">
        <f>VLOOKUP(A28,Enforcements!$C$3:$J$12,3,0)</f>
        <v>#N/A</v>
      </c>
    </row>
    <row r="29" spans="1:27" s="2" customFormat="1" x14ac:dyDescent="0.25">
      <c r="A29" s="61" t="s">
        <v>221</v>
      </c>
      <c r="B29" s="61">
        <v>4015</v>
      </c>
      <c r="C29" s="61" t="s">
        <v>64</v>
      </c>
      <c r="D29" s="61" t="s">
        <v>94</v>
      </c>
      <c r="E29" s="30">
        <v>42503.322199074071</v>
      </c>
      <c r="F29" s="30">
        <v>42503.323252314818</v>
      </c>
      <c r="G29" s="38">
        <v>1</v>
      </c>
      <c r="H29" s="30" t="s">
        <v>119</v>
      </c>
      <c r="I29" s="30">
        <v>42503.356249999997</v>
      </c>
      <c r="J29" s="61">
        <v>0</v>
      </c>
      <c r="K29" s="61" t="str">
        <f t="shared" si="8"/>
        <v>4015/4016</v>
      </c>
      <c r="L29" s="61" t="str">
        <f>VLOOKUP(A29,'Trips&amp;Operators'!$C$1:$E$9999,3,FALSE)</f>
        <v>LEDERHAUSE</v>
      </c>
      <c r="M29" s="12">
        <f t="shared" si="9"/>
        <v>3.2997685178997926E-2</v>
      </c>
      <c r="N29" s="13">
        <f t="shared" si="13"/>
        <v>47.516666657757014</v>
      </c>
      <c r="O29" s="13"/>
      <c r="P29" s="13"/>
      <c r="Q29" s="62"/>
      <c r="R29" s="62"/>
      <c r="T2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07:42:58-0600',mode:absolute,to:'2016-05-13 08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9" s="74" t="str">
        <f t="shared" si="11"/>
        <v>N</v>
      </c>
      <c r="V29" s="74">
        <f t="shared" si="12"/>
        <v>1</v>
      </c>
      <c r="W29" s="74">
        <f t="shared" si="5"/>
        <v>23.297999999999998</v>
      </c>
      <c r="X29" s="74">
        <f t="shared" si="6"/>
        <v>1.67E-2</v>
      </c>
      <c r="Y29" s="74">
        <f t="shared" si="7"/>
        <v>23.281299999999998</v>
      </c>
      <c r="Z29" s="75" t="e">
        <f>VLOOKUP(A29,Enforcements!$C$3:$J$12,8,0)</f>
        <v>#N/A</v>
      </c>
      <c r="AA29" s="75" t="e">
        <f>VLOOKUP(A29,Enforcements!$C$3:$J$12,3,0)</f>
        <v>#N/A</v>
      </c>
    </row>
    <row r="30" spans="1:27" s="2" customFormat="1" x14ac:dyDescent="0.25">
      <c r="A30" s="61" t="s">
        <v>222</v>
      </c>
      <c r="B30" s="61">
        <v>4009</v>
      </c>
      <c r="C30" s="61" t="s">
        <v>64</v>
      </c>
      <c r="D30" s="61" t="s">
        <v>223</v>
      </c>
      <c r="E30" s="30">
        <v>42503.299363425926</v>
      </c>
      <c r="F30" s="30">
        <v>42503.30159722222</v>
      </c>
      <c r="G30" s="38">
        <v>3</v>
      </c>
      <c r="H30" s="30" t="s">
        <v>172</v>
      </c>
      <c r="I30" s="30">
        <v>42503.327233796299</v>
      </c>
      <c r="J30" s="61">
        <v>0</v>
      </c>
      <c r="K30" s="61" t="str">
        <f t="shared" si="8"/>
        <v>4009/4010</v>
      </c>
      <c r="L30" s="61" t="str">
        <f>VLOOKUP(A30,'Trips&amp;Operators'!$C$1:$E$9999,3,FALSE)</f>
        <v>SANTIZO</v>
      </c>
      <c r="M30" s="12">
        <f t="shared" si="9"/>
        <v>2.5636574078816921E-2</v>
      </c>
      <c r="N30" s="13">
        <f t="shared" si="13"/>
        <v>36.916666673496366</v>
      </c>
      <c r="O30" s="13"/>
      <c r="P30" s="13"/>
      <c r="Q30" s="62"/>
      <c r="R30" s="62"/>
      <c r="T3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07:10:05-0600',mode:absolute,to:'2016-05-13 07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0" s="74" t="str">
        <f t="shared" si="11"/>
        <v>N</v>
      </c>
      <c r="V30" s="74">
        <f t="shared" si="12"/>
        <v>1</v>
      </c>
      <c r="W30" s="74">
        <f t="shared" si="5"/>
        <v>4.82E-2</v>
      </c>
      <c r="X30" s="74">
        <f t="shared" si="6"/>
        <v>23.329799999999999</v>
      </c>
      <c r="Y30" s="74">
        <f t="shared" si="7"/>
        <v>23.281599999999997</v>
      </c>
      <c r="Z30" s="75" t="e">
        <f>VLOOKUP(A30,Enforcements!$C$3:$J$12,8,0)</f>
        <v>#N/A</v>
      </c>
      <c r="AA30" s="75" t="e">
        <f>VLOOKUP(A30,Enforcements!$C$3:$J$12,3,0)</f>
        <v>#N/A</v>
      </c>
    </row>
    <row r="31" spans="1:27" s="2" customFormat="1" x14ac:dyDescent="0.25">
      <c r="A31" s="61" t="s">
        <v>224</v>
      </c>
      <c r="B31" s="61">
        <v>4010</v>
      </c>
      <c r="C31" s="61" t="s">
        <v>64</v>
      </c>
      <c r="D31" s="61" t="s">
        <v>106</v>
      </c>
      <c r="E31" s="30">
        <v>42503.335497685184</v>
      </c>
      <c r="F31" s="30">
        <v>42503.33662037037</v>
      </c>
      <c r="G31" s="38">
        <v>1</v>
      </c>
      <c r="H31" s="30" t="s">
        <v>225</v>
      </c>
      <c r="I31" s="30">
        <v>42503.366365740738</v>
      </c>
      <c r="J31" s="61">
        <v>0</v>
      </c>
      <c r="K31" s="61" t="str">
        <f t="shared" si="8"/>
        <v>4009/4010</v>
      </c>
      <c r="L31" s="61" t="str">
        <f>VLOOKUP(A31,'Trips&amp;Operators'!$C$1:$E$9999,3,FALSE)</f>
        <v>SANTIZO</v>
      </c>
      <c r="M31" s="12">
        <f t="shared" si="9"/>
        <v>2.9745370367891155E-2</v>
      </c>
      <c r="N31" s="13">
        <f t="shared" si="13"/>
        <v>42.833333329763263</v>
      </c>
      <c r="O31" s="13"/>
      <c r="P31" s="13"/>
      <c r="Q31" s="62"/>
      <c r="R31" s="62"/>
      <c r="T3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08:02:07-0600',mode:absolute,to:'2016-05-13 08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1" s="74" t="str">
        <f t="shared" si="11"/>
        <v>N</v>
      </c>
      <c r="V31" s="74">
        <f t="shared" si="12"/>
        <v>1</v>
      </c>
      <c r="W31" s="74">
        <f t="shared" si="5"/>
        <v>23.298100000000002</v>
      </c>
      <c r="X31" s="74">
        <f t="shared" si="6"/>
        <v>2.1999999999999999E-2</v>
      </c>
      <c r="Y31" s="74">
        <f t="shared" si="7"/>
        <v>23.276100000000003</v>
      </c>
      <c r="Z31" s="75" t="e">
        <f>VLOOKUP(A31,Enforcements!$C$3:$J$12,8,0)</f>
        <v>#N/A</v>
      </c>
      <c r="AA31" s="75" t="e">
        <f>VLOOKUP(A31,Enforcements!$C$3:$J$12,3,0)</f>
        <v>#N/A</v>
      </c>
    </row>
    <row r="32" spans="1:27" s="2" customFormat="1" x14ac:dyDescent="0.25">
      <c r="A32" s="61" t="s">
        <v>226</v>
      </c>
      <c r="B32" s="61">
        <v>4025</v>
      </c>
      <c r="C32" s="61" t="s">
        <v>64</v>
      </c>
      <c r="D32" s="61" t="s">
        <v>80</v>
      </c>
      <c r="E32" s="30">
        <v>42503.305856481478</v>
      </c>
      <c r="F32" s="30">
        <v>42503.30704861111</v>
      </c>
      <c r="G32" s="38">
        <v>1</v>
      </c>
      <c r="H32" s="30" t="s">
        <v>138</v>
      </c>
      <c r="I32" s="30">
        <v>42503.337905092594</v>
      </c>
      <c r="J32" s="61">
        <v>1</v>
      </c>
      <c r="K32" s="61" t="str">
        <f t="shared" si="8"/>
        <v>4025/4026</v>
      </c>
      <c r="L32" s="61" t="str">
        <f>VLOOKUP(A32,'Trips&amp;Operators'!$C$1:$E$9999,3,FALSE)</f>
        <v>CHANDLER</v>
      </c>
      <c r="M32" s="12">
        <f t="shared" si="9"/>
        <v>3.0856481484079268E-2</v>
      </c>
      <c r="N32" s="13">
        <f t="shared" si="13"/>
        <v>44.433333337074146</v>
      </c>
      <c r="O32" s="13"/>
      <c r="P32" s="13"/>
      <c r="Q32" s="62"/>
      <c r="R32" s="62"/>
      <c r="T3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07:19:26-0600',mode:absolute,to:'2016-05-13 08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32" s="74" t="str">
        <f t="shared" si="11"/>
        <v>N</v>
      </c>
      <c r="V32" s="74">
        <f t="shared" si="12"/>
        <v>1</v>
      </c>
      <c r="W32" s="74">
        <f t="shared" si="5"/>
        <v>4.4699999999999997E-2</v>
      </c>
      <c r="X32" s="74">
        <f t="shared" si="6"/>
        <v>23.328399999999998</v>
      </c>
      <c r="Y32" s="74">
        <f t="shared" si="7"/>
        <v>23.2837</v>
      </c>
      <c r="Z32" s="75" t="e">
        <f>VLOOKUP(A32,Enforcements!$C$3:$J$12,8,0)</f>
        <v>#N/A</v>
      </c>
      <c r="AA32" s="75" t="e">
        <f>VLOOKUP(A32,Enforcements!$C$3:$J$12,3,0)</f>
        <v>#N/A</v>
      </c>
    </row>
    <row r="33" spans="1:27" s="2" customFormat="1" x14ac:dyDescent="0.25">
      <c r="A33" s="61" t="s">
        <v>227</v>
      </c>
      <c r="B33" s="61">
        <v>4026</v>
      </c>
      <c r="C33" s="61" t="s">
        <v>64</v>
      </c>
      <c r="D33" s="61" t="s">
        <v>170</v>
      </c>
      <c r="E33" s="30">
        <v>42503.34679398148</v>
      </c>
      <c r="F33" s="30">
        <v>42503.347719907404</v>
      </c>
      <c r="G33" s="38">
        <v>1</v>
      </c>
      <c r="H33" s="30" t="s">
        <v>69</v>
      </c>
      <c r="I33" s="30">
        <v>42503.377488425926</v>
      </c>
      <c r="J33" s="61">
        <v>0</v>
      </c>
      <c r="K33" s="61" t="str">
        <f t="shared" si="8"/>
        <v>4025/4026</v>
      </c>
      <c r="L33" s="61" t="str">
        <f>VLOOKUP(A33,'Trips&amp;Operators'!$C$1:$E$9999,3,FALSE)</f>
        <v>CHANDLER</v>
      </c>
      <c r="M33" s="12">
        <f t="shared" si="9"/>
        <v>2.976851852145046E-2</v>
      </c>
      <c r="N33" s="13">
        <f t="shared" si="13"/>
        <v>42.866666670888662</v>
      </c>
      <c r="O33" s="13"/>
      <c r="P33" s="13"/>
      <c r="Q33" s="62"/>
      <c r="R33" s="62"/>
      <c r="T3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08:18:23-0600',mode:absolute,to:'2016-05-13 09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3" s="74" t="str">
        <f t="shared" si="11"/>
        <v>N</v>
      </c>
      <c r="V33" s="74">
        <f t="shared" si="12"/>
        <v>1</v>
      </c>
      <c r="W33" s="74">
        <f t="shared" si="5"/>
        <v>23.296299999999999</v>
      </c>
      <c r="X33" s="74">
        <f t="shared" si="6"/>
        <v>1.5599999999999999E-2</v>
      </c>
      <c r="Y33" s="74">
        <f t="shared" si="7"/>
        <v>23.2807</v>
      </c>
      <c r="Z33" s="75" t="e">
        <f>VLOOKUP(A33,Enforcements!$C$3:$J$12,8,0)</f>
        <v>#N/A</v>
      </c>
      <c r="AA33" s="75" t="e">
        <f>VLOOKUP(A33,Enforcements!$C$3:$J$12,3,0)</f>
        <v>#N/A</v>
      </c>
    </row>
    <row r="34" spans="1:27" s="2" customFormat="1" x14ac:dyDescent="0.25">
      <c r="A34" s="61" t="s">
        <v>228</v>
      </c>
      <c r="B34" s="61">
        <v>4038</v>
      </c>
      <c r="C34" s="61" t="s">
        <v>64</v>
      </c>
      <c r="D34" s="61" t="s">
        <v>133</v>
      </c>
      <c r="E34" s="30">
        <v>42503.320416666669</v>
      </c>
      <c r="F34" s="30">
        <v>42503.323425925926</v>
      </c>
      <c r="G34" s="38">
        <v>4</v>
      </c>
      <c r="H34" s="30" t="s">
        <v>66</v>
      </c>
      <c r="I34" s="30">
        <v>42503.347997685189</v>
      </c>
      <c r="J34" s="61">
        <v>1</v>
      </c>
      <c r="K34" s="61" t="str">
        <f t="shared" si="8"/>
        <v>4037/4038</v>
      </c>
      <c r="L34" s="61" t="str">
        <f>VLOOKUP(A34,'Trips&amp;Operators'!$C$1:$E$9999,3,FALSE)</f>
        <v>NEWELL</v>
      </c>
      <c r="M34" s="12">
        <f t="shared" si="9"/>
        <v>2.457175926247146E-2</v>
      </c>
      <c r="N34" s="13">
        <f t="shared" si="13"/>
        <v>35.383333337958902</v>
      </c>
      <c r="O34" s="13"/>
      <c r="P34" s="13"/>
      <c r="Q34" s="62"/>
      <c r="R34" s="62"/>
      <c r="T3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07:40:24-0600',mode:absolute,to:'2016-05-13 08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4" s="74" t="str">
        <f t="shared" si="11"/>
        <v>N</v>
      </c>
      <c r="V34" s="74">
        <f t="shared" si="12"/>
        <v>1</v>
      </c>
      <c r="W34" s="74">
        <f t="shared" si="5"/>
        <v>4.3999999999999997E-2</v>
      </c>
      <c r="X34" s="74">
        <f t="shared" si="6"/>
        <v>23.331</v>
      </c>
      <c r="Y34" s="74">
        <f t="shared" si="7"/>
        <v>23.286999999999999</v>
      </c>
      <c r="Z34" s="75" t="e">
        <f>VLOOKUP(A34,Enforcements!$C$3:$J$12,8,0)</f>
        <v>#N/A</v>
      </c>
      <c r="AA34" s="75" t="e">
        <f>VLOOKUP(A34,Enforcements!$C$3:$J$12,3,0)</f>
        <v>#N/A</v>
      </c>
    </row>
    <row r="35" spans="1:27" s="2" customFormat="1" x14ac:dyDescent="0.25">
      <c r="A35" s="61" t="s">
        <v>229</v>
      </c>
      <c r="B35" s="61">
        <v>4037</v>
      </c>
      <c r="C35" s="61" t="s">
        <v>64</v>
      </c>
      <c r="D35" s="61" t="s">
        <v>75</v>
      </c>
      <c r="E35" s="30">
        <v>42503.357719907406</v>
      </c>
      <c r="F35" s="30">
        <v>42503.358449074076</v>
      </c>
      <c r="G35" s="38">
        <v>1</v>
      </c>
      <c r="H35" s="30" t="s">
        <v>88</v>
      </c>
      <c r="I35" s="30">
        <v>42503.387152777781</v>
      </c>
      <c r="J35" s="61">
        <v>1</v>
      </c>
      <c r="K35" s="61" t="str">
        <f t="shared" si="8"/>
        <v>4037/4038</v>
      </c>
      <c r="L35" s="61" t="str">
        <f>VLOOKUP(A35,'Trips&amp;Operators'!$C$1:$E$9999,3,FALSE)</f>
        <v>NEWELL</v>
      </c>
      <c r="M35" s="12">
        <f t="shared" si="9"/>
        <v>2.8703703705104999E-2</v>
      </c>
      <c r="N35" s="13">
        <f t="shared" si="13"/>
        <v>41.333333335351199</v>
      </c>
      <c r="O35" s="13"/>
      <c r="P35" s="13"/>
      <c r="Q35" s="62"/>
      <c r="R35" s="62"/>
      <c r="T3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08:34:07-0600',mode:absolute,to:'2016-05-13 09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5" s="74" t="str">
        <f t="shared" si="11"/>
        <v>N</v>
      </c>
      <c r="V35" s="74">
        <f t="shared" si="12"/>
        <v>1</v>
      </c>
      <c r="W35" s="74">
        <f t="shared" ref="W35:W66" si="14">RIGHT(D35,LEN(D35)-4)/10000</f>
        <v>23.299099999999999</v>
      </c>
      <c r="X35" s="74">
        <f t="shared" ref="X35:X54" si="15">RIGHT(H35,LEN(H35)-4)/10000</f>
        <v>1.52E-2</v>
      </c>
      <c r="Y35" s="74">
        <f t="shared" ref="Y35:Y66" si="16">ABS(X35-W35)</f>
        <v>23.283899999999999</v>
      </c>
      <c r="Z35" s="75" t="e">
        <f>VLOOKUP(A35,Enforcements!$C$3:$J$12,8,0)</f>
        <v>#N/A</v>
      </c>
      <c r="AA35" s="75" t="e">
        <f>VLOOKUP(A35,Enforcements!$C$3:$J$12,3,0)</f>
        <v>#N/A</v>
      </c>
    </row>
    <row r="36" spans="1:27" s="2" customFormat="1" x14ac:dyDescent="0.25">
      <c r="A36" s="61" t="s">
        <v>230</v>
      </c>
      <c r="B36" s="61">
        <v>4020</v>
      </c>
      <c r="C36" s="61" t="s">
        <v>64</v>
      </c>
      <c r="D36" s="61" t="s">
        <v>180</v>
      </c>
      <c r="E36" s="30">
        <v>42503.332060185188</v>
      </c>
      <c r="F36" s="30">
        <v>42503.332800925928</v>
      </c>
      <c r="G36" s="38">
        <v>1</v>
      </c>
      <c r="H36" s="30" t="s">
        <v>231</v>
      </c>
      <c r="I36" s="30">
        <v>42503.335115740738</v>
      </c>
      <c r="J36" s="61">
        <v>0</v>
      </c>
      <c r="K36" s="61" t="str">
        <f t="shared" ref="K36:K67" si="17">IF(ISEVEN(B36),(B36-1)&amp;"/"&amp;B36,B36&amp;"/"&amp;(B36+1))</f>
        <v>4019/4020</v>
      </c>
      <c r="L36" s="61" t="str">
        <f>VLOOKUP(A36,'Trips&amp;Operators'!$C$1:$E$9999,3,FALSE)</f>
        <v>STARKS</v>
      </c>
      <c r="M36" s="12">
        <f t="shared" ref="M36:M67" si="18">I36-F36</f>
        <v>2.3148148102336563E-3</v>
      </c>
      <c r="N36" s="13"/>
      <c r="O36" s="13"/>
      <c r="P36" s="13">
        <f>$M36*24*60</f>
        <v>3.3333333267364651</v>
      </c>
      <c r="Q36" s="62" t="s">
        <v>429</v>
      </c>
      <c r="R36" s="62" t="s">
        <v>426</v>
      </c>
      <c r="T36" s="74" t="str">
        <f t="shared" ref="T36:T67" si="19"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https://search-rtdc-monitor-bjffxe2xuh6vdkpspy63sjmuny.us-east-1.es.amazonaws.com/_plugin/kibana/#/discover/Steve-Slow-Train-Analysis-(2080s-and-2083s)?_g=(refreshInterval:(display:Off,section:0,value:0),time:(from:'2016-05-13 07:57:10-0600',mode:absolute,to:'2016-05-13 08:03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6" s="74" t="str">
        <f t="shared" ref="U36:U67" si="20">IF(Y36&lt;23,"Y","N")</f>
        <v>Y</v>
      </c>
      <c r="V36" s="74">
        <f t="shared" ref="V36:V67" si="21">VALUE(LEFT(A36,3))-VALUE(LEFT(A35,3))</f>
        <v>1</v>
      </c>
      <c r="W36" s="74">
        <f t="shared" si="14"/>
        <v>4.3700000000000003E-2</v>
      </c>
      <c r="X36" s="74">
        <f t="shared" si="15"/>
        <v>0.1109</v>
      </c>
      <c r="Y36" s="74">
        <f t="shared" si="16"/>
        <v>6.7199999999999996E-2</v>
      </c>
      <c r="Z36" s="75" t="e">
        <f>VLOOKUP(A36,Enforcements!$C$3:$J$12,8,0)</f>
        <v>#N/A</v>
      </c>
      <c r="AA36" s="75" t="e">
        <f>VLOOKUP(A36,Enforcements!$C$3:$J$12,3,0)</f>
        <v>#N/A</v>
      </c>
    </row>
    <row r="37" spans="1:27" s="2" customFormat="1" x14ac:dyDescent="0.25">
      <c r="A37" s="61" t="s">
        <v>232</v>
      </c>
      <c r="B37" s="61">
        <v>4019</v>
      </c>
      <c r="C37" s="61" t="s">
        <v>64</v>
      </c>
      <c r="D37" s="61" t="s">
        <v>233</v>
      </c>
      <c r="E37" s="30">
        <v>42503.370046296295</v>
      </c>
      <c r="F37" s="30">
        <v>42503.370972222219</v>
      </c>
      <c r="G37" s="38">
        <v>1</v>
      </c>
      <c r="H37" s="30" t="s">
        <v>111</v>
      </c>
      <c r="I37" s="30">
        <v>42503.3984837963</v>
      </c>
      <c r="J37" s="61">
        <v>0</v>
      </c>
      <c r="K37" s="61" t="str">
        <f t="shared" si="17"/>
        <v>4019/4020</v>
      </c>
      <c r="L37" s="61" t="str">
        <f>VLOOKUP(A37,'Trips&amp;Operators'!$C$1:$E$9999,3,FALSE)</f>
        <v>STARKS</v>
      </c>
      <c r="M37" s="12">
        <f t="shared" si="18"/>
        <v>2.751157408056315E-2</v>
      </c>
      <c r="N37" s="13">
        <f t="shared" ref="N37:N70" si="22">$M37*24*60</f>
        <v>39.616666676010936</v>
      </c>
      <c r="O37" s="13"/>
      <c r="P37" s="13"/>
      <c r="Q37" s="62"/>
      <c r="R37" s="62"/>
      <c r="T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08:51:52-0600',mode:absolute,to:'2016-05-13 09:34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7" s="74" t="str">
        <f t="shared" si="20"/>
        <v>N</v>
      </c>
      <c r="V37" s="74">
        <f t="shared" si="21"/>
        <v>1</v>
      </c>
      <c r="W37" s="74">
        <f t="shared" si="14"/>
        <v>23.305099999999999</v>
      </c>
      <c r="X37" s="74">
        <f t="shared" si="15"/>
        <v>1.34E-2</v>
      </c>
      <c r="Y37" s="74">
        <f t="shared" si="16"/>
        <v>23.291699999999999</v>
      </c>
      <c r="Z37" s="75" t="e">
        <f>VLOOKUP(A37,Enforcements!$C$3:$J$12,8,0)</f>
        <v>#N/A</v>
      </c>
      <c r="AA37" s="75" t="e">
        <f>VLOOKUP(A37,Enforcements!$C$3:$J$12,3,0)</f>
        <v>#N/A</v>
      </c>
    </row>
    <row r="38" spans="1:27" s="2" customFormat="1" x14ac:dyDescent="0.25">
      <c r="A38" s="61" t="s">
        <v>234</v>
      </c>
      <c r="B38" s="61">
        <v>4040</v>
      </c>
      <c r="C38" s="61" t="s">
        <v>64</v>
      </c>
      <c r="D38" s="61" t="s">
        <v>113</v>
      </c>
      <c r="E38" s="30">
        <v>42503.342847222222</v>
      </c>
      <c r="F38" s="30">
        <v>42503.344490740739</v>
      </c>
      <c r="G38" s="38">
        <v>2</v>
      </c>
      <c r="H38" s="30" t="s">
        <v>235</v>
      </c>
      <c r="I38" s="30">
        <v>42503.369618055556</v>
      </c>
      <c r="J38" s="61">
        <v>1</v>
      </c>
      <c r="K38" s="61" t="str">
        <f t="shared" si="17"/>
        <v>4039/4040</v>
      </c>
      <c r="L38" s="61" t="str">
        <f>VLOOKUP(A38,'Trips&amp;Operators'!$C$1:$E$9999,3,FALSE)</f>
        <v>MALAVE</v>
      </c>
      <c r="M38" s="12">
        <f t="shared" si="18"/>
        <v>2.5127314816927537E-2</v>
      </c>
      <c r="N38" s="13">
        <f t="shared" si="22"/>
        <v>36.183333336375654</v>
      </c>
      <c r="O38" s="13"/>
      <c r="P38" s="13"/>
      <c r="Q38" s="62"/>
      <c r="R38" s="62"/>
      <c r="T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08:12:42-0600',mode:absolute,to:'2016-05-13 08:53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8" s="74" t="str">
        <f t="shared" si="20"/>
        <v>N</v>
      </c>
      <c r="V38" s="74">
        <f t="shared" si="21"/>
        <v>1</v>
      </c>
      <c r="W38" s="74">
        <f t="shared" si="14"/>
        <v>4.6199999999999998E-2</v>
      </c>
      <c r="X38" s="74">
        <f t="shared" si="15"/>
        <v>23.336300000000001</v>
      </c>
      <c r="Y38" s="74">
        <f t="shared" si="16"/>
        <v>23.290100000000002</v>
      </c>
      <c r="Z38" s="75" t="e">
        <f>VLOOKUP(A38,Enforcements!$C$3:$J$12,8,0)</f>
        <v>#N/A</v>
      </c>
      <c r="AA38" s="75" t="e">
        <f>VLOOKUP(A38,Enforcements!$C$3:$J$12,3,0)</f>
        <v>#N/A</v>
      </c>
    </row>
    <row r="39" spans="1:27" s="2" customFormat="1" x14ac:dyDescent="0.25">
      <c r="A39" s="61" t="s">
        <v>236</v>
      </c>
      <c r="B39" s="61">
        <v>4039</v>
      </c>
      <c r="C39" s="61" t="s">
        <v>64</v>
      </c>
      <c r="D39" s="61" t="s">
        <v>237</v>
      </c>
      <c r="E39" s="30">
        <v>42503.380266203705</v>
      </c>
      <c r="F39" s="30">
        <v>42503.381284722222</v>
      </c>
      <c r="G39" s="38">
        <v>1</v>
      </c>
      <c r="H39" s="30" t="s">
        <v>79</v>
      </c>
      <c r="I39" s="30">
        <v>42503.408113425925</v>
      </c>
      <c r="J39" s="61">
        <v>0</v>
      </c>
      <c r="K39" s="61" t="str">
        <f t="shared" si="17"/>
        <v>4039/4040</v>
      </c>
      <c r="L39" s="61" t="str">
        <f>VLOOKUP(A39,'Trips&amp;Operators'!$C$1:$E$9999,3,FALSE)</f>
        <v>MALAVE</v>
      </c>
      <c r="M39" s="12">
        <f t="shared" si="18"/>
        <v>2.6828703703358769E-2</v>
      </c>
      <c r="N39" s="13">
        <f t="shared" si="22"/>
        <v>38.633333332836628</v>
      </c>
      <c r="O39" s="13"/>
      <c r="P39" s="13"/>
      <c r="Q39" s="62"/>
      <c r="R39" s="62"/>
      <c r="T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09:06:35-0600',mode:absolute,to:'2016-05-13 09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9" s="74" t="str">
        <f t="shared" si="20"/>
        <v>N</v>
      </c>
      <c r="V39" s="74">
        <f t="shared" si="21"/>
        <v>1</v>
      </c>
      <c r="W39" s="74">
        <f t="shared" si="14"/>
        <v>23.2987</v>
      </c>
      <c r="X39" s="74">
        <f t="shared" si="15"/>
        <v>1.4500000000000001E-2</v>
      </c>
      <c r="Y39" s="74">
        <f t="shared" si="16"/>
        <v>23.284199999999998</v>
      </c>
      <c r="Z39" s="75" t="e">
        <f>VLOOKUP(A39,Enforcements!$C$3:$J$12,8,0)</f>
        <v>#N/A</v>
      </c>
      <c r="AA39" s="75" t="e">
        <f>VLOOKUP(A39,Enforcements!$C$3:$J$12,3,0)</f>
        <v>#N/A</v>
      </c>
    </row>
    <row r="40" spans="1:27" s="2" customFormat="1" x14ac:dyDescent="0.25">
      <c r="A40" s="61" t="s">
        <v>238</v>
      </c>
      <c r="B40" s="61">
        <v>4044</v>
      </c>
      <c r="C40" s="61" t="s">
        <v>64</v>
      </c>
      <c r="D40" s="61" t="s">
        <v>83</v>
      </c>
      <c r="E40" s="30">
        <v>42503.350046296298</v>
      </c>
      <c r="F40" s="30">
        <v>42503.350787037038</v>
      </c>
      <c r="G40" s="38">
        <v>1</v>
      </c>
      <c r="H40" s="30" t="s">
        <v>67</v>
      </c>
      <c r="I40" s="30">
        <v>42503.379189814812</v>
      </c>
      <c r="J40" s="61">
        <v>0</v>
      </c>
      <c r="K40" s="61" t="str">
        <f t="shared" si="17"/>
        <v>4043/4044</v>
      </c>
      <c r="L40" s="61" t="str">
        <f>VLOOKUP(A40,'Trips&amp;Operators'!$C$1:$E$9999,3,FALSE)</f>
        <v>YORK</v>
      </c>
      <c r="M40" s="12">
        <f t="shared" si="18"/>
        <v>2.8402777774317656E-2</v>
      </c>
      <c r="N40" s="13">
        <f t="shared" si="22"/>
        <v>40.899999995017424</v>
      </c>
      <c r="O40" s="13"/>
      <c r="P40" s="13"/>
      <c r="Q40" s="62"/>
      <c r="R40" s="62"/>
      <c r="T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08:23:04-0600',mode:absolute,to:'2016-05-13 09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0" s="74" t="str">
        <f t="shared" si="20"/>
        <v>N</v>
      </c>
      <c r="V40" s="74">
        <f t="shared" si="21"/>
        <v>1</v>
      </c>
      <c r="W40" s="74">
        <f t="shared" si="14"/>
        <v>4.5100000000000001E-2</v>
      </c>
      <c r="X40" s="74">
        <f t="shared" si="15"/>
        <v>23.329499999999999</v>
      </c>
      <c r="Y40" s="74">
        <f t="shared" si="16"/>
        <v>23.284399999999998</v>
      </c>
      <c r="Z40" s="75" t="e">
        <f>VLOOKUP(A40,Enforcements!$C$3:$J$12,8,0)</f>
        <v>#N/A</v>
      </c>
      <c r="AA40" s="75" t="e">
        <f>VLOOKUP(A40,Enforcements!$C$3:$J$12,3,0)</f>
        <v>#N/A</v>
      </c>
    </row>
    <row r="41" spans="1:27" s="2" customFormat="1" x14ac:dyDescent="0.25">
      <c r="A41" s="61" t="s">
        <v>239</v>
      </c>
      <c r="B41" s="61">
        <v>4043</v>
      </c>
      <c r="C41" s="61" t="s">
        <v>64</v>
      </c>
      <c r="D41" s="61" t="s">
        <v>110</v>
      </c>
      <c r="E41" s="30">
        <v>42503.388831018521</v>
      </c>
      <c r="F41" s="30">
        <v>42503.389976851853</v>
      </c>
      <c r="G41" s="38">
        <v>1</v>
      </c>
      <c r="H41" s="30" t="s">
        <v>157</v>
      </c>
      <c r="I41" s="30">
        <v>42503.42015046296</v>
      </c>
      <c r="J41" s="61">
        <v>0</v>
      </c>
      <c r="K41" s="61" t="str">
        <f t="shared" si="17"/>
        <v>4043/4044</v>
      </c>
      <c r="L41" s="61" t="str">
        <f>VLOOKUP(A41,'Trips&amp;Operators'!$C$1:$E$9999,3,FALSE)</f>
        <v>YORK</v>
      </c>
      <c r="M41" s="12">
        <f t="shared" si="18"/>
        <v>3.0173611106874887E-2</v>
      </c>
      <c r="N41" s="13">
        <f t="shared" si="22"/>
        <v>43.449999993899837</v>
      </c>
      <c r="O41" s="13"/>
      <c r="P41" s="13"/>
      <c r="Q41" s="62"/>
      <c r="R41" s="62"/>
      <c r="T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09:18:55-0600',mode:absolute,to:'2016-05-13 10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1" s="74" t="str">
        <f t="shared" si="20"/>
        <v>N</v>
      </c>
      <c r="V41" s="74">
        <f t="shared" si="21"/>
        <v>1</v>
      </c>
      <c r="W41" s="74">
        <f t="shared" si="14"/>
        <v>23.2971</v>
      </c>
      <c r="X41" s="74">
        <f t="shared" si="15"/>
        <v>1.3899999999999999E-2</v>
      </c>
      <c r="Y41" s="74">
        <f t="shared" si="16"/>
        <v>23.283200000000001</v>
      </c>
      <c r="Z41" s="75" t="e">
        <f>VLOOKUP(A41,Enforcements!$C$3:$J$12,8,0)</f>
        <v>#N/A</v>
      </c>
      <c r="AA41" s="75" t="e">
        <f>VLOOKUP(A41,Enforcements!$C$3:$J$12,3,0)</f>
        <v>#N/A</v>
      </c>
    </row>
    <row r="42" spans="1:27" s="2" customFormat="1" x14ac:dyDescent="0.25">
      <c r="A42" s="61" t="s">
        <v>240</v>
      </c>
      <c r="B42" s="61">
        <v>4016</v>
      </c>
      <c r="C42" s="61" t="s">
        <v>64</v>
      </c>
      <c r="D42" s="61" t="s">
        <v>171</v>
      </c>
      <c r="E42" s="30">
        <v>42503.358159722222</v>
      </c>
      <c r="F42" s="30">
        <v>42503.359849537039</v>
      </c>
      <c r="G42" s="38">
        <v>2</v>
      </c>
      <c r="H42" s="30" t="s">
        <v>66</v>
      </c>
      <c r="I42" s="30">
        <v>42503.389490740738</v>
      </c>
      <c r="J42" s="61">
        <v>0</v>
      </c>
      <c r="K42" s="61" t="str">
        <f t="shared" si="17"/>
        <v>4015/4016</v>
      </c>
      <c r="L42" s="61" t="str">
        <f>VLOOKUP(A42,'Trips&amp;Operators'!$C$1:$E$9999,3,FALSE)</f>
        <v>LEDERHAUSE</v>
      </c>
      <c r="M42" s="12">
        <f t="shared" si="18"/>
        <v>2.9641203698702157E-2</v>
      </c>
      <c r="N42" s="13">
        <f t="shared" si="22"/>
        <v>42.683333326131105</v>
      </c>
      <c r="O42" s="13"/>
      <c r="P42" s="13"/>
      <c r="Q42" s="62"/>
      <c r="R42" s="62"/>
      <c r="T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08:34:45-0600',mode:absolute,to:'2016-05-13 09:21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2" s="74" t="str">
        <f t="shared" si="20"/>
        <v>N</v>
      </c>
      <c r="V42" s="74">
        <f t="shared" si="21"/>
        <v>1</v>
      </c>
      <c r="W42" s="74">
        <f t="shared" si="14"/>
        <v>4.3799999999999999E-2</v>
      </c>
      <c r="X42" s="74">
        <f t="shared" si="15"/>
        <v>23.331</v>
      </c>
      <c r="Y42" s="74">
        <f t="shared" si="16"/>
        <v>23.287199999999999</v>
      </c>
      <c r="Z42" s="75" t="e">
        <f>VLOOKUP(A42,Enforcements!$C$3:$J$12,8,0)</f>
        <v>#N/A</v>
      </c>
      <c r="AA42" s="75" t="e">
        <f>VLOOKUP(A42,Enforcements!$C$3:$J$12,3,0)</f>
        <v>#N/A</v>
      </c>
    </row>
    <row r="43" spans="1:27" s="2" customFormat="1" x14ac:dyDescent="0.25">
      <c r="A43" s="61" t="s">
        <v>241</v>
      </c>
      <c r="B43" s="61">
        <v>4015</v>
      </c>
      <c r="C43" s="61" t="s">
        <v>64</v>
      </c>
      <c r="D43" s="61" t="s">
        <v>84</v>
      </c>
      <c r="E43" s="30">
        <v>42503.395196759258</v>
      </c>
      <c r="F43" s="30">
        <v>42503.39607638889</v>
      </c>
      <c r="G43" s="38">
        <v>1</v>
      </c>
      <c r="H43" s="30" t="s">
        <v>112</v>
      </c>
      <c r="I43" s="30">
        <v>42503.429085648146</v>
      </c>
      <c r="J43" s="61">
        <v>0</v>
      </c>
      <c r="K43" s="61" t="str">
        <f t="shared" si="17"/>
        <v>4015/4016</v>
      </c>
      <c r="L43" s="61" t="str">
        <f>VLOOKUP(A43,'Trips&amp;Operators'!$C$1:$E$9999,3,FALSE)</f>
        <v>LEDERHAUSE</v>
      </c>
      <c r="M43" s="12">
        <f t="shared" si="18"/>
        <v>3.3009259255777579E-2</v>
      </c>
      <c r="N43" s="13">
        <f t="shared" si="22"/>
        <v>47.533333328319713</v>
      </c>
      <c r="O43" s="13"/>
      <c r="P43" s="13"/>
      <c r="Q43" s="62"/>
      <c r="R43" s="62"/>
      <c r="T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09:28:05-0600',mode:absolute,to:'2016-05-13 10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3" s="74" t="str">
        <f t="shared" si="20"/>
        <v>N</v>
      </c>
      <c r="V43" s="74">
        <f t="shared" si="21"/>
        <v>1</v>
      </c>
      <c r="W43" s="74">
        <f t="shared" si="14"/>
        <v>23.3</v>
      </c>
      <c r="X43" s="74">
        <f t="shared" si="15"/>
        <v>1.47E-2</v>
      </c>
      <c r="Y43" s="74">
        <f t="shared" si="16"/>
        <v>23.285299999999999</v>
      </c>
      <c r="Z43" s="75" t="e">
        <f>VLOOKUP(A43,Enforcements!$C$3:$J$12,8,0)</f>
        <v>#N/A</v>
      </c>
      <c r="AA43" s="75" t="e">
        <f>VLOOKUP(A43,Enforcements!$C$3:$J$12,3,0)</f>
        <v>#N/A</v>
      </c>
    </row>
    <row r="44" spans="1:27" s="2" customFormat="1" x14ac:dyDescent="0.25">
      <c r="A44" s="61" t="s">
        <v>242</v>
      </c>
      <c r="B44" s="61">
        <v>4009</v>
      </c>
      <c r="C44" s="61" t="s">
        <v>64</v>
      </c>
      <c r="D44" s="61" t="s">
        <v>243</v>
      </c>
      <c r="E44" s="30">
        <v>42503.37164351852</v>
      </c>
      <c r="F44" s="30">
        <v>42503.37259259259</v>
      </c>
      <c r="G44" s="38">
        <v>1</v>
      </c>
      <c r="H44" s="30" t="s">
        <v>87</v>
      </c>
      <c r="I44" s="30">
        <v>42503.39980324074</v>
      </c>
      <c r="J44" s="61">
        <v>0</v>
      </c>
      <c r="K44" s="61" t="str">
        <f t="shared" si="17"/>
        <v>4009/4010</v>
      </c>
      <c r="L44" s="61" t="str">
        <f>VLOOKUP(A44,'Trips&amp;Operators'!$C$1:$E$9999,3,FALSE)</f>
        <v>SANTIZO</v>
      </c>
      <c r="M44" s="12">
        <f t="shared" si="18"/>
        <v>2.7210648149775807E-2</v>
      </c>
      <c r="N44" s="13">
        <f t="shared" si="22"/>
        <v>39.183333335677162</v>
      </c>
      <c r="O44" s="13"/>
      <c r="P44" s="13"/>
      <c r="Q44" s="62"/>
      <c r="R44" s="62"/>
      <c r="T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08:54:10-0600',mode:absolute,to:'2016-05-13 09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4" s="74" t="str">
        <f t="shared" si="20"/>
        <v>N</v>
      </c>
      <c r="V44" s="74">
        <f t="shared" si="21"/>
        <v>1</v>
      </c>
      <c r="W44" s="74">
        <f t="shared" si="14"/>
        <v>5.4399999999999997E-2</v>
      </c>
      <c r="X44" s="74">
        <f t="shared" si="15"/>
        <v>23.329899999999999</v>
      </c>
      <c r="Y44" s="74">
        <f t="shared" si="16"/>
        <v>23.275499999999997</v>
      </c>
      <c r="Z44" s="75" t="e">
        <f>VLOOKUP(A44,Enforcements!$C$3:$J$12,8,0)</f>
        <v>#N/A</v>
      </c>
      <c r="AA44" s="75" t="e">
        <f>VLOOKUP(A44,Enforcements!$C$3:$J$12,3,0)</f>
        <v>#N/A</v>
      </c>
    </row>
    <row r="45" spans="1:27" s="2" customFormat="1" x14ac:dyDescent="0.25">
      <c r="A45" s="61" t="s">
        <v>244</v>
      </c>
      <c r="B45" s="61">
        <v>4010</v>
      </c>
      <c r="C45" s="61" t="s">
        <v>64</v>
      </c>
      <c r="D45" s="61" t="s">
        <v>94</v>
      </c>
      <c r="E45" s="30">
        <v>42503.409421296295</v>
      </c>
      <c r="F45" s="30">
        <v>42503.410162037035</v>
      </c>
      <c r="G45" s="38">
        <v>1</v>
      </c>
      <c r="H45" s="30" t="s">
        <v>71</v>
      </c>
      <c r="I45" s="30">
        <v>42503.440208333333</v>
      </c>
      <c r="J45" s="61">
        <v>0</v>
      </c>
      <c r="K45" s="61" t="str">
        <f t="shared" si="17"/>
        <v>4009/4010</v>
      </c>
      <c r="L45" s="61" t="str">
        <f>VLOOKUP(A45,'Trips&amp;Operators'!$C$1:$E$9999,3,FALSE)</f>
        <v>SANTIZO</v>
      </c>
      <c r="M45" s="12">
        <f t="shared" si="18"/>
        <v>3.0046296298678499E-2</v>
      </c>
      <c r="N45" s="13">
        <f t="shared" si="22"/>
        <v>43.266666670097038</v>
      </c>
      <c r="O45" s="13"/>
      <c r="P45" s="13"/>
      <c r="Q45" s="62"/>
      <c r="R45" s="62"/>
      <c r="T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09:48:34-0600',mode:absolute,to:'2016-05-13 10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5" s="74" t="str">
        <f t="shared" si="20"/>
        <v>N</v>
      </c>
      <c r="V45" s="74">
        <f t="shared" si="21"/>
        <v>1</v>
      </c>
      <c r="W45" s="74">
        <f t="shared" si="14"/>
        <v>23.297999999999998</v>
      </c>
      <c r="X45" s="74">
        <f t="shared" si="15"/>
        <v>1.49E-2</v>
      </c>
      <c r="Y45" s="74">
        <f t="shared" si="16"/>
        <v>23.283099999999997</v>
      </c>
      <c r="Z45" s="75" t="e">
        <f>VLOOKUP(A45,Enforcements!$C$3:$J$12,8,0)</f>
        <v>#N/A</v>
      </c>
      <c r="AA45" s="75" t="e">
        <f>VLOOKUP(A45,Enforcements!$C$3:$J$12,3,0)</f>
        <v>#N/A</v>
      </c>
    </row>
    <row r="46" spans="1:27" s="2" customFormat="1" x14ac:dyDescent="0.25">
      <c r="A46" s="61" t="s">
        <v>245</v>
      </c>
      <c r="B46" s="61">
        <v>4025</v>
      </c>
      <c r="C46" s="61" t="s">
        <v>64</v>
      </c>
      <c r="D46" s="61" t="s">
        <v>246</v>
      </c>
      <c r="E46" s="30">
        <v>42503.38009259259</v>
      </c>
      <c r="F46" s="30">
        <v>42503.384722222225</v>
      </c>
      <c r="G46" s="38">
        <v>6</v>
      </c>
      <c r="H46" s="30" t="s">
        <v>247</v>
      </c>
      <c r="I46" s="30">
        <v>42503.410462962966</v>
      </c>
      <c r="J46" s="61">
        <v>0</v>
      </c>
      <c r="K46" s="61" t="str">
        <f t="shared" si="17"/>
        <v>4025/4026</v>
      </c>
      <c r="L46" s="61" t="str">
        <f>VLOOKUP(A46,'Trips&amp;Operators'!$C$1:$E$9999,3,FALSE)</f>
        <v>CHANDLER</v>
      </c>
      <c r="M46" s="12">
        <f t="shared" si="18"/>
        <v>2.5740740740729962E-2</v>
      </c>
      <c r="N46" s="13">
        <f t="shared" si="22"/>
        <v>37.066666666651145</v>
      </c>
      <c r="O46" s="13"/>
      <c r="P46" s="13"/>
      <c r="Q46" s="62"/>
      <c r="R46" s="62"/>
      <c r="T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09:06:20-0600',mode:absolute,to:'2016-05-13 09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6" s="74" t="str">
        <f t="shared" si="20"/>
        <v>N</v>
      </c>
      <c r="V46" s="74">
        <f t="shared" si="21"/>
        <v>1</v>
      </c>
      <c r="W46" s="74">
        <f t="shared" si="14"/>
        <v>4.4900000000000002E-2</v>
      </c>
      <c r="X46" s="74">
        <f t="shared" si="15"/>
        <v>23.3325</v>
      </c>
      <c r="Y46" s="74">
        <f t="shared" si="16"/>
        <v>23.287600000000001</v>
      </c>
      <c r="Z46" s="75" t="e">
        <f>VLOOKUP(A46,Enforcements!$C$3:$J$12,8,0)</f>
        <v>#N/A</v>
      </c>
      <c r="AA46" s="75" t="e">
        <f>VLOOKUP(A46,Enforcements!$C$3:$J$12,3,0)</f>
        <v>#N/A</v>
      </c>
    </row>
    <row r="47" spans="1:27" s="2" customFormat="1" x14ac:dyDescent="0.25">
      <c r="A47" s="61" t="s">
        <v>248</v>
      </c>
      <c r="B47" s="61">
        <v>4026</v>
      </c>
      <c r="C47" s="61" t="s">
        <v>64</v>
      </c>
      <c r="D47" s="61" t="s">
        <v>86</v>
      </c>
      <c r="E47" s="30">
        <v>42503.415891203702</v>
      </c>
      <c r="F47" s="30">
        <v>42503.417569444442</v>
      </c>
      <c r="G47" s="38">
        <v>2</v>
      </c>
      <c r="H47" s="30" t="s">
        <v>88</v>
      </c>
      <c r="I47" s="30">
        <v>42503.450694444444</v>
      </c>
      <c r="J47" s="61">
        <v>0</v>
      </c>
      <c r="K47" s="61" t="str">
        <f t="shared" si="17"/>
        <v>4025/4026</v>
      </c>
      <c r="L47" s="61" t="str">
        <f>VLOOKUP(A47,'Trips&amp;Operators'!$C$1:$E$9999,3,FALSE)</f>
        <v>CHANDLER</v>
      </c>
      <c r="M47" s="12">
        <f t="shared" si="18"/>
        <v>3.312500000174623E-2</v>
      </c>
      <c r="N47" s="13">
        <f t="shared" si="22"/>
        <v>47.700000002514571</v>
      </c>
      <c r="O47" s="13"/>
      <c r="P47" s="13"/>
      <c r="Q47" s="62"/>
      <c r="R47" s="62"/>
      <c r="T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09:57:53-0600',mode:absolute,to:'2016-05-13 10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7" s="74" t="str">
        <f t="shared" si="20"/>
        <v>N</v>
      </c>
      <c r="V47" s="74">
        <f t="shared" si="21"/>
        <v>1</v>
      </c>
      <c r="W47" s="74">
        <f t="shared" si="14"/>
        <v>23.299800000000001</v>
      </c>
      <c r="X47" s="74">
        <f t="shared" si="15"/>
        <v>1.52E-2</v>
      </c>
      <c r="Y47" s="74">
        <f t="shared" si="16"/>
        <v>23.284600000000001</v>
      </c>
      <c r="Z47" s="75" t="e">
        <f>VLOOKUP(A47,Enforcements!$C$3:$J$12,8,0)</f>
        <v>#N/A</v>
      </c>
      <c r="AA47" s="75" t="e">
        <f>VLOOKUP(A47,Enforcements!$C$3:$J$12,3,0)</f>
        <v>#N/A</v>
      </c>
    </row>
    <row r="48" spans="1:27" s="2" customFormat="1" x14ac:dyDescent="0.25">
      <c r="A48" s="61" t="s">
        <v>249</v>
      </c>
      <c r="B48" s="61">
        <v>4038</v>
      </c>
      <c r="C48" s="61" t="s">
        <v>64</v>
      </c>
      <c r="D48" s="61" t="s">
        <v>113</v>
      </c>
      <c r="E48" s="30">
        <v>42503.388391203705</v>
      </c>
      <c r="F48" s="30">
        <v>42503.38925925926</v>
      </c>
      <c r="G48" s="38">
        <v>1</v>
      </c>
      <c r="H48" s="30" t="s">
        <v>65</v>
      </c>
      <c r="I48" s="30">
        <v>42503.421342592592</v>
      </c>
      <c r="J48" s="61">
        <v>1</v>
      </c>
      <c r="K48" s="61" t="str">
        <f t="shared" si="17"/>
        <v>4037/4038</v>
      </c>
      <c r="L48" s="61" t="str">
        <f>VLOOKUP(A48,'Trips&amp;Operators'!$C$1:$E$9999,3,FALSE)</f>
        <v>NEWELL</v>
      </c>
      <c r="M48" s="12">
        <f t="shared" si="18"/>
        <v>3.2083333331684116E-2</v>
      </c>
      <c r="N48" s="13">
        <f t="shared" si="22"/>
        <v>46.199999997625127</v>
      </c>
      <c r="O48" s="13"/>
      <c r="P48" s="13"/>
      <c r="Q48" s="62"/>
      <c r="R48" s="62"/>
      <c r="T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09:18:17-0600',mode:absolute,to:'2016-05-13 10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8" s="74" t="str">
        <f t="shared" si="20"/>
        <v>N</v>
      </c>
      <c r="V48" s="74">
        <f t="shared" si="21"/>
        <v>1</v>
      </c>
      <c r="W48" s="74">
        <f t="shared" si="14"/>
        <v>4.6199999999999998E-2</v>
      </c>
      <c r="X48" s="74">
        <f t="shared" si="15"/>
        <v>23.329699999999999</v>
      </c>
      <c r="Y48" s="74">
        <f t="shared" si="16"/>
        <v>23.2835</v>
      </c>
      <c r="Z48" s="75" t="e">
        <f>VLOOKUP(A48,Enforcements!$C$3:$J$12,8,0)</f>
        <v>#N/A</v>
      </c>
      <c r="AA48" s="75" t="e">
        <f>VLOOKUP(A48,Enforcements!$C$3:$J$12,3,0)</f>
        <v>#N/A</v>
      </c>
    </row>
    <row r="49" spans="1:27" s="2" customFormat="1" x14ac:dyDescent="0.25">
      <c r="A49" s="61" t="s">
        <v>250</v>
      </c>
      <c r="B49" s="61">
        <v>4037</v>
      </c>
      <c r="C49" s="61" t="s">
        <v>64</v>
      </c>
      <c r="D49" s="61" t="s">
        <v>168</v>
      </c>
      <c r="E49" s="30">
        <v>42503.431597222225</v>
      </c>
      <c r="F49" s="30">
        <v>42503.432638888888</v>
      </c>
      <c r="G49" s="38">
        <v>1</v>
      </c>
      <c r="H49" s="30" t="s">
        <v>79</v>
      </c>
      <c r="I49" s="30">
        <v>42503.460706018515</v>
      </c>
      <c r="J49" s="61">
        <v>0</v>
      </c>
      <c r="K49" s="61" t="str">
        <f t="shared" si="17"/>
        <v>4037/4038</v>
      </c>
      <c r="L49" s="61" t="str">
        <f>VLOOKUP(A49,'Trips&amp;Operators'!$C$1:$E$9999,3,FALSE)</f>
        <v>NEWELL</v>
      </c>
      <c r="M49" s="12">
        <f t="shared" si="18"/>
        <v>2.806712962774327E-2</v>
      </c>
      <c r="N49" s="13">
        <f t="shared" si="22"/>
        <v>40.416666663950309</v>
      </c>
      <c r="O49" s="13"/>
      <c r="P49" s="13"/>
      <c r="Q49" s="62"/>
      <c r="R49" s="62"/>
      <c r="T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10:20:30-0600',mode:absolute,to:'2016-05-13 11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49" s="74" t="str">
        <f t="shared" si="20"/>
        <v>N</v>
      </c>
      <c r="V49" s="74">
        <f t="shared" si="21"/>
        <v>1</v>
      </c>
      <c r="W49" s="74">
        <f t="shared" si="14"/>
        <v>23.2973</v>
      </c>
      <c r="X49" s="74">
        <f t="shared" si="15"/>
        <v>1.4500000000000001E-2</v>
      </c>
      <c r="Y49" s="74">
        <f t="shared" si="16"/>
        <v>23.282799999999998</v>
      </c>
      <c r="Z49" s="75" t="e">
        <f>VLOOKUP(A49,Enforcements!$C$3:$J$12,8,0)</f>
        <v>#N/A</v>
      </c>
      <c r="AA49" s="75" t="e">
        <f>VLOOKUP(A49,Enforcements!$C$3:$J$12,3,0)</f>
        <v>#N/A</v>
      </c>
    </row>
    <row r="50" spans="1:27" s="2" customFormat="1" x14ac:dyDescent="0.25">
      <c r="A50" s="61" t="s">
        <v>251</v>
      </c>
      <c r="B50" s="61">
        <v>4020</v>
      </c>
      <c r="C50" s="61" t="s">
        <v>64</v>
      </c>
      <c r="D50" s="61" t="s">
        <v>159</v>
      </c>
      <c r="E50" s="30">
        <v>42503.403240740743</v>
      </c>
      <c r="F50" s="30">
        <v>42503.404178240744</v>
      </c>
      <c r="G50" s="38">
        <v>1</v>
      </c>
      <c r="H50" s="30" t="s">
        <v>252</v>
      </c>
      <c r="I50" s="30">
        <v>42503.431238425925</v>
      </c>
      <c r="J50" s="61">
        <v>1</v>
      </c>
      <c r="K50" s="61" t="str">
        <f t="shared" si="17"/>
        <v>4019/4020</v>
      </c>
      <c r="L50" s="61" t="str">
        <f>VLOOKUP(A50,'Trips&amp;Operators'!$C$1:$E$9999,3,FALSE)</f>
        <v>STARKS</v>
      </c>
      <c r="M50" s="12">
        <f t="shared" si="18"/>
        <v>2.7060185180744156E-2</v>
      </c>
      <c r="N50" s="13">
        <f t="shared" si="22"/>
        <v>38.966666660271585</v>
      </c>
      <c r="O50" s="13"/>
      <c r="P50" s="13"/>
      <c r="Q50" s="62"/>
      <c r="R50" s="62"/>
      <c r="T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09:39:40-0600',mode:absolute,to:'2016-05-13 10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0" s="74" t="str">
        <f t="shared" si="20"/>
        <v>N</v>
      </c>
      <c r="V50" s="74">
        <f t="shared" si="21"/>
        <v>1</v>
      </c>
      <c r="W50" s="74">
        <f t="shared" si="14"/>
        <v>4.4400000000000002E-2</v>
      </c>
      <c r="X50" s="74">
        <f t="shared" si="15"/>
        <v>23.333400000000001</v>
      </c>
      <c r="Y50" s="74">
        <f t="shared" si="16"/>
        <v>23.289000000000001</v>
      </c>
      <c r="Z50" s="75" t="e">
        <f>VLOOKUP(A50,Enforcements!$C$3:$J$12,8,0)</f>
        <v>#N/A</v>
      </c>
      <c r="AA50" s="75" t="e">
        <f>VLOOKUP(A50,Enforcements!$C$3:$J$12,3,0)</f>
        <v>#N/A</v>
      </c>
    </row>
    <row r="51" spans="1:27" s="2" customFormat="1" x14ac:dyDescent="0.25">
      <c r="A51" s="61" t="s">
        <v>253</v>
      </c>
      <c r="B51" s="61">
        <v>4019</v>
      </c>
      <c r="C51" s="61" t="s">
        <v>64</v>
      </c>
      <c r="D51" s="61" t="s">
        <v>254</v>
      </c>
      <c r="E51" s="30">
        <v>42503.44059027778</v>
      </c>
      <c r="F51" s="30">
        <v>42503.44158564815</v>
      </c>
      <c r="G51" s="38">
        <v>1</v>
      </c>
      <c r="H51" s="30" t="s">
        <v>111</v>
      </c>
      <c r="I51" s="30">
        <v>42503.471759259257</v>
      </c>
      <c r="J51" s="61">
        <v>2</v>
      </c>
      <c r="K51" s="61" t="str">
        <f t="shared" si="17"/>
        <v>4019/4020</v>
      </c>
      <c r="L51" s="61" t="str">
        <f>VLOOKUP(A51,'Trips&amp;Operators'!$C$1:$E$9999,3,FALSE)</f>
        <v>STARKS</v>
      </c>
      <c r="M51" s="12">
        <f t="shared" si="18"/>
        <v>3.0173611106874887E-2</v>
      </c>
      <c r="N51" s="13">
        <f t="shared" si="22"/>
        <v>43.449999993899837</v>
      </c>
      <c r="O51" s="13"/>
      <c r="P51" s="13"/>
      <c r="Q51" s="62"/>
      <c r="R51" s="62"/>
      <c r="T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10:33:27-0600',mode:absolute,to:'2016-05-13 11:20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1" s="74" t="str">
        <f t="shared" si="20"/>
        <v>N</v>
      </c>
      <c r="V51" s="74">
        <f t="shared" si="21"/>
        <v>1</v>
      </c>
      <c r="W51" s="74">
        <f t="shared" si="14"/>
        <v>23.301500000000001</v>
      </c>
      <c r="X51" s="74">
        <f t="shared" si="15"/>
        <v>1.34E-2</v>
      </c>
      <c r="Y51" s="74">
        <f t="shared" si="16"/>
        <v>23.2881</v>
      </c>
      <c r="Z51" s="75" t="e">
        <f>VLOOKUP(A51,Enforcements!$C$3:$J$12,8,0)</f>
        <v>#N/A</v>
      </c>
      <c r="AA51" s="75" t="e">
        <f>VLOOKUP(A51,Enforcements!$C$3:$J$12,3,0)</f>
        <v>#N/A</v>
      </c>
    </row>
    <row r="52" spans="1:27" s="2" customFormat="1" x14ac:dyDescent="0.25">
      <c r="A52" s="61" t="s">
        <v>255</v>
      </c>
      <c r="B52" s="61">
        <v>4040</v>
      </c>
      <c r="C52" s="61" t="s">
        <v>64</v>
      </c>
      <c r="D52" s="61" t="s">
        <v>91</v>
      </c>
      <c r="E52" s="30">
        <v>42503.415069444447</v>
      </c>
      <c r="F52" s="30">
        <v>42503.415949074071</v>
      </c>
      <c r="G52" s="38">
        <v>1</v>
      </c>
      <c r="H52" s="30" t="s">
        <v>65</v>
      </c>
      <c r="I52" s="30">
        <v>42503.441250000003</v>
      </c>
      <c r="J52" s="61">
        <v>1</v>
      </c>
      <c r="K52" s="61" t="str">
        <f t="shared" si="17"/>
        <v>4039/4040</v>
      </c>
      <c r="L52" s="61" t="str">
        <f>VLOOKUP(A52,'Trips&amp;Operators'!$C$1:$E$9999,3,FALSE)</f>
        <v>MALAVE</v>
      </c>
      <c r="M52" s="12">
        <f t="shared" si="18"/>
        <v>2.5300925932242535E-2</v>
      </c>
      <c r="N52" s="13">
        <f t="shared" si="22"/>
        <v>36.43333334242925</v>
      </c>
      <c r="O52" s="13"/>
      <c r="P52" s="13"/>
      <c r="Q52" s="62"/>
      <c r="R52" s="62"/>
      <c r="T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09:56:42-0600',mode:absolute,to:'2016-05-13 10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2" s="74" t="str">
        <f t="shared" si="20"/>
        <v>N</v>
      </c>
      <c r="V52" s="74">
        <f t="shared" si="21"/>
        <v>1</v>
      </c>
      <c r="W52" s="74">
        <f t="shared" si="14"/>
        <v>4.6399999999999997E-2</v>
      </c>
      <c r="X52" s="74">
        <f t="shared" si="15"/>
        <v>23.329699999999999</v>
      </c>
      <c r="Y52" s="74">
        <f t="shared" si="16"/>
        <v>23.283300000000001</v>
      </c>
      <c r="Z52" s="75" t="e">
        <f>VLOOKUP(A52,Enforcements!$C$3:$J$12,8,0)</f>
        <v>#N/A</v>
      </c>
      <c r="AA52" s="75" t="e">
        <f>VLOOKUP(A52,Enforcements!$C$3:$J$12,3,0)</f>
        <v>#N/A</v>
      </c>
    </row>
    <row r="53" spans="1:27" s="2" customFormat="1" x14ac:dyDescent="0.25">
      <c r="A53" s="61" t="s">
        <v>256</v>
      </c>
      <c r="B53" s="61">
        <v>4039</v>
      </c>
      <c r="C53" s="61" t="s">
        <v>64</v>
      </c>
      <c r="D53" s="61" t="s">
        <v>173</v>
      </c>
      <c r="E53" s="30">
        <v>42503.453877314816</v>
      </c>
      <c r="F53" s="30">
        <v>42503.455763888887</v>
      </c>
      <c r="G53" s="38">
        <v>2</v>
      </c>
      <c r="H53" s="30" t="s">
        <v>93</v>
      </c>
      <c r="I53" s="30">
        <v>42503.480891203704</v>
      </c>
      <c r="J53" s="61">
        <v>0</v>
      </c>
      <c r="K53" s="61" t="str">
        <f t="shared" si="17"/>
        <v>4039/4040</v>
      </c>
      <c r="L53" s="61" t="str">
        <f>VLOOKUP(A53,'Trips&amp;Operators'!$C$1:$E$9999,3,FALSE)</f>
        <v>MALAVE</v>
      </c>
      <c r="M53" s="12">
        <f t="shared" si="18"/>
        <v>2.5127314816927537E-2</v>
      </c>
      <c r="N53" s="13">
        <f t="shared" si="22"/>
        <v>36.183333336375654</v>
      </c>
      <c r="O53" s="13"/>
      <c r="P53" s="13"/>
      <c r="Q53" s="62"/>
      <c r="R53" s="62"/>
      <c r="T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10:52:35-0600',mode:absolute,to:'2016-05-13 11:33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3" s="74" t="str">
        <f t="shared" si="20"/>
        <v>N</v>
      </c>
      <c r="V53" s="74">
        <f t="shared" si="21"/>
        <v>1</v>
      </c>
      <c r="W53" s="74">
        <f t="shared" si="14"/>
        <v>23.296900000000001</v>
      </c>
      <c r="X53" s="74">
        <f t="shared" si="15"/>
        <v>1.61E-2</v>
      </c>
      <c r="Y53" s="74">
        <f t="shared" si="16"/>
        <v>23.280799999999999</v>
      </c>
      <c r="Z53" s="75" t="e">
        <f>VLOOKUP(A53,Enforcements!$C$3:$J$12,8,0)</f>
        <v>#N/A</v>
      </c>
      <c r="AA53" s="75" t="e">
        <f>VLOOKUP(A53,Enforcements!$C$3:$J$12,3,0)</f>
        <v>#N/A</v>
      </c>
    </row>
    <row r="54" spans="1:27" s="2" customFormat="1" x14ac:dyDescent="0.25">
      <c r="A54" s="61" t="s">
        <v>257</v>
      </c>
      <c r="B54" s="61">
        <v>4044</v>
      </c>
      <c r="C54" s="61" t="s">
        <v>64</v>
      </c>
      <c r="D54" s="61" t="s">
        <v>85</v>
      </c>
      <c r="E54" s="30">
        <v>42503.42224537037</v>
      </c>
      <c r="F54" s="30">
        <v>42503.424120370371</v>
      </c>
      <c r="G54" s="38">
        <v>2</v>
      </c>
      <c r="H54" s="30" t="s">
        <v>258</v>
      </c>
      <c r="I54" s="30">
        <v>42503.452199074076</v>
      </c>
      <c r="J54" s="61">
        <v>0</v>
      </c>
      <c r="K54" s="61" t="str">
        <f t="shared" si="17"/>
        <v>4043/4044</v>
      </c>
      <c r="L54" s="61" t="str">
        <f>VLOOKUP(A54,'Trips&amp;Operators'!$C$1:$E$9999,3,FALSE)</f>
        <v>CANFIELD</v>
      </c>
      <c r="M54" s="12">
        <f t="shared" si="18"/>
        <v>2.8078703704522923E-2</v>
      </c>
      <c r="N54" s="13">
        <f t="shared" si="22"/>
        <v>40.433333334513009</v>
      </c>
      <c r="O54" s="13"/>
      <c r="P54" s="13"/>
      <c r="Q54" s="62"/>
      <c r="R54" s="62"/>
      <c r="T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10:07:02-0600',mode:absolute,to:'2016-05-13 10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4" s="74" t="str">
        <f t="shared" si="20"/>
        <v>N</v>
      </c>
      <c r="V54" s="74">
        <f t="shared" si="21"/>
        <v>1</v>
      </c>
      <c r="W54" s="74">
        <f t="shared" si="14"/>
        <v>4.53E-2</v>
      </c>
      <c r="X54" s="74">
        <f t="shared" si="15"/>
        <v>23.33</v>
      </c>
      <c r="Y54" s="74">
        <f t="shared" si="16"/>
        <v>23.284699999999997</v>
      </c>
      <c r="Z54" s="75" t="e">
        <f>VLOOKUP(A54,Enforcements!$C$3:$J$12,8,0)</f>
        <v>#N/A</v>
      </c>
      <c r="AA54" s="75" t="e">
        <f>VLOOKUP(A54,Enforcements!$C$3:$J$12,3,0)</f>
        <v>#N/A</v>
      </c>
    </row>
    <row r="55" spans="1:27" s="2" customFormat="1" x14ac:dyDescent="0.25">
      <c r="A55" s="61" t="s">
        <v>259</v>
      </c>
      <c r="B55" s="61">
        <v>4043</v>
      </c>
      <c r="C55" s="61" t="s">
        <v>64</v>
      </c>
      <c r="D55" s="61" t="s">
        <v>78</v>
      </c>
      <c r="E55" s="30">
        <v>42503.456412037034</v>
      </c>
      <c r="F55" s="30">
        <v>42503.457546296297</v>
      </c>
      <c r="G55" s="38">
        <v>1</v>
      </c>
      <c r="H55" s="30" t="s">
        <v>146</v>
      </c>
      <c r="I55" s="30">
        <v>42503.491064814814</v>
      </c>
      <c r="J55" s="61">
        <v>2</v>
      </c>
      <c r="K55" s="61" t="str">
        <f t="shared" si="17"/>
        <v>4043/4044</v>
      </c>
      <c r="L55" s="61" t="str">
        <f>VLOOKUP(A55,'Trips&amp;Operators'!$C$1:$E$9999,3,FALSE)</f>
        <v>CANFIELD</v>
      </c>
      <c r="M55" s="12">
        <f t="shared" si="18"/>
        <v>3.3518518517666962E-2</v>
      </c>
      <c r="N55" s="13">
        <f t="shared" si="22"/>
        <v>48.266666665440425</v>
      </c>
      <c r="O55" s="13"/>
      <c r="P55" s="13"/>
      <c r="Q55" s="62"/>
      <c r="R55" s="62"/>
      <c r="T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10:56:14-0600',mode:absolute,to:'2016-05-13 11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5" s="74" t="str">
        <f t="shared" si="20"/>
        <v>N</v>
      </c>
      <c r="V55" s="74">
        <f t="shared" si="21"/>
        <v>1</v>
      </c>
      <c r="W55" s="74">
        <f t="shared" si="14"/>
        <v>23.2989</v>
      </c>
      <c r="X55" s="74">
        <v>0.20680000000000001</v>
      </c>
      <c r="Y55" s="74">
        <f t="shared" si="16"/>
        <v>23.092099999999999</v>
      </c>
      <c r="Z55" s="75">
        <f>VLOOKUP(A55,Enforcements!$C$3:$J$12,8,0)</f>
        <v>127562</v>
      </c>
      <c r="AA55" s="75" t="str">
        <f>VLOOKUP(A55,Enforcements!$C$3:$J$12,3,0)</f>
        <v>GRADE CROSSING</v>
      </c>
    </row>
    <row r="56" spans="1:27" s="2" customFormat="1" x14ac:dyDescent="0.25">
      <c r="A56" s="61" t="s">
        <v>260</v>
      </c>
      <c r="B56" s="61">
        <v>4016</v>
      </c>
      <c r="C56" s="61" t="s">
        <v>64</v>
      </c>
      <c r="D56" s="61" t="s">
        <v>261</v>
      </c>
      <c r="E56" s="30">
        <v>42503.433055555557</v>
      </c>
      <c r="F56" s="30">
        <v>42503.433888888889</v>
      </c>
      <c r="G56" s="38">
        <v>1</v>
      </c>
      <c r="H56" s="30" t="s">
        <v>135</v>
      </c>
      <c r="I56" s="30">
        <v>42503.462060185186</v>
      </c>
      <c r="J56" s="61">
        <v>0</v>
      </c>
      <c r="K56" s="61" t="str">
        <f t="shared" si="17"/>
        <v>4015/4016</v>
      </c>
      <c r="L56" s="61" t="str">
        <f>VLOOKUP(A56,'Trips&amp;Operators'!$C$1:$E$9999,3,FALSE)</f>
        <v>YORK</v>
      </c>
      <c r="M56" s="12">
        <f t="shared" si="18"/>
        <v>2.8171296296932269E-2</v>
      </c>
      <c r="N56" s="13">
        <f t="shared" si="22"/>
        <v>40.566666667582467</v>
      </c>
      <c r="O56" s="13"/>
      <c r="P56" s="13"/>
      <c r="Q56" s="62"/>
      <c r="R56" s="62"/>
      <c r="T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10:22:36-0600',mode:absolute,to:'2016-05-13 11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6" s="74" t="str">
        <f t="shared" si="20"/>
        <v>N</v>
      </c>
      <c r="V56" s="74">
        <f t="shared" si="21"/>
        <v>1</v>
      </c>
      <c r="W56" s="74">
        <f t="shared" si="14"/>
        <v>4.5999999999999999E-2</v>
      </c>
      <c r="X56" s="74">
        <f t="shared" ref="X56:X87" si="23">RIGHT(H56,LEN(H56)-4)/10000</f>
        <v>23.330100000000002</v>
      </c>
      <c r="Y56" s="74">
        <f t="shared" si="16"/>
        <v>23.284100000000002</v>
      </c>
      <c r="Z56" s="75" t="e">
        <f>VLOOKUP(A56,Enforcements!$C$3:$J$12,8,0)</f>
        <v>#N/A</v>
      </c>
      <c r="AA56" s="75" t="e">
        <f>VLOOKUP(A56,Enforcements!$C$3:$J$12,3,0)</f>
        <v>#N/A</v>
      </c>
    </row>
    <row r="57" spans="1:27" s="2" customFormat="1" x14ac:dyDescent="0.25">
      <c r="A57" s="61" t="s">
        <v>262</v>
      </c>
      <c r="B57" s="61">
        <v>4015</v>
      </c>
      <c r="C57" s="61" t="s">
        <v>64</v>
      </c>
      <c r="D57" s="61" t="s">
        <v>94</v>
      </c>
      <c r="E57" s="30">
        <v>42503.473310185182</v>
      </c>
      <c r="F57" s="30">
        <v>42503.474328703705</v>
      </c>
      <c r="G57" s="38">
        <v>1</v>
      </c>
      <c r="H57" s="30" t="s">
        <v>263</v>
      </c>
      <c r="I57" s="30">
        <v>42503.502847222226</v>
      </c>
      <c r="J57" s="61">
        <v>1</v>
      </c>
      <c r="K57" s="61" t="str">
        <f t="shared" si="17"/>
        <v>4015/4016</v>
      </c>
      <c r="L57" s="61" t="str">
        <f>VLOOKUP(A57,'Trips&amp;Operators'!$C$1:$E$9999,3,FALSE)</f>
        <v>YORK</v>
      </c>
      <c r="M57" s="12">
        <f t="shared" si="18"/>
        <v>2.8518518520286307E-2</v>
      </c>
      <c r="N57" s="13">
        <f t="shared" si="22"/>
        <v>41.066666669212282</v>
      </c>
      <c r="O57" s="13"/>
      <c r="P57" s="13"/>
      <c r="Q57" s="62"/>
      <c r="R57" s="62"/>
      <c r="T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11:20:34-0600',mode:absolute,to:'2016-05-13 12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7" s="74" t="str">
        <f t="shared" si="20"/>
        <v>N</v>
      </c>
      <c r="V57" s="74">
        <f t="shared" si="21"/>
        <v>1</v>
      </c>
      <c r="W57" s="74">
        <f t="shared" si="14"/>
        <v>23.297999999999998</v>
      </c>
      <c r="X57" s="74">
        <f t="shared" si="23"/>
        <v>1.78E-2</v>
      </c>
      <c r="Y57" s="74">
        <f t="shared" si="16"/>
        <v>23.280199999999997</v>
      </c>
      <c r="Z57" s="75" t="e">
        <f>VLOOKUP(A57,Enforcements!$C$3:$J$12,8,0)</f>
        <v>#N/A</v>
      </c>
      <c r="AA57" s="75" t="e">
        <f>VLOOKUP(A57,Enforcements!$C$3:$J$12,3,0)</f>
        <v>#N/A</v>
      </c>
    </row>
    <row r="58" spans="1:27" s="2" customFormat="1" x14ac:dyDescent="0.25">
      <c r="A58" s="61" t="s">
        <v>264</v>
      </c>
      <c r="B58" s="61">
        <v>4009</v>
      </c>
      <c r="C58" s="61" t="s">
        <v>64</v>
      </c>
      <c r="D58" s="61" t="s">
        <v>91</v>
      </c>
      <c r="E58" s="30">
        <v>42503.443055555559</v>
      </c>
      <c r="F58" s="30">
        <v>42503.444502314815</v>
      </c>
      <c r="G58" s="38">
        <v>2</v>
      </c>
      <c r="H58" s="30" t="s">
        <v>66</v>
      </c>
      <c r="I58" s="30">
        <v>42503.472974537035</v>
      </c>
      <c r="J58" s="61">
        <v>0</v>
      </c>
      <c r="K58" s="61" t="str">
        <f t="shared" si="17"/>
        <v>4009/4010</v>
      </c>
      <c r="L58" s="61" t="str">
        <f>VLOOKUP(A58,'Trips&amp;Operators'!$C$1:$E$9999,3,FALSE)</f>
        <v>ADANE</v>
      </c>
      <c r="M58" s="12">
        <f t="shared" si="18"/>
        <v>2.8472222220443655E-2</v>
      </c>
      <c r="N58" s="13">
        <f t="shared" si="22"/>
        <v>40.999999997438863</v>
      </c>
      <c r="O58" s="13"/>
      <c r="P58" s="13"/>
      <c r="Q58" s="62"/>
      <c r="R58" s="62"/>
      <c r="T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10:37:00-0600',mode:absolute,to:'2016-05-13 11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8" s="74" t="str">
        <f t="shared" si="20"/>
        <v>N</v>
      </c>
      <c r="V58" s="74">
        <f t="shared" si="21"/>
        <v>1</v>
      </c>
      <c r="W58" s="74">
        <f t="shared" si="14"/>
        <v>4.6399999999999997E-2</v>
      </c>
      <c r="X58" s="74">
        <f t="shared" si="23"/>
        <v>23.331</v>
      </c>
      <c r="Y58" s="74">
        <f t="shared" si="16"/>
        <v>23.284600000000001</v>
      </c>
      <c r="Z58" s="75" t="e">
        <f>VLOOKUP(A58,Enforcements!$C$3:$J$12,8,0)</f>
        <v>#N/A</v>
      </c>
      <c r="AA58" s="75" t="e">
        <f>VLOOKUP(A58,Enforcements!$C$3:$J$12,3,0)</f>
        <v>#N/A</v>
      </c>
    </row>
    <row r="59" spans="1:27" s="2" customFormat="1" x14ac:dyDescent="0.25">
      <c r="A59" s="61" t="s">
        <v>265</v>
      </c>
      <c r="B59" s="61">
        <v>4010</v>
      </c>
      <c r="C59" s="61" t="s">
        <v>64</v>
      </c>
      <c r="D59" s="61" t="s">
        <v>266</v>
      </c>
      <c r="E59" s="30">
        <v>42503.483749999999</v>
      </c>
      <c r="F59" s="30">
        <v>42503.484791666669</v>
      </c>
      <c r="G59" s="38">
        <v>1</v>
      </c>
      <c r="H59" s="30" t="s">
        <v>134</v>
      </c>
      <c r="I59" s="30">
        <v>42503.512314814812</v>
      </c>
      <c r="J59" s="61">
        <v>0</v>
      </c>
      <c r="K59" s="61" t="str">
        <f t="shared" si="17"/>
        <v>4009/4010</v>
      </c>
      <c r="L59" s="61" t="str">
        <f>VLOOKUP(A59,'Trips&amp;Operators'!$C$1:$E$9999,3,FALSE)</f>
        <v>ADANE</v>
      </c>
      <c r="M59" s="12">
        <f t="shared" si="18"/>
        <v>2.7523148142790888E-2</v>
      </c>
      <c r="N59" s="13">
        <f t="shared" si="22"/>
        <v>39.633333325618878</v>
      </c>
      <c r="O59" s="13"/>
      <c r="P59" s="13"/>
      <c r="Q59" s="62"/>
      <c r="R59" s="62"/>
      <c r="T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11:35:36-0600',mode:absolute,to:'2016-05-13 12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9" s="74" t="str">
        <f t="shared" si="20"/>
        <v>N</v>
      </c>
      <c r="V59" s="74">
        <f t="shared" si="21"/>
        <v>1</v>
      </c>
      <c r="W59" s="74">
        <f t="shared" si="14"/>
        <v>23.299600000000002</v>
      </c>
      <c r="X59" s="74">
        <f t="shared" si="23"/>
        <v>1.38E-2</v>
      </c>
      <c r="Y59" s="74">
        <f t="shared" si="16"/>
        <v>23.285800000000002</v>
      </c>
      <c r="Z59" s="75" t="e">
        <f>VLOOKUP(A59,Enforcements!$C$3:$J$12,8,0)</f>
        <v>#N/A</v>
      </c>
      <c r="AA59" s="75" t="e">
        <f>VLOOKUP(A59,Enforcements!$C$3:$J$12,3,0)</f>
        <v>#N/A</v>
      </c>
    </row>
    <row r="60" spans="1:27" s="2" customFormat="1" x14ac:dyDescent="0.25">
      <c r="A60" s="61" t="s">
        <v>267</v>
      </c>
      <c r="B60" s="61">
        <v>4025</v>
      </c>
      <c r="C60" s="61" t="s">
        <v>64</v>
      </c>
      <c r="D60" s="61" t="s">
        <v>223</v>
      </c>
      <c r="E60" s="30">
        <v>42503.452592592592</v>
      </c>
      <c r="F60" s="30">
        <v>42503.453993055555</v>
      </c>
      <c r="G60" s="38">
        <v>2</v>
      </c>
      <c r="H60" s="30" t="s">
        <v>87</v>
      </c>
      <c r="I60" s="30">
        <v>42503.48364583333</v>
      </c>
      <c r="J60" s="61">
        <v>0</v>
      </c>
      <c r="K60" s="61" t="str">
        <f t="shared" si="17"/>
        <v>4025/4026</v>
      </c>
      <c r="L60" s="61" t="str">
        <f>VLOOKUP(A60,'Trips&amp;Operators'!$C$1:$E$9999,3,FALSE)</f>
        <v>SANTIZO</v>
      </c>
      <c r="M60" s="12">
        <f t="shared" si="18"/>
        <v>2.9652777775481809E-2</v>
      </c>
      <c r="N60" s="13">
        <f t="shared" si="22"/>
        <v>42.699999996693805</v>
      </c>
      <c r="O60" s="13"/>
      <c r="P60" s="13"/>
      <c r="Q60" s="62"/>
      <c r="R60" s="62"/>
      <c r="T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10:50:44-0600',mode:absolute,to:'2016-05-13 11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0" s="74" t="str">
        <f t="shared" si="20"/>
        <v>N</v>
      </c>
      <c r="V60" s="74">
        <f t="shared" si="21"/>
        <v>1</v>
      </c>
      <c r="W60" s="74">
        <f t="shared" si="14"/>
        <v>4.82E-2</v>
      </c>
      <c r="X60" s="74">
        <f t="shared" si="23"/>
        <v>23.329899999999999</v>
      </c>
      <c r="Y60" s="74">
        <f t="shared" si="16"/>
        <v>23.281699999999997</v>
      </c>
      <c r="Z60" s="75" t="e">
        <f>VLOOKUP(A60,Enforcements!$C$3:$J$12,8,0)</f>
        <v>#N/A</v>
      </c>
      <c r="AA60" s="75" t="e">
        <f>VLOOKUP(A60,Enforcements!$C$3:$J$12,3,0)</f>
        <v>#N/A</v>
      </c>
    </row>
    <row r="61" spans="1:27" s="2" customFormat="1" x14ac:dyDescent="0.25">
      <c r="A61" s="61" t="s">
        <v>268</v>
      </c>
      <c r="B61" s="61">
        <v>4026</v>
      </c>
      <c r="C61" s="61" t="s">
        <v>64</v>
      </c>
      <c r="D61" s="61" t="s">
        <v>68</v>
      </c>
      <c r="E61" s="30">
        <v>42503.492337962962</v>
      </c>
      <c r="F61" s="30">
        <v>42503.493587962963</v>
      </c>
      <c r="G61" s="38">
        <v>1</v>
      </c>
      <c r="H61" s="30" t="s">
        <v>71</v>
      </c>
      <c r="I61" s="30">
        <v>42503.522951388892</v>
      </c>
      <c r="J61" s="61">
        <v>0</v>
      </c>
      <c r="K61" s="61" t="str">
        <f t="shared" si="17"/>
        <v>4025/4026</v>
      </c>
      <c r="L61" s="61" t="str">
        <f>VLOOKUP(A61,'Trips&amp;Operators'!$C$1:$E$9999,3,FALSE)</f>
        <v>SANTIZO</v>
      </c>
      <c r="M61" s="12">
        <f t="shared" si="18"/>
        <v>2.9363425928750075E-2</v>
      </c>
      <c r="N61" s="13">
        <f t="shared" si="22"/>
        <v>42.283333337400109</v>
      </c>
      <c r="O61" s="13"/>
      <c r="P61" s="13"/>
      <c r="Q61" s="62"/>
      <c r="R61" s="62"/>
      <c r="T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11:47:58-0600',mode:absolute,to:'2016-05-13 12:34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1" s="74" t="str">
        <f t="shared" si="20"/>
        <v>N</v>
      </c>
      <c r="V61" s="74">
        <f t="shared" si="21"/>
        <v>1</v>
      </c>
      <c r="W61" s="74">
        <f t="shared" si="14"/>
        <v>23.297799999999999</v>
      </c>
      <c r="X61" s="74">
        <f t="shared" si="23"/>
        <v>1.49E-2</v>
      </c>
      <c r="Y61" s="74">
        <f t="shared" si="16"/>
        <v>23.282899999999998</v>
      </c>
      <c r="Z61" s="75" t="e">
        <f>VLOOKUP(A61,Enforcements!$C$3:$J$12,8,0)</f>
        <v>#N/A</v>
      </c>
      <c r="AA61" s="75" t="e">
        <f>VLOOKUP(A61,Enforcements!$C$3:$J$12,3,0)</f>
        <v>#N/A</v>
      </c>
    </row>
    <row r="62" spans="1:27" s="2" customFormat="1" x14ac:dyDescent="0.25">
      <c r="A62" s="61" t="s">
        <v>269</v>
      </c>
      <c r="B62" s="61">
        <v>4038</v>
      </c>
      <c r="C62" s="61" t="s">
        <v>64</v>
      </c>
      <c r="D62" s="61" t="s">
        <v>147</v>
      </c>
      <c r="E62" s="30">
        <v>42503.466307870367</v>
      </c>
      <c r="F62" s="30">
        <v>42503.467604166668</v>
      </c>
      <c r="G62" s="38">
        <v>1</v>
      </c>
      <c r="H62" s="30" t="s">
        <v>114</v>
      </c>
      <c r="I62" s="30">
        <v>42503.494351851848</v>
      </c>
      <c r="J62" s="61">
        <v>1</v>
      </c>
      <c r="K62" s="61" t="str">
        <f t="shared" si="17"/>
        <v>4037/4038</v>
      </c>
      <c r="L62" s="61" t="str">
        <f>VLOOKUP(A62,'Trips&amp;Operators'!$C$1:$E$9999,3,FALSE)</f>
        <v>SPECTOR</v>
      </c>
      <c r="M62" s="12">
        <f t="shared" si="18"/>
        <v>2.6747685180453118E-2</v>
      </c>
      <c r="N62" s="13">
        <f t="shared" si="22"/>
        <v>38.51666665985249</v>
      </c>
      <c r="O62" s="13"/>
      <c r="P62" s="13"/>
      <c r="Q62" s="62"/>
      <c r="R62" s="62"/>
      <c r="T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11:10:29-0600',mode:absolute,to:'2016-05-13 11:52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2" s="74" t="str">
        <f t="shared" si="20"/>
        <v>N</v>
      </c>
      <c r="V62" s="74">
        <f t="shared" si="21"/>
        <v>1</v>
      </c>
      <c r="W62" s="74">
        <f t="shared" si="14"/>
        <v>4.6899999999999997E-2</v>
      </c>
      <c r="X62" s="74">
        <f t="shared" si="23"/>
        <v>23.331700000000001</v>
      </c>
      <c r="Y62" s="74">
        <f t="shared" si="16"/>
        <v>23.284800000000001</v>
      </c>
      <c r="Z62" s="75" t="e">
        <f>VLOOKUP(A62,Enforcements!$C$3:$J$12,8,0)</f>
        <v>#N/A</v>
      </c>
      <c r="AA62" s="75" t="e">
        <f>VLOOKUP(A62,Enforcements!$C$3:$J$12,3,0)</f>
        <v>#N/A</v>
      </c>
    </row>
    <row r="63" spans="1:27" s="2" customFormat="1" x14ac:dyDescent="0.25">
      <c r="A63" s="61" t="s">
        <v>270</v>
      </c>
      <c r="B63" s="61">
        <v>4037</v>
      </c>
      <c r="C63" s="61" t="s">
        <v>64</v>
      </c>
      <c r="D63" s="61" t="s">
        <v>271</v>
      </c>
      <c r="E63" s="30">
        <v>42503.501701388886</v>
      </c>
      <c r="F63" s="30">
        <v>42503.502696759257</v>
      </c>
      <c r="G63" s="38">
        <v>1</v>
      </c>
      <c r="H63" s="30" t="s">
        <v>79</v>
      </c>
      <c r="I63" s="30">
        <v>42503.533518518518</v>
      </c>
      <c r="J63" s="61">
        <v>1</v>
      </c>
      <c r="K63" s="61" t="str">
        <f t="shared" si="17"/>
        <v>4037/4038</v>
      </c>
      <c r="L63" s="61" t="str">
        <f>VLOOKUP(A63,'Trips&amp;Operators'!$C$1:$E$9999,3,FALSE)</f>
        <v>SPECTOR</v>
      </c>
      <c r="M63" s="12">
        <f t="shared" si="18"/>
        <v>3.0821759261016268E-2</v>
      </c>
      <c r="N63" s="13">
        <f t="shared" si="22"/>
        <v>44.383333335863426</v>
      </c>
      <c r="O63" s="13"/>
      <c r="P63" s="13"/>
      <c r="Q63" s="62"/>
      <c r="R63" s="62"/>
      <c r="T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12:01:27-0600',mode:absolute,to:'2016-05-13 12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3" s="74" t="str">
        <f t="shared" si="20"/>
        <v>N</v>
      </c>
      <c r="V63" s="74">
        <f t="shared" si="21"/>
        <v>1</v>
      </c>
      <c r="W63" s="74">
        <f t="shared" si="14"/>
        <v>23.297599999999999</v>
      </c>
      <c r="X63" s="74">
        <f t="shared" si="23"/>
        <v>1.4500000000000001E-2</v>
      </c>
      <c r="Y63" s="74">
        <f t="shared" si="16"/>
        <v>23.283099999999997</v>
      </c>
      <c r="Z63" s="75" t="e">
        <f>VLOOKUP(A63,Enforcements!$C$3:$J$12,8,0)</f>
        <v>#N/A</v>
      </c>
      <c r="AA63" s="75" t="e">
        <f>VLOOKUP(A63,Enforcements!$C$3:$J$12,3,0)</f>
        <v>#N/A</v>
      </c>
    </row>
    <row r="64" spans="1:27" s="2" customFormat="1" x14ac:dyDescent="0.25">
      <c r="A64" s="61" t="s">
        <v>272</v>
      </c>
      <c r="B64" s="61">
        <v>4020</v>
      </c>
      <c r="C64" s="61" t="s">
        <v>64</v>
      </c>
      <c r="D64" s="61" t="s">
        <v>273</v>
      </c>
      <c r="E64" s="30">
        <v>42503.477141203701</v>
      </c>
      <c r="F64" s="30">
        <v>42503.479490740741</v>
      </c>
      <c r="G64" s="38">
        <v>3</v>
      </c>
      <c r="H64" s="30" t="s">
        <v>153</v>
      </c>
      <c r="I64" s="30">
        <v>42503.503865740742</v>
      </c>
      <c r="J64" s="61">
        <v>0</v>
      </c>
      <c r="K64" s="61" t="str">
        <f t="shared" si="17"/>
        <v>4019/4020</v>
      </c>
      <c r="L64" s="61" t="str">
        <f>VLOOKUP(A64,'Trips&amp;Operators'!$C$1:$E$9999,3,FALSE)</f>
        <v>STORY</v>
      </c>
      <c r="M64" s="12">
        <f t="shared" si="18"/>
        <v>2.4375000000873115E-2</v>
      </c>
      <c r="N64" s="13">
        <f t="shared" si="22"/>
        <v>35.100000001257285</v>
      </c>
      <c r="O64" s="13"/>
      <c r="P64" s="13"/>
      <c r="Q64" s="62"/>
      <c r="R64" s="62"/>
      <c r="T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11:26:05-0600',mode:absolute,to:'2016-05-13 12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4" s="74" t="str">
        <f t="shared" si="20"/>
        <v>N</v>
      </c>
      <c r="V64" s="74">
        <f t="shared" si="21"/>
        <v>1</v>
      </c>
      <c r="W64" s="74">
        <f t="shared" si="14"/>
        <v>4.2200000000000001E-2</v>
      </c>
      <c r="X64" s="74">
        <f t="shared" si="23"/>
        <v>23.3307</v>
      </c>
      <c r="Y64" s="74">
        <f t="shared" si="16"/>
        <v>23.288499999999999</v>
      </c>
      <c r="Z64" s="75" t="e">
        <f>VLOOKUP(A64,Enforcements!$C$3:$J$12,8,0)</f>
        <v>#N/A</v>
      </c>
      <c r="AA64" s="75" t="e">
        <f>VLOOKUP(A64,Enforcements!$C$3:$J$12,3,0)</f>
        <v>#N/A</v>
      </c>
    </row>
    <row r="65" spans="1:27" s="2" customFormat="1" x14ac:dyDescent="0.25">
      <c r="A65" s="61" t="s">
        <v>274</v>
      </c>
      <c r="B65" s="61">
        <v>4019</v>
      </c>
      <c r="C65" s="61" t="s">
        <v>64</v>
      </c>
      <c r="D65" s="61" t="s">
        <v>254</v>
      </c>
      <c r="E65" s="30">
        <v>42503.515451388892</v>
      </c>
      <c r="F65" s="30">
        <v>42503.517152777778</v>
      </c>
      <c r="G65" s="38">
        <v>2</v>
      </c>
      <c r="H65" s="30" t="s">
        <v>79</v>
      </c>
      <c r="I65" s="30">
        <v>42503.54314814815</v>
      </c>
      <c r="J65" s="61">
        <v>0</v>
      </c>
      <c r="K65" s="61" t="str">
        <f t="shared" si="17"/>
        <v>4019/4020</v>
      </c>
      <c r="L65" s="61" t="str">
        <f>VLOOKUP(A65,'Trips&amp;Operators'!$C$1:$E$9999,3,FALSE)</f>
        <v>STORY</v>
      </c>
      <c r="M65" s="12">
        <f t="shared" si="18"/>
        <v>2.5995370371674653E-2</v>
      </c>
      <c r="N65" s="13">
        <f t="shared" si="22"/>
        <v>37.433333335211501</v>
      </c>
      <c r="O65" s="13"/>
      <c r="P65" s="13"/>
      <c r="Q65" s="62"/>
      <c r="R65" s="62"/>
      <c r="T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12:21:15-0600',mode:absolute,to:'2016-05-13 13:03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5" s="74" t="str">
        <f t="shared" si="20"/>
        <v>N</v>
      </c>
      <c r="V65" s="74">
        <f t="shared" si="21"/>
        <v>1</v>
      </c>
      <c r="W65" s="74">
        <f t="shared" si="14"/>
        <v>23.301500000000001</v>
      </c>
      <c r="X65" s="74">
        <f t="shared" si="23"/>
        <v>1.4500000000000001E-2</v>
      </c>
      <c r="Y65" s="74">
        <f t="shared" si="16"/>
        <v>23.286999999999999</v>
      </c>
      <c r="Z65" s="75" t="e">
        <f>VLOOKUP(A65,Enforcements!$C$3:$J$12,8,0)</f>
        <v>#N/A</v>
      </c>
      <c r="AA65" s="75" t="e">
        <f>VLOOKUP(A65,Enforcements!$C$3:$J$12,3,0)</f>
        <v>#N/A</v>
      </c>
    </row>
    <row r="66" spans="1:27" s="2" customFormat="1" x14ac:dyDescent="0.25">
      <c r="A66" s="61" t="s">
        <v>275</v>
      </c>
      <c r="B66" s="61">
        <v>4040</v>
      </c>
      <c r="C66" s="61" t="s">
        <v>64</v>
      </c>
      <c r="D66" s="61" t="s">
        <v>82</v>
      </c>
      <c r="E66" s="30">
        <v>42503.485729166663</v>
      </c>
      <c r="F66" s="30">
        <v>42503.487372685187</v>
      </c>
      <c r="G66" s="38">
        <v>2</v>
      </c>
      <c r="H66" s="30" t="s">
        <v>160</v>
      </c>
      <c r="I66" s="30">
        <v>42503.514236111114</v>
      </c>
      <c r="J66" s="61">
        <v>0</v>
      </c>
      <c r="K66" s="61" t="str">
        <f t="shared" si="17"/>
        <v>4039/4040</v>
      </c>
      <c r="L66" s="61" t="str">
        <f>VLOOKUP(A66,'Trips&amp;Operators'!$C$1:$E$9999,3,FALSE)</f>
        <v>LOCKLEAR</v>
      </c>
      <c r="M66" s="12">
        <f t="shared" si="18"/>
        <v>2.6863425926421769E-2</v>
      </c>
      <c r="N66" s="13">
        <f t="shared" si="22"/>
        <v>38.683333334047347</v>
      </c>
      <c r="O66" s="13"/>
      <c r="P66" s="13"/>
      <c r="Q66" s="62"/>
      <c r="R66" s="62"/>
      <c r="T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11:38:27-0600',mode:absolute,to:'2016-05-13 12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6" s="74" t="str">
        <f t="shared" si="20"/>
        <v>N</v>
      </c>
      <c r="V66" s="74">
        <f t="shared" si="21"/>
        <v>1</v>
      </c>
      <c r="W66" s="74">
        <f t="shared" si="14"/>
        <v>4.5499999999999999E-2</v>
      </c>
      <c r="X66" s="74">
        <f t="shared" si="23"/>
        <v>23.3323</v>
      </c>
      <c r="Y66" s="74">
        <f t="shared" si="16"/>
        <v>23.286799999999999</v>
      </c>
      <c r="Z66" s="75" t="e">
        <f>VLOOKUP(A66,Enforcements!$C$3:$J$12,8,0)</f>
        <v>#N/A</v>
      </c>
      <c r="AA66" s="75" t="e">
        <f>VLOOKUP(A66,Enforcements!$C$3:$J$12,3,0)</f>
        <v>#N/A</v>
      </c>
    </row>
    <row r="67" spans="1:27" s="2" customFormat="1" x14ac:dyDescent="0.25">
      <c r="A67" s="61" t="s">
        <v>276</v>
      </c>
      <c r="B67" s="61">
        <v>4039</v>
      </c>
      <c r="C67" s="61" t="s">
        <v>64</v>
      </c>
      <c r="D67" s="61" t="s">
        <v>144</v>
      </c>
      <c r="E67" s="30">
        <v>42503.526238425926</v>
      </c>
      <c r="F67" s="30">
        <v>42503.527187500003</v>
      </c>
      <c r="G67" s="38">
        <v>1</v>
      </c>
      <c r="H67" s="30" t="s">
        <v>136</v>
      </c>
      <c r="I67" s="30">
        <v>42503.553773148145</v>
      </c>
      <c r="J67" s="61">
        <v>0</v>
      </c>
      <c r="K67" s="61" t="str">
        <f t="shared" si="17"/>
        <v>4039/4040</v>
      </c>
      <c r="L67" s="61" t="str">
        <f>VLOOKUP(A67,'Trips&amp;Operators'!$C$1:$E$9999,3,FALSE)</f>
        <v>LOCKLEAR</v>
      </c>
      <c r="M67" s="12">
        <f t="shared" si="18"/>
        <v>2.6585648141917773E-2</v>
      </c>
      <c r="N67" s="13">
        <f t="shared" si="22"/>
        <v>38.283333324361593</v>
      </c>
      <c r="O67" s="13"/>
      <c r="P67" s="13"/>
      <c r="Q67" s="62"/>
      <c r="R67" s="62"/>
      <c r="T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12:36:47-0600',mode:absolute,to:'2016-05-13 13:18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7" s="74" t="str">
        <f t="shared" si="20"/>
        <v>N</v>
      </c>
      <c r="V67" s="74">
        <f t="shared" si="21"/>
        <v>1</v>
      </c>
      <c r="W67" s="74">
        <f t="shared" ref="W67:W98" si="24">RIGHT(D67,LEN(D67)-4)/10000</f>
        <v>23.301100000000002</v>
      </c>
      <c r="X67" s="74">
        <f t="shared" si="23"/>
        <v>1.5800000000000002E-2</v>
      </c>
      <c r="Y67" s="74">
        <f t="shared" ref="Y67:Y98" si="25">ABS(X67-W67)</f>
        <v>23.285300000000003</v>
      </c>
      <c r="Z67" s="75" t="e">
        <f>VLOOKUP(A67,Enforcements!$C$3:$J$12,8,0)</f>
        <v>#N/A</v>
      </c>
      <c r="AA67" s="75" t="e">
        <f>VLOOKUP(A67,Enforcements!$C$3:$J$12,3,0)</f>
        <v>#N/A</v>
      </c>
    </row>
    <row r="68" spans="1:27" s="2" customFormat="1" x14ac:dyDescent="0.25">
      <c r="A68" s="61" t="s">
        <v>277</v>
      </c>
      <c r="B68" s="61">
        <v>4044</v>
      </c>
      <c r="C68" s="61" t="s">
        <v>64</v>
      </c>
      <c r="D68" s="61" t="s">
        <v>85</v>
      </c>
      <c r="E68" s="30">
        <v>42503.493784722225</v>
      </c>
      <c r="F68" s="30">
        <v>42503.498043981483</v>
      </c>
      <c r="G68" s="38">
        <v>6</v>
      </c>
      <c r="H68" s="30" t="s">
        <v>200</v>
      </c>
      <c r="I68" s="30">
        <v>42503.526018518518</v>
      </c>
      <c r="J68" s="61">
        <v>1</v>
      </c>
      <c r="K68" s="61" t="str">
        <f t="shared" ref="K68:K99" si="26">IF(ISEVEN(B68),(B68-1)&amp;"/"&amp;B68,B68&amp;"/"&amp;(B68+1))</f>
        <v>4043/4044</v>
      </c>
      <c r="L68" s="61" t="str">
        <f>VLOOKUP(A68,'Trips&amp;Operators'!$C$1:$E$9999,3,FALSE)</f>
        <v>CANFIELD</v>
      </c>
      <c r="M68" s="12">
        <f t="shared" ref="M68:M99" si="27">I68-F68</f>
        <v>2.7974537035333924E-2</v>
      </c>
      <c r="N68" s="13">
        <f t="shared" si="22"/>
        <v>40.283333330880851</v>
      </c>
      <c r="O68" s="13"/>
      <c r="P68" s="13"/>
      <c r="Q68" s="62"/>
      <c r="R68" s="62"/>
      <c r="T68" s="74" t="str">
        <f t="shared" ref="T68:T99" si="28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https://search-rtdc-monitor-bjffxe2xuh6vdkpspy63sjmuny.us-east-1.es.amazonaws.com/_plugin/kibana/#/discover/Steve-Slow-Train-Analysis-(2080s-and-2083s)?_g=(refreshInterval:(display:Off,section:0,value:0),time:(from:'2016-05-13 11:50:03-0600',mode:absolute,to:'2016-05-13 12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8" s="74" t="str">
        <f t="shared" ref="U68:U99" si="29">IF(Y68&lt;23,"Y","N")</f>
        <v>N</v>
      </c>
      <c r="V68" s="74">
        <f t="shared" ref="V68:V99" si="30">VALUE(LEFT(A68,3))-VALUE(LEFT(A67,3))</f>
        <v>1</v>
      </c>
      <c r="W68" s="74">
        <f t="shared" si="24"/>
        <v>4.53E-2</v>
      </c>
      <c r="X68" s="74">
        <f t="shared" si="23"/>
        <v>23.3309</v>
      </c>
      <c r="Y68" s="74">
        <f t="shared" si="25"/>
        <v>23.285599999999999</v>
      </c>
      <c r="Z68" s="75" t="e">
        <f>VLOOKUP(A68,Enforcements!$C$3:$J$12,8,0)</f>
        <v>#N/A</v>
      </c>
      <c r="AA68" s="75" t="e">
        <f>VLOOKUP(A68,Enforcements!$C$3:$J$12,3,0)</f>
        <v>#N/A</v>
      </c>
    </row>
    <row r="69" spans="1:27" s="2" customFormat="1" x14ac:dyDescent="0.25">
      <c r="A69" s="61" t="s">
        <v>278</v>
      </c>
      <c r="B69" s="61">
        <v>4043</v>
      </c>
      <c r="C69" s="61" t="s">
        <v>64</v>
      </c>
      <c r="D69" s="61" t="s">
        <v>90</v>
      </c>
      <c r="E69" s="30">
        <v>42503.531655092593</v>
      </c>
      <c r="F69" s="30">
        <v>42503.535879629628</v>
      </c>
      <c r="G69" s="38">
        <v>6</v>
      </c>
      <c r="H69" s="30" t="s">
        <v>88</v>
      </c>
      <c r="I69" s="30">
        <v>42503.565196759257</v>
      </c>
      <c r="J69" s="61">
        <v>0</v>
      </c>
      <c r="K69" s="61" t="str">
        <f t="shared" si="26"/>
        <v>4043/4044</v>
      </c>
      <c r="L69" s="61" t="str">
        <f>VLOOKUP(A69,'Trips&amp;Operators'!$C$1:$E$9999,3,FALSE)</f>
        <v>CANFIELD</v>
      </c>
      <c r="M69" s="12">
        <f t="shared" si="27"/>
        <v>2.9317129628907423E-2</v>
      </c>
      <c r="N69" s="13">
        <f t="shared" si="22"/>
        <v>42.21666666562669</v>
      </c>
      <c r="O69" s="13"/>
      <c r="P69" s="13"/>
      <c r="Q69" s="62"/>
      <c r="R69" s="62"/>
      <c r="T6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12:44:35-0600',mode:absolute,to:'2016-05-13 13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9" s="74" t="str">
        <f t="shared" si="29"/>
        <v>N</v>
      </c>
      <c r="V69" s="74">
        <f t="shared" si="30"/>
        <v>1</v>
      </c>
      <c r="W69" s="74">
        <f t="shared" si="24"/>
        <v>23.299399999999999</v>
      </c>
      <c r="X69" s="74">
        <f t="shared" si="23"/>
        <v>1.52E-2</v>
      </c>
      <c r="Y69" s="74">
        <f t="shared" si="25"/>
        <v>23.284199999999998</v>
      </c>
      <c r="Z69" s="75" t="e">
        <f>VLOOKUP(A69,Enforcements!$C$3:$J$12,8,0)</f>
        <v>#N/A</v>
      </c>
      <c r="AA69" s="75" t="e">
        <f>VLOOKUP(A69,Enforcements!$C$3:$J$12,3,0)</f>
        <v>#N/A</v>
      </c>
    </row>
    <row r="70" spans="1:27" s="2" customFormat="1" x14ac:dyDescent="0.25">
      <c r="A70" s="61" t="s">
        <v>279</v>
      </c>
      <c r="B70" s="61">
        <v>4016</v>
      </c>
      <c r="C70" s="61" t="s">
        <v>64</v>
      </c>
      <c r="D70" s="61" t="s">
        <v>74</v>
      </c>
      <c r="E70" s="30">
        <v>42503.505972222221</v>
      </c>
      <c r="F70" s="30">
        <v>42503.507187499999</v>
      </c>
      <c r="G70" s="38">
        <v>1</v>
      </c>
      <c r="H70" s="30" t="s">
        <v>109</v>
      </c>
      <c r="I70" s="30">
        <v>42503.535405092596</v>
      </c>
      <c r="J70" s="61">
        <v>0</v>
      </c>
      <c r="K70" s="61" t="str">
        <f t="shared" si="26"/>
        <v>4015/4016</v>
      </c>
      <c r="L70" s="61" t="str">
        <f>VLOOKUP(A70,'Trips&amp;Operators'!$C$1:$E$9999,3,FALSE)</f>
        <v>STEWART</v>
      </c>
      <c r="M70" s="12">
        <f t="shared" si="27"/>
        <v>2.8217592596774921E-2</v>
      </c>
      <c r="N70" s="13">
        <f t="shared" si="22"/>
        <v>40.633333339355886</v>
      </c>
      <c r="O70" s="13"/>
      <c r="P70" s="13"/>
      <c r="Q70" s="62"/>
      <c r="R70" s="62"/>
      <c r="T7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12:07:36-0600',mode:absolute,to:'2016-05-13 12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0" s="74" t="str">
        <f t="shared" si="29"/>
        <v>N</v>
      </c>
      <c r="V70" s="74">
        <f t="shared" si="30"/>
        <v>1</v>
      </c>
      <c r="W70" s="74">
        <f t="shared" si="24"/>
        <v>4.5699999999999998E-2</v>
      </c>
      <c r="X70" s="74">
        <f t="shared" si="23"/>
        <v>23.331499999999998</v>
      </c>
      <c r="Y70" s="74">
        <f t="shared" si="25"/>
        <v>23.285799999999998</v>
      </c>
      <c r="Z70" s="75" t="e">
        <f>VLOOKUP(A70,Enforcements!$C$3:$J$12,8,0)</f>
        <v>#N/A</v>
      </c>
      <c r="AA70" s="75" t="e">
        <f>VLOOKUP(A70,Enforcements!$C$3:$J$12,3,0)</f>
        <v>#N/A</v>
      </c>
    </row>
    <row r="71" spans="1:27" s="2" customFormat="1" x14ac:dyDescent="0.25">
      <c r="A71" s="61" t="s">
        <v>280</v>
      </c>
      <c r="B71" s="61">
        <v>4015</v>
      </c>
      <c r="C71" s="61" t="s">
        <v>64</v>
      </c>
      <c r="D71" s="61" t="s">
        <v>92</v>
      </c>
      <c r="E71" s="30">
        <v>42503.545752314814</v>
      </c>
      <c r="F71" s="30">
        <v>42503.547060185185</v>
      </c>
      <c r="G71" s="38">
        <v>1</v>
      </c>
      <c r="H71" s="30" t="s">
        <v>281</v>
      </c>
      <c r="I71" s="30">
        <v>42503.574780092589</v>
      </c>
      <c r="J71" s="61">
        <v>0</v>
      </c>
      <c r="K71" s="61" t="str">
        <f t="shared" si="26"/>
        <v>4015/4016</v>
      </c>
      <c r="L71" s="61" t="str">
        <f>VLOOKUP(A71,'Trips&amp;Operators'!$C$1:$E$9999,3,FALSE)</f>
        <v>STEWART</v>
      </c>
      <c r="M71" s="12">
        <f t="shared" si="27"/>
        <v>2.7719907404389232E-2</v>
      </c>
      <c r="N71" s="13"/>
      <c r="O71" s="13"/>
      <c r="P71" s="13">
        <f>$M71*24*60</f>
        <v>39.916666662320495</v>
      </c>
      <c r="Q71" s="62" t="s">
        <v>429</v>
      </c>
      <c r="R71" s="62" t="s">
        <v>427</v>
      </c>
      <c r="T7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13:04:53-0600',mode:absolute,to:'2016-05-13 13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1" s="74" t="str">
        <f t="shared" si="29"/>
        <v>Y</v>
      </c>
      <c r="V71" s="74">
        <f t="shared" si="30"/>
        <v>1</v>
      </c>
      <c r="W71" s="74">
        <f t="shared" si="24"/>
        <v>23.299299999999999</v>
      </c>
      <c r="X71" s="74">
        <f t="shared" si="23"/>
        <v>0.36680000000000001</v>
      </c>
      <c r="Y71" s="74">
        <f t="shared" si="25"/>
        <v>22.932499999999997</v>
      </c>
      <c r="Z71" s="75" t="e">
        <f>VLOOKUP(A71,Enforcements!$C$3:$J$12,8,0)</f>
        <v>#N/A</v>
      </c>
      <c r="AA71" s="75" t="e">
        <f>VLOOKUP(A71,Enforcements!$C$3:$J$12,3,0)</f>
        <v>#N/A</v>
      </c>
    </row>
    <row r="72" spans="1:27" s="2" customFormat="1" x14ac:dyDescent="0.25">
      <c r="A72" s="61" t="s">
        <v>282</v>
      </c>
      <c r="B72" s="61">
        <v>4009</v>
      </c>
      <c r="C72" s="61" t="s">
        <v>64</v>
      </c>
      <c r="D72" s="61" t="s">
        <v>145</v>
      </c>
      <c r="E72" s="30">
        <v>42503.514155092591</v>
      </c>
      <c r="F72" s="30">
        <v>42503.516122685185</v>
      </c>
      <c r="G72" s="38">
        <v>2</v>
      </c>
      <c r="H72" s="30" t="s">
        <v>200</v>
      </c>
      <c r="I72" s="30">
        <v>42503.546458333331</v>
      </c>
      <c r="J72" s="61">
        <v>1</v>
      </c>
      <c r="K72" s="61" t="str">
        <f t="shared" si="26"/>
        <v>4009/4010</v>
      </c>
      <c r="L72" s="61" t="str">
        <f>VLOOKUP(A72,'Trips&amp;Operators'!$C$1:$E$9999,3,FALSE)</f>
        <v>NELSON</v>
      </c>
      <c r="M72" s="12">
        <f t="shared" si="27"/>
        <v>3.0335648145410232E-2</v>
      </c>
      <c r="N72" s="13">
        <f t="shared" ref="N72:N84" si="31">$M72*24*60</f>
        <v>43.683333329390734</v>
      </c>
      <c r="O72" s="13"/>
      <c r="P72" s="13"/>
      <c r="Q72" s="62"/>
      <c r="R72" s="62"/>
      <c r="T7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12:19:23-0600',mode:absolute,to:'2016-05-13 13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2" s="74" t="str">
        <f t="shared" si="29"/>
        <v>N</v>
      </c>
      <c r="V72" s="74">
        <f t="shared" si="30"/>
        <v>1</v>
      </c>
      <c r="W72" s="74">
        <f t="shared" si="24"/>
        <v>4.58E-2</v>
      </c>
      <c r="X72" s="74">
        <f t="shared" si="23"/>
        <v>23.3309</v>
      </c>
      <c r="Y72" s="74">
        <f t="shared" si="25"/>
        <v>23.2851</v>
      </c>
      <c r="Z72" s="75" t="e">
        <f>VLOOKUP(A72,Enforcements!$C$3:$J$12,8,0)</f>
        <v>#N/A</v>
      </c>
      <c r="AA72" s="75" t="e">
        <f>VLOOKUP(A72,Enforcements!$C$3:$J$12,3,0)</f>
        <v>#N/A</v>
      </c>
    </row>
    <row r="73" spans="1:27" s="2" customFormat="1" x14ac:dyDescent="0.25">
      <c r="A73" s="61" t="s">
        <v>283</v>
      </c>
      <c r="B73" s="61">
        <v>4010</v>
      </c>
      <c r="C73" s="61" t="s">
        <v>64</v>
      </c>
      <c r="D73" s="61" t="s">
        <v>68</v>
      </c>
      <c r="E73" s="30">
        <v>42503.551759259259</v>
      </c>
      <c r="F73" s="30">
        <v>42503.552928240744</v>
      </c>
      <c r="G73" s="38">
        <v>1</v>
      </c>
      <c r="H73" s="30" t="s">
        <v>79</v>
      </c>
      <c r="I73" s="30">
        <v>42503.586574074077</v>
      </c>
      <c r="J73" s="61">
        <v>0</v>
      </c>
      <c r="K73" s="61" t="str">
        <f t="shared" si="26"/>
        <v>4009/4010</v>
      </c>
      <c r="L73" s="61" t="str">
        <f>VLOOKUP(A73,'Trips&amp;Operators'!$C$1:$E$9999,3,FALSE)</f>
        <v>NELSON</v>
      </c>
      <c r="M73" s="12">
        <f t="shared" si="27"/>
        <v>3.3645833333139308E-2</v>
      </c>
      <c r="N73" s="13">
        <f t="shared" si="31"/>
        <v>48.449999999720603</v>
      </c>
      <c r="O73" s="13"/>
      <c r="P73" s="13"/>
      <c r="Q73" s="62"/>
      <c r="R73" s="62"/>
      <c r="T7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13:13:32-0600',mode:absolute,to:'2016-05-13 14:05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3" s="74" t="str">
        <f t="shared" si="29"/>
        <v>N</v>
      </c>
      <c r="V73" s="74">
        <f t="shared" si="30"/>
        <v>1</v>
      </c>
      <c r="W73" s="74">
        <f t="shared" si="24"/>
        <v>23.297799999999999</v>
      </c>
      <c r="X73" s="74">
        <f t="shared" si="23"/>
        <v>1.4500000000000001E-2</v>
      </c>
      <c r="Y73" s="74">
        <f t="shared" si="25"/>
        <v>23.283299999999997</v>
      </c>
      <c r="Z73" s="75" t="e">
        <f>VLOOKUP(A73,Enforcements!$C$3:$J$12,8,0)</f>
        <v>#N/A</v>
      </c>
      <c r="AA73" s="75" t="e">
        <f>VLOOKUP(A73,Enforcements!$C$3:$J$12,3,0)</f>
        <v>#N/A</v>
      </c>
    </row>
    <row r="74" spans="1:27" s="2" customFormat="1" x14ac:dyDescent="0.25">
      <c r="A74" s="61" t="s">
        <v>284</v>
      </c>
      <c r="B74" s="61">
        <v>4025</v>
      </c>
      <c r="C74" s="61" t="s">
        <v>64</v>
      </c>
      <c r="D74" s="61" t="s">
        <v>82</v>
      </c>
      <c r="E74" s="30">
        <v>42503.526076388887</v>
      </c>
      <c r="F74" s="30">
        <v>42503.527766203704</v>
      </c>
      <c r="G74" s="38">
        <v>2</v>
      </c>
      <c r="H74" s="30" t="s">
        <v>285</v>
      </c>
      <c r="I74" s="30">
        <v>42503.556666666664</v>
      </c>
      <c r="J74" s="61">
        <v>0</v>
      </c>
      <c r="K74" s="61" t="str">
        <f t="shared" si="26"/>
        <v>4025/4026</v>
      </c>
      <c r="L74" s="61" t="str">
        <f>VLOOKUP(A74,'Trips&amp;Operators'!$C$1:$E$9999,3,FALSE)</f>
        <v>WEBSTER</v>
      </c>
      <c r="M74" s="12">
        <f t="shared" si="27"/>
        <v>2.8900462959427387E-2</v>
      </c>
      <c r="N74" s="13">
        <f t="shared" si="31"/>
        <v>41.616666661575437</v>
      </c>
      <c r="O74" s="13"/>
      <c r="P74" s="13"/>
      <c r="Q74" s="62"/>
      <c r="R74" s="62"/>
      <c r="T7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12:36:33-0600',mode:absolute,to:'2016-05-13 13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4" s="74" t="str">
        <f t="shared" si="29"/>
        <v>N</v>
      </c>
      <c r="V74" s="74">
        <f t="shared" si="30"/>
        <v>1</v>
      </c>
      <c r="W74" s="74">
        <f t="shared" si="24"/>
        <v>4.5499999999999999E-2</v>
      </c>
      <c r="X74" s="74">
        <f t="shared" si="23"/>
        <v>23.330200000000001</v>
      </c>
      <c r="Y74" s="74">
        <f t="shared" si="25"/>
        <v>23.284700000000001</v>
      </c>
      <c r="Z74" s="75" t="e">
        <f>VLOOKUP(A74,Enforcements!$C$3:$J$12,8,0)</f>
        <v>#N/A</v>
      </c>
      <c r="AA74" s="75" t="e">
        <f>VLOOKUP(A74,Enforcements!$C$3:$J$12,3,0)</f>
        <v>#N/A</v>
      </c>
    </row>
    <row r="75" spans="1:27" s="2" customFormat="1" x14ac:dyDescent="0.25">
      <c r="A75" s="61" t="s">
        <v>286</v>
      </c>
      <c r="B75" s="61">
        <v>4026</v>
      </c>
      <c r="C75" s="61" t="s">
        <v>64</v>
      </c>
      <c r="D75" s="61" t="s">
        <v>90</v>
      </c>
      <c r="E75" s="30">
        <v>42503.564884259256</v>
      </c>
      <c r="F75" s="30">
        <v>42503.565972222219</v>
      </c>
      <c r="G75" s="38">
        <v>1</v>
      </c>
      <c r="H75" s="30" t="s">
        <v>71</v>
      </c>
      <c r="I75" s="30">
        <v>42503.596493055556</v>
      </c>
      <c r="J75" s="61">
        <v>1</v>
      </c>
      <c r="K75" s="61" t="str">
        <f t="shared" si="26"/>
        <v>4025/4026</v>
      </c>
      <c r="L75" s="61" t="str">
        <f>VLOOKUP(A75,'Trips&amp;Operators'!$C$1:$E$9999,3,FALSE)</f>
        <v>WEBSTER</v>
      </c>
      <c r="M75" s="12">
        <f t="shared" si="27"/>
        <v>3.0520833337504882E-2</v>
      </c>
      <c r="N75" s="13">
        <f t="shared" si="31"/>
        <v>43.950000006007031</v>
      </c>
      <c r="O75" s="13"/>
      <c r="P75" s="13"/>
      <c r="Q75" s="62"/>
      <c r="R75" s="62"/>
      <c r="T7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13:32:26-0600',mode:absolute,to:'2016-05-13 14:19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5" s="74" t="str">
        <f t="shared" si="29"/>
        <v>N</v>
      </c>
      <c r="V75" s="74">
        <f t="shared" si="30"/>
        <v>1</v>
      </c>
      <c r="W75" s="74">
        <f t="shared" si="24"/>
        <v>23.299399999999999</v>
      </c>
      <c r="X75" s="74">
        <f t="shared" si="23"/>
        <v>1.49E-2</v>
      </c>
      <c r="Y75" s="74">
        <f t="shared" si="25"/>
        <v>23.284499999999998</v>
      </c>
      <c r="Z75" s="75" t="e">
        <f>VLOOKUP(A75,Enforcements!$C$3:$J$12,8,0)</f>
        <v>#N/A</v>
      </c>
      <c r="AA75" s="75" t="e">
        <f>VLOOKUP(A75,Enforcements!$C$3:$J$12,3,0)</f>
        <v>#N/A</v>
      </c>
    </row>
    <row r="76" spans="1:27" s="2" customFormat="1" x14ac:dyDescent="0.25">
      <c r="A76" s="61" t="s">
        <v>287</v>
      </c>
      <c r="B76" s="61">
        <v>4038</v>
      </c>
      <c r="C76" s="61" t="s">
        <v>64</v>
      </c>
      <c r="D76" s="61" t="s">
        <v>145</v>
      </c>
      <c r="E76" s="30">
        <v>42503.53806712963</v>
      </c>
      <c r="F76" s="30">
        <v>42503.538888888892</v>
      </c>
      <c r="G76" s="38">
        <v>1</v>
      </c>
      <c r="H76" s="30" t="s">
        <v>288</v>
      </c>
      <c r="I76" s="30">
        <v>42503.56722222222</v>
      </c>
      <c r="J76" s="61">
        <v>0</v>
      </c>
      <c r="K76" s="61" t="str">
        <f t="shared" si="26"/>
        <v>4037/4038</v>
      </c>
      <c r="L76" s="61" t="str">
        <f>VLOOKUP(A76,'Trips&amp;Operators'!$C$1:$E$9999,3,FALSE)</f>
        <v>SPECTOR</v>
      </c>
      <c r="M76" s="12">
        <f t="shared" si="27"/>
        <v>2.8333333328191657E-2</v>
      </c>
      <c r="N76" s="13">
        <f t="shared" si="31"/>
        <v>40.799999992595986</v>
      </c>
      <c r="O76" s="13"/>
      <c r="P76" s="13"/>
      <c r="Q76" s="62"/>
      <c r="R76" s="62"/>
      <c r="T7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12:53:49-0600',mode:absolute,to:'2016-05-13 13:37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6" s="74" t="str">
        <f t="shared" si="29"/>
        <v>N</v>
      </c>
      <c r="V76" s="74">
        <f t="shared" si="30"/>
        <v>1</v>
      </c>
      <c r="W76" s="74">
        <f t="shared" si="24"/>
        <v>4.58E-2</v>
      </c>
      <c r="X76" s="74">
        <f t="shared" si="23"/>
        <v>23.331099999999999</v>
      </c>
      <c r="Y76" s="74">
        <f t="shared" si="25"/>
        <v>23.285299999999999</v>
      </c>
      <c r="Z76" s="75" t="e">
        <f>VLOOKUP(A76,Enforcements!$C$3:$J$12,8,0)</f>
        <v>#N/A</v>
      </c>
      <c r="AA76" s="75" t="e">
        <f>VLOOKUP(A76,Enforcements!$C$3:$J$12,3,0)</f>
        <v>#N/A</v>
      </c>
    </row>
    <row r="77" spans="1:27" s="2" customFormat="1" x14ac:dyDescent="0.25">
      <c r="A77" s="61" t="s">
        <v>289</v>
      </c>
      <c r="B77" s="61">
        <v>4037</v>
      </c>
      <c r="C77" s="61" t="s">
        <v>64</v>
      </c>
      <c r="D77" s="61" t="s">
        <v>86</v>
      </c>
      <c r="E77" s="30">
        <v>42503.575196759259</v>
      </c>
      <c r="F77" s="30">
        <v>42503.576203703706</v>
      </c>
      <c r="G77" s="38">
        <v>1</v>
      </c>
      <c r="H77" s="30" t="s">
        <v>104</v>
      </c>
      <c r="I77" s="30">
        <v>42503.606342592589</v>
      </c>
      <c r="J77" s="61">
        <v>0</v>
      </c>
      <c r="K77" s="61" t="str">
        <f t="shared" si="26"/>
        <v>4037/4038</v>
      </c>
      <c r="L77" s="61" t="str">
        <f>VLOOKUP(A77,'Trips&amp;Operators'!$C$1:$E$9999,3,FALSE)</f>
        <v>SPECTOR</v>
      </c>
      <c r="M77" s="12">
        <f t="shared" si="27"/>
        <v>3.0138888883811887E-2</v>
      </c>
      <c r="N77" s="13">
        <f t="shared" si="31"/>
        <v>43.399999992689118</v>
      </c>
      <c r="O77" s="13"/>
      <c r="P77" s="13"/>
      <c r="Q77" s="62"/>
      <c r="R77" s="62"/>
      <c r="T7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13:47:17-0600',mode:absolute,to:'2016-05-13 14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7" s="74" t="str">
        <f t="shared" si="29"/>
        <v>N</v>
      </c>
      <c r="V77" s="74">
        <f t="shared" si="30"/>
        <v>1</v>
      </c>
      <c r="W77" s="74">
        <f t="shared" si="24"/>
        <v>23.299800000000001</v>
      </c>
      <c r="X77" s="74">
        <f t="shared" si="23"/>
        <v>1.4999999999999999E-2</v>
      </c>
      <c r="Y77" s="74">
        <f t="shared" si="25"/>
        <v>23.284800000000001</v>
      </c>
      <c r="Z77" s="75" t="e">
        <f>VLOOKUP(A77,Enforcements!$C$3:$J$12,8,0)</f>
        <v>#N/A</v>
      </c>
      <c r="AA77" s="75" t="e">
        <f>VLOOKUP(A77,Enforcements!$C$3:$J$12,3,0)</f>
        <v>#N/A</v>
      </c>
    </row>
    <row r="78" spans="1:27" s="2" customFormat="1" x14ac:dyDescent="0.25">
      <c r="A78" s="61" t="s">
        <v>290</v>
      </c>
      <c r="B78" s="61">
        <v>4020</v>
      </c>
      <c r="C78" s="61" t="s">
        <v>64</v>
      </c>
      <c r="D78" s="61" t="s">
        <v>246</v>
      </c>
      <c r="E78" s="30">
        <v>42503.544710648152</v>
      </c>
      <c r="F78" s="30">
        <v>42503.549039351848</v>
      </c>
      <c r="G78" s="38">
        <v>6</v>
      </c>
      <c r="H78" s="30" t="s">
        <v>291</v>
      </c>
      <c r="I78" s="30">
        <v>42503.577453703707</v>
      </c>
      <c r="J78" s="61">
        <v>1</v>
      </c>
      <c r="K78" s="61" t="str">
        <f t="shared" si="26"/>
        <v>4019/4020</v>
      </c>
      <c r="L78" s="61" t="str">
        <f>VLOOKUP(A78,'Trips&amp;Operators'!$C$1:$E$9999,3,FALSE)</f>
        <v>STORY</v>
      </c>
      <c r="M78" s="12">
        <f t="shared" si="27"/>
        <v>2.8414351858373266E-2</v>
      </c>
      <c r="N78" s="13">
        <f t="shared" si="31"/>
        <v>40.916666676057503</v>
      </c>
      <c r="O78" s="13"/>
      <c r="P78" s="13"/>
      <c r="Q78" s="62"/>
      <c r="R78" s="62"/>
      <c r="T7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13:03:23-0600',mode:absolute,to:'2016-05-13 13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8" s="74" t="str">
        <f t="shared" si="29"/>
        <v>N</v>
      </c>
      <c r="V78" s="74">
        <f t="shared" si="30"/>
        <v>1</v>
      </c>
      <c r="W78" s="74">
        <f t="shared" si="24"/>
        <v>4.4900000000000002E-2</v>
      </c>
      <c r="X78" s="74">
        <f t="shared" si="23"/>
        <v>23.328700000000001</v>
      </c>
      <c r="Y78" s="74">
        <f t="shared" si="25"/>
        <v>23.283800000000003</v>
      </c>
      <c r="Z78" s="75" t="e">
        <f>VLOOKUP(A78,Enforcements!$C$3:$J$12,8,0)</f>
        <v>#N/A</v>
      </c>
      <c r="AA78" s="75" t="e">
        <f>VLOOKUP(A78,Enforcements!$C$3:$J$12,3,0)</f>
        <v>#N/A</v>
      </c>
    </row>
    <row r="79" spans="1:27" s="2" customFormat="1" x14ac:dyDescent="0.25">
      <c r="A79" s="61" t="s">
        <v>292</v>
      </c>
      <c r="B79" s="61">
        <v>4019</v>
      </c>
      <c r="C79" s="61" t="s">
        <v>64</v>
      </c>
      <c r="D79" s="61" t="s">
        <v>204</v>
      </c>
      <c r="E79" s="30">
        <v>42503.584293981483</v>
      </c>
      <c r="F79" s="30">
        <v>42503.58525462963</v>
      </c>
      <c r="G79" s="38">
        <v>1</v>
      </c>
      <c r="H79" s="30" t="s">
        <v>293</v>
      </c>
      <c r="I79" s="30">
        <v>42503.617939814816</v>
      </c>
      <c r="J79" s="61">
        <v>0</v>
      </c>
      <c r="K79" s="61" t="str">
        <f t="shared" si="26"/>
        <v>4019/4020</v>
      </c>
      <c r="L79" s="61" t="str">
        <f>VLOOKUP(A79,'Trips&amp;Operators'!$C$1:$E$9999,3,FALSE)</f>
        <v>STORY</v>
      </c>
      <c r="M79" s="12">
        <f t="shared" si="27"/>
        <v>3.2685185185982846E-2</v>
      </c>
      <c r="N79" s="13">
        <f t="shared" si="31"/>
        <v>47.066666667815298</v>
      </c>
      <c r="O79" s="13"/>
      <c r="P79" s="13"/>
      <c r="Q79" s="62"/>
      <c r="R79" s="62"/>
      <c r="T7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14:00:23-0600',mode:absolute,to:'2016-05-13 14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9" s="74" t="str">
        <f t="shared" si="29"/>
        <v>N</v>
      </c>
      <c r="V79" s="74">
        <f t="shared" si="30"/>
        <v>1</v>
      </c>
      <c r="W79" s="74">
        <f t="shared" si="24"/>
        <v>23.297699999999999</v>
      </c>
      <c r="X79" s="74">
        <f t="shared" si="23"/>
        <v>1.09E-2</v>
      </c>
      <c r="Y79" s="74">
        <f t="shared" si="25"/>
        <v>23.286799999999999</v>
      </c>
      <c r="Z79" s="75" t="e">
        <f>VLOOKUP(A79,Enforcements!$C$3:$J$12,8,0)</f>
        <v>#N/A</v>
      </c>
      <c r="AA79" s="75" t="e">
        <f>VLOOKUP(A79,Enforcements!$C$3:$J$12,3,0)</f>
        <v>#N/A</v>
      </c>
    </row>
    <row r="80" spans="1:27" s="2" customFormat="1" x14ac:dyDescent="0.25">
      <c r="A80" s="61" t="s">
        <v>294</v>
      </c>
      <c r="B80" s="61">
        <v>4040</v>
      </c>
      <c r="C80" s="61" t="s">
        <v>64</v>
      </c>
      <c r="D80" s="61" t="s">
        <v>85</v>
      </c>
      <c r="E80" s="30">
        <v>42503.556435185186</v>
      </c>
      <c r="F80" s="30">
        <v>42503.557604166665</v>
      </c>
      <c r="G80" s="38">
        <v>1</v>
      </c>
      <c r="H80" s="30" t="s">
        <v>295</v>
      </c>
      <c r="I80" s="30">
        <v>42503.587118055555</v>
      </c>
      <c r="J80" s="61">
        <v>0</v>
      </c>
      <c r="K80" s="61" t="str">
        <f t="shared" si="26"/>
        <v>4039/4040</v>
      </c>
      <c r="L80" s="61" t="str">
        <f>VLOOKUP(A80,'Trips&amp;Operators'!$C$1:$E$9999,3,FALSE)</f>
        <v>LOCKLEAR</v>
      </c>
      <c r="M80" s="12">
        <f t="shared" si="27"/>
        <v>2.9513888890505768E-2</v>
      </c>
      <c r="N80" s="13">
        <f t="shared" si="31"/>
        <v>42.500000002328306</v>
      </c>
      <c r="O80" s="13"/>
      <c r="P80" s="13"/>
      <c r="Q80" s="62"/>
      <c r="R80" s="62"/>
      <c r="T8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13:20:16-0600',mode:absolute,to:'2016-05-13 14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0" s="74" t="str">
        <f t="shared" si="29"/>
        <v>N</v>
      </c>
      <c r="V80" s="74">
        <f t="shared" si="30"/>
        <v>1</v>
      </c>
      <c r="W80" s="74">
        <f t="shared" si="24"/>
        <v>4.53E-2</v>
      </c>
      <c r="X80" s="74">
        <f t="shared" si="23"/>
        <v>23.3337</v>
      </c>
      <c r="Y80" s="74">
        <f t="shared" si="25"/>
        <v>23.288399999999999</v>
      </c>
      <c r="Z80" s="75" t="e">
        <f>VLOOKUP(A80,Enforcements!$C$3:$J$12,8,0)</f>
        <v>#N/A</v>
      </c>
      <c r="AA80" s="75" t="e">
        <f>VLOOKUP(A80,Enforcements!$C$3:$J$12,3,0)</f>
        <v>#N/A</v>
      </c>
    </row>
    <row r="81" spans="1:27" s="2" customFormat="1" x14ac:dyDescent="0.25">
      <c r="A81" s="61" t="s">
        <v>296</v>
      </c>
      <c r="B81" s="61">
        <v>4039</v>
      </c>
      <c r="C81" s="61" t="s">
        <v>64</v>
      </c>
      <c r="D81" s="61" t="s">
        <v>297</v>
      </c>
      <c r="E81" s="30">
        <v>42503.596319444441</v>
      </c>
      <c r="F81" s="30">
        <v>42503.597199074073</v>
      </c>
      <c r="G81" s="38">
        <v>1</v>
      </c>
      <c r="H81" s="30" t="s">
        <v>89</v>
      </c>
      <c r="I81" s="30">
        <v>42503.627164351848</v>
      </c>
      <c r="J81" s="61">
        <v>1</v>
      </c>
      <c r="K81" s="61" t="str">
        <f t="shared" si="26"/>
        <v>4039/4040</v>
      </c>
      <c r="L81" s="61" t="str">
        <f>VLOOKUP(A81,'Trips&amp;Operators'!$C$1:$E$9999,3,FALSE)</f>
        <v>LOCKLEAR</v>
      </c>
      <c r="M81" s="12">
        <f t="shared" si="27"/>
        <v>2.9965277775772847E-2</v>
      </c>
      <c r="N81" s="13">
        <f t="shared" si="31"/>
        <v>43.1499999971129</v>
      </c>
      <c r="O81" s="13"/>
      <c r="P81" s="13"/>
      <c r="Q81" s="62"/>
      <c r="R81" s="62"/>
      <c r="T8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14:17:42-0600',mode:absolute,to:'2016-05-13 15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1" s="74" t="str">
        <f t="shared" si="29"/>
        <v>N</v>
      </c>
      <c r="V81" s="74">
        <f t="shared" si="30"/>
        <v>1</v>
      </c>
      <c r="W81" s="74">
        <f t="shared" si="24"/>
        <v>23.3019</v>
      </c>
      <c r="X81" s="74">
        <f t="shared" si="23"/>
        <v>1.6299999999999999E-2</v>
      </c>
      <c r="Y81" s="74">
        <f t="shared" si="25"/>
        <v>23.285599999999999</v>
      </c>
      <c r="Z81" s="75">
        <f>VLOOKUP(A81,Enforcements!$C$3:$J$12,8,0)</f>
        <v>103864</v>
      </c>
      <c r="AA81" s="75" t="str">
        <f>VLOOKUP(A81,Enforcements!$C$3:$J$12,3,0)</f>
        <v>EQUIPMENT RESTRICTION</v>
      </c>
    </row>
    <row r="82" spans="1:27" s="2" customFormat="1" x14ac:dyDescent="0.25">
      <c r="A82" s="61" t="s">
        <v>298</v>
      </c>
      <c r="B82" s="61">
        <v>4044</v>
      </c>
      <c r="C82" s="61" t="s">
        <v>64</v>
      </c>
      <c r="D82" s="61" t="s">
        <v>145</v>
      </c>
      <c r="E82" s="30">
        <v>42503.568194444444</v>
      </c>
      <c r="F82" s="30">
        <v>42503.569548611114</v>
      </c>
      <c r="G82" s="38">
        <v>1</v>
      </c>
      <c r="H82" s="30" t="s">
        <v>179</v>
      </c>
      <c r="I82" s="30">
        <v>42503.59783564815</v>
      </c>
      <c r="J82" s="61">
        <v>0</v>
      </c>
      <c r="K82" s="61" t="str">
        <f t="shared" si="26"/>
        <v>4043/4044</v>
      </c>
      <c r="L82" s="61" t="str">
        <f>VLOOKUP(A82,'Trips&amp;Operators'!$C$1:$E$9999,3,FALSE)</f>
        <v>CANFIELD</v>
      </c>
      <c r="M82" s="12">
        <f t="shared" si="27"/>
        <v>2.8287037035624962E-2</v>
      </c>
      <c r="N82" s="13">
        <f t="shared" si="31"/>
        <v>40.733333331299946</v>
      </c>
      <c r="O82" s="13"/>
      <c r="P82" s="13"/>
      <c r="Q82" s="62"/>
      <c r="R82" s="62"/>
      <c r="T8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13:37:12-0600',mode:absolute,to:'2016-05-13 14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2" s="74" t="str">
        <f t="shared" si="29"/>
        <v>N</v>
      </c>
      <c r="V82" s="74">
        <f t="shared" si="30"/>
        <v>1</v>
      </c>
      <c r="W82" s="74">
        <f t="shared" si="24"/>
        <v>4.58E-2</v>
      </c>
      <c r="X82" s="74">
        <f t="shared" si="23"/>
        <v>23.333100000000002</v>
      </c>
      <c r="Y82" s="74">
        <f t="shared" si="25"/>
        <v>23.287300000000002</v>
      </c>
      <c r="Z82" s="75" t="e">
        <f>VLOOKUP(A82,Enforcements!$C$3:$J$12,8,0)</f>
        <v>#N/A</v>
      </c>
      <c r="AA82" s="75" t="e">
        <f>VLOOKUP(A82,Enforcements!$C$3:$J$12,3,0)</f>
        <v>#N/A</v>
      </c>
    </row>
    <row r="83" spans="1:27" s="2" customFormat="1" x14ac:dyDescent="0.25">
      <c r="A83" s="61" t="s">
        <v>299</v>
      </c>
      <c r="B83" s="61">
        <v>4043</v>
      </c>
      <c r="C83" s="61" t="s">
        <v>64</v>
      </c>
      <c r="D83" s="61" t="s">
        <v>300</v>
      </c>
      <c r="E83" s="30">
        <v>42503.604560185187</v>
      </c>
      <c r="F83" s="30">
        <v>42503.606030092589</v>
      </c>
      <c r="G83" s="38">
        <v>2</v>
      </c>
      <c r="H83" s="30" t="s">
        <v>112</v>
      </c>
      <c r="I83" s="30">
        <v>42503.637187499997</v>
      </c>
      <c r="J83" s="61">
        <v>0</v>
      </c>
      <c r="K83" s="61" t="str">
        <f t="shared" si="26"/>
        <v>4043/4044</v>
      </c>
      <c r="L83" s="61" t="str">
        <f>VLOOKUP(A83,'Trips&amp;Operators'!$C$1:$E$9999,3,FALSE)</f>
        <v>CANFIELD</v>
      </c>
      <c r="M83" s="12">
        <f t="shared" si="27"/>
        <v>3.1157407407590654E-2</v>
      </c>
      <c r="N83" s="13">
        <f t="shared" si="31"/>
        <v>44.866666666930541</v>
      </c>
      <c r="O83" s="13"/>
      <c r="P83" s="13"/>
      <c r="Q83" s="62"/>
      <c r="R83" s="62"/>
      <c r="T8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14:29:34-0600',mode:absolute,to:'2016-05-13 15:18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3" s="74" t="str">
        <f t="shared" si="29"/>
        <v>N</v>
      </c>
      <c r="V83" s="74">
        <f t="shared" si="30"/>
        <v>1</v>
      </c>
      <c r="W83" s="74">
        <f t="shared" si="24"/>
        <v>23.300599999999999</v>
      </c>
      <c r="X83" s="74">
        <f t="shared" si="23"/>
        <v>1.47E-2</v>
      </c>
      <c r="Y83" s="74">
        <f t="shared" si="25"/>
        <v>23.285899999999998</v>
      </c>
      <c r="Z83" s="75" t="e">
        <f>VLOOKUP(A83,Enforcements!$C$3:$J$12,8,0)</f>
        <v>#N/A</v>
      </c>
      <c r="AA83" s="75" t="e">
        <f>VLOOKUP(A83,Enforcements!$C$3:$J$12,3,0)</f>
        <v>#N/A</v>
      </c>
    </row>
    <row r="84" spans="1:27" s="2" customFormat="1" x14ac:dyDescent="0.25">
      <c r="A84" s="61" t="s">
        <v>301</v>
      </c>
      <c r="B84" s="61">
        <v>4016</v>
      </c>
      <c r="C84" s="61" t="s">
        <v>64</v>
      </c>
      <c r="D84" s="61" t="s">
        <v>118</v>
      </c>
      <c r="E84" s="30">
        <v>42503.579108796293</v>
      </c>
      <c r="F84" s="30">
        <v>42503.580416666664</v>
      </c>
      <c r="G84" s="38">
        <v>1</v>
      </c>
      <c r="H84" s="30" t="s">
        <v>67</v>
      </c>
      <c r="I84" s="30">
        <v>42503.607974537037</v>
      </c>
      <c r="J84" s="61">
        <v>0</v>
      </c>
      <c r="K84" s="61" t="str">
        <f t="shared" si="26"/>
        <v>4015/4016</v>
      </c>
      <c r="L84" s="61" t="str">
        <f>VLOOKUP(A84,'Trips&amp;Operators'!$C$1:$E$9999,3,FALSE)</f>
        <v>STEWART</v>
      </c>
      <c r="M84" s="12">
        <f t="shared" si="27"/>
        <v>2.7557870373129845E-2</v>
      </c>
      <c r="N84" s="13">
        <f t="shared" si="31"/>
        <v>39.683333337306976</v>
      </c>
      <c r="O84" s="13"/>
      <c r="P84" s="13"/>
      <c r="Q84" s="62"/>
      <c r="R84" s="62"/>
      <c r="T8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13:52:55-0600',mode:absolute,to:'2016-05-13 14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4" s="74" t="str">
        <f t="shared" si="29"/>
        <v>N</v>
      </c>
      <c r="V84" s="74">
        <f t="shared" si="30"/>
        <v>1</v>
      </c>
      <c r="W84" s="74">
        <f t="shared" si="24"/>
        <v>4.7300000000000002E-2</v>
      </c>
      <c r="X84" s="74">
        <f t="shared" si="23"/>
        <v>23.329499999999999</v>
      </c>
      <c r="Y84" s="74">
        <f t="shared" si="25"/>
        <v>23.2822</v>
      </c>
      <c r="Z84" s="75" t="e">
        <f>VLOOKUP(A84,Enforcements!$C$3:$J$12,8,0)</f>
        <v>#N/A</v>
      </c>
      <c r="AA84" s="75" t="e">
        <f>VLOOKUP(A84,Enforcements!$C$3:$J$12,3,0)</f>
        <v>#N/A</v>
      </c>
    </row>
    <row r="85" spans="1:27" s="2" customFormat="1" x14ac:dyDescent="0.25">
      <c r="A85" s="61" t="s">
        <v>302</v>
      </c>
      <c r="B85" s="61">
        <v>4015</v>
      </c>
      <c r="C85" s="61" t="s">
        <v>64</v>
      </c>
      <c r="D85" s="61" t="s">
        <v>137</v>
      </c>
      <c r="E85" s="30">
        <v>42503.616666666669</v>
      </c>
      <c r="F85" s="30">
        <v>42503.617905092593</v>
      </c>
      <c r="G85" s="38">
        <v>1</v>
      </c>
      <c r="H85" s="30" t="s">
        <v>303</v>
      </c>
      <c r="I85" s="30">
        <v>42503.647777777776</v>
      </c>
      <c r="J85" s="61">
        <v>1</v>
      </c>
      <c r="K85" s="61" t="str">
        <f t="shared" si="26"/>
        <v>4015/4016</v>
      </c>
      <c r="L85" s="61" t="str">
        <f>VLOOKUP(A85,'Trips&amp;Operators'!$C$1:$E$9999,3,FALSE)</f>
        <v>STEWART</v>
      </c>
      <c r="M85" s="12">
        <f t="shared" si="27"/>
        <v>2.9872685183363501E-2</v>
      </c>
      <c r="N85" s="13"/>
      <c r="O85" s="13"/>
      <c r="P85" s="13">
        <f>$M85*24*60</f>
        <v>43.016666664043441</v>
      </c>
      <c r="Q85" s="62" t="s">
        <v>429</v>
      </c>
      <c r="R85" s="62" t="s">
        <v>427</v>
      </c>
      <c r="T8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14:47:00-0600',mode:absolute,to:'2016-05-13 15:33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5" s="74" t="str">
        <f t="shared" si="29"/>
        <v>Y</v>
      </c>
      <c r="V85" s="74">
        <f t="shared" si="30"/>
        <v>1</v>
      </c>
      <c r="W85" s="74">
        <f t="shared" si="24"/>
        <v>23.298400000000001</v>
      </c>
      <c r="X85" s="74">
        <f t="shared" si="23"/>
        <v>0.49249999999999999</v>
      </c>
      <c r="Y85" s="74">
        <f t="shared" si="25"/>
        <v>22.805900000000001</v>
      </c>
      <c r="Z85" s="75" t="e">
        <f>VLOOKUP(A85,Enforcements!$C$3:$J$12,8,0)</f>
        <v>#N/A</v>
      </c>
      <c r="AA85" s="75" t="e">
        <f>VLOOKUP(A85,Enforcements!$C$3:$J$12,3,0)</f>
        <v>#N/A</v>
      </c>
    </row>
    <row r="86" spans="1:27" s="2" customFormat="1" x14ac:dyDescent="0.25">
      <c r="A86" s="61" t="s">
        <v>304</v>
      </c>
      <c r="B86" s="61">
        <v>4009</v>
      </c>
      <c r="C86" s="61" t="s">
        <v>64</v>
      </c>
      <c r="D86" s="61" t="s">
        <v>145</v>
      </c>
      <c r="E86" s="30">
        <v>42503.589317129627</v>
      </c>
      <c r="F86" s="30">
        <v>42503.592326388891</v>
      </c>
      <c r="G86" s="38">
        <v>4</v>
      </c>
      <c r="H86" s="30" t="s">
        <v>305</v>
      </c>
      <c r="I86" s="30">
        <v>42503.619247685187</v>
      </c>
      <c r="J86" s="61">
        <v>1</v>
      </c>
      <c r="K86" s="61" t="str">
        <f t="shared" si="26"/>
        <v>4009/4010</v>
      </c>
      <c r="L86" s="61" t="str">
        <f>VLOOKUP(A86,'Trips&amp;Operators'!$C$1:$E$9999,3,FALSE)</f>
        <v>ADANE</v>
      </c>
      <c r="M86" s="12">
        <f t="shared" si="27"/>
        <v>2.6921296295768116E-2</v>
      </c>
      <c r="N86" s="13">
        <f>$M86*24*60</f>
        <v>38.766666665906087</v>
      </c>
      <c r="O86" s="13"/>
      <c r="P86" s="13"/>
      <c r="Q86" s="62"/>
      <c r="R86" s="62"/>
      <c r="T8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14:07:37-0600',mode:absolute,to:'2016-05-13 14:52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6" s="74" t="str">
        <f t="shared" si="29"/>
        <v>N</v>
      </c>
      <c r="V86" s="74">
        <f t="shared" si="30"/>
        <v>1</v>
      </c>
      <c r="W86" s="74">
        <f t="shared" si="24"/>
        <v>4.58E-2</v>
      </c>
      <c r="X86" s="74">
        <f t="shared" si="23"/>
        <v>23.3385</v>
      </c>
      <c r="Y86" s="74">
        <f t="shared" si="25"/>
        <v>23.2927</v>
      </c>
      <c r="Z86" s="75" t="e">
        <f>VLOOKUP(A86,Enforcements!$C$3:$J$12,8,0)</f>
        <v>#N/A</v>
      </c>
      <c r="AA86" s="75" t="e">
        <f>VLOOKUP(A86,Enforcements!$C$3:$J$12,3,0)</f>
        <v>#N/A</v>
      </c>
    </row>
    <row r="87" spans="1:27" s="2" customFormat="1" x14ac:dyDescent="0.25">
      <c r="A87" s="61" t="s">
        <v>306</v>
      </c>
      <c r="B87" s="61">
        <v>4010</v>
      </c>
      <c r="C87" s="61" t="s">
        <v>64</v>
      </c>
      <c r="D87" s="61" t="s">
        <v>307</v>
      </c>
      <c r="E87" s="30">
        <v>42503.630416666667</v>
      </c>
      <c r="F87" s="30">
        <v>42503.631458333337</v>
      </c>
      <c r="G87" s="38">
        <v>1</v>
      </c>
      <c r="H87" s="30" t="s">
        <v>111</v>
      </c>
      <c r="I87" s="30">
        <v>42503.658437500002</v>
      </c>
      <c r="J87" s="61">
        <v>0</v>
      </c>
      <c r="K87" s="61" t="str">
        <f t="shared" si="26"/>
        <v>4009/4010</v>
      </c>
      <c r="L87" s="61" t="str">
        <f>VLOOKUP(A87,'Trips&amp;Operators'!$C$1:$E$9999,3,FALSE)</f>
        <v>ADANE</v>
      </c>
      <c r="M87" s="12">
        <f t="shared" si="27"/>
        <v>2.6979166665114462E-2</v>
      </c>
      <c r="N87" s="13">
        <f>$M87*24*60</f>
        <v>38.849999997764826</v>
      </c>
      <c r="O87" s="13"/>
      <c r="P87" s="13"/>
      <c r="Q87" s="62"/>
      <c r="R87" s="62"/>
      <c r="T8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15:06:48-0600',mode:absolute,to:'2016-05-13 15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7" s="74" t="str">
        <f t="shared" si="29"/>
        <v>N</v>
      </c>
      <c r="V87" s="74">
        <f t="shared" si="30"/>
        <v>1</v>
      </c>
      <c r="W87" s="74">
        <f t="shared" si="24"/>
        <v>23.307600000000001</v>
      </c>
      <c r="X87" s="74">
        <f t="shared" si="23"/>
        <v>1.34E-2</v>
      </c>
      <c r="Y87" s="74">
        <f t="shared" si="25"/>
        <v>23.2942</v>
      </c>
      <c r="Z87" s="75" t="e">
        <f>VLOOKUP(A87,Enforcements!$C$3:$J$12,8,0)</f>
        <v>#N/A</v>
      </c>
      <c r="AA87" s="75" t="e">
        <f>VLOOKUP(A87,Enforcements!$C$3:$J$12,3,0)</f>
        <v>#N/A</v>
      </c>
    </row>
    <row r="88" spans="1:27" s="2" customFormat="1" x14ac:dyDescent="0.25">
      <c r="A88" s="61" t="s">
        <v>308</v>
      </c>
      <c r="B88" s="61">
        <v>4025</v>
      </c>
      <c r="C88" s="61" t="s">
        <v>64</v>
      </c>
      <c r="D88" s="61" t="s">
        <v>83</v>
      </c>
      <c r="E88" s="30">
        <v>42503.599224537036</v>
      </c>
      <c r="F88" s="30">
        <v>42503.600266203706</v>
      </c>
      <c r="G88" s="38">
        <v>1</v>
      </c>
      <c r="H88" s="30" t="s">
        <v>72</v>
      </c>
      <c r="I88" s="30">
        <v>42503.629282407404</v>
      </c>
      <c r="J88" s="61">
        <v>1</v>
      </c>
      <c r="K88" s="61" t="str">
        <f t="shared" si="26"/>
        <v>4025/4026</v>
      </c>
      <c r="L88" s="61" t="str">
        <f>VLOOKUP(A88,'Trips&amp;Operators'!$C$1:$E$9999,3,FALSE)</f>
        <v>WEBSTER</v>
      </c>
      <c r="M88" s="12">
        <f t="shared" si="27"/>
        <v>2.901620369812008E-2</v>
      </c>
      <c r="N88" s="13">
        <f>$M88*24*60</f>
        <v>41.783333325292915</v>
      </c>
      <c r="O88" s="13"/>
      <c r="P88" s="13"/>
      <c r="Q88" s="62"/>
      <c r="R88" s="62"/>
      <c r="T8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14:21:53-0600',mode:absolute,to:'2016-05-13 15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8" s="74" t="str">
        <f t="shared" si="29"/>
        <v>N</v>
      </c>
      <c r="V88" s="74">
        <f t="shared" si="30"/>
        <v>1</v>
      </c>
      <c r="W88" s="74">
        <f t="shared" si="24"/>
        <v>4.5100000000000001E-2</v>
      </c>
      <c r="X88" s="74">
        <f t="shared" ref="X88:X119" si="32">RIGHT(H88,LEN(H88)-4)/10000</f>
        <v>23.330300000000001</v>
      </c>
      <c r="Y88" s="74">
        <f t="shared" si="25"/>
        <v>23.2852</v>
      </c>
      <c r="Z88" s="75" t="e">
        <f>VLOOKUP(A88,Enforcements!$C$3:$J$12,8,0)</f>
        <v>#N/A</v>
      </c>
      <c r="AA88" s="75" t="e">
        <f>VLOOKUP(A88,Enforcements!$C$3:$J$12,3,0)</f>
        <v>#N/A</v>
      </c>
    </row>
    <row r="89" spans="1:27" s="2" customFormat="1" x14ac:dyDescent="0.25">
      <c r="A89" s="61" t="s">
        <v>309</v>
      </c>
      <c r="B89" s="61">
        <v>4026</v>
      </c>
      <c r="C89" s="61" t="s">
        <v>64</v>
      </c>
      <c r="D89" s="61" t="s">
        <v>204</v>
      </c>
      <c r="E89" s="30">
        <v>42503.641377314816</v>
      </c>
      <c r="F89" s="30">
        <v>42503.642372685186</v>
      </c>
      <c r="G89" s="38">
        <v>1</v>
      </c>
      <c r="H89" s="30" t="s">
        <v>136</v>
      </c>
      <c r="I89" s="30">
        <v>42503.671400462961</v>
      </c>
      <c r="J89" s="61">
        <v>1</v>
      </c>
      <c r="K89" s="61" t="str">
        <f t="shared" si="26"/>
        <v>4025/4026</v>
      </c>
      <c r="L89" s="61" t="str">
        <f>VLOOKUP(A89,'Trips&amp;Operators'!$C$1:$E$9999,3,FALSE)</f>
        <v>WEBSTER</v>
      </c>
      <c r="M89" s="12">
        <f t="shared" si="27"/>
        <v>2.9027777774899732E-2</v>
      </c>
      <c r="N89" s="13">
        <f>$M89*24*60</f>
        <v>41.799999995855615</v>
      </c>
      <c r="O89" s="13"/>
      <c r="P89" s="13"/>
      <c r="Q89" s="62"/>
      <c r="R89" s="62"/>
      <c r="T8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15:22:35-0600',mode:absolute,to:'2016-05-13 16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9" s="74" t="str">
        <f t="shared" si="29"/>
        <v>N</v>
      </c>
      <c r="V89" s="74">
        <f t="shared" si="30"/>
        <v>1</v>
      </c>
      <c r="W89" s="74">
        <f t="shared" si="24"/>
        <v>23.297699999999999</v>
      </c>
      <c r="X89" s="74">
        <f t="shared" si="32"/>
        <v>1.5800000000000002E-2</v>
      </c>
      <c r="Y89" s="74">
        <f t="shared" si="25"/>
        <v>23.2819</v>
      </c>
      <c r="Z89" s="75" t="e">
        <f>VLOOKUP(A89,Enforcements!$C$3:$J$12,8,0)</f>
        <v>#N/A</v>
      </c>
      <c r="AA89" s="75" t="e">
        <f>VLOOKUP(A89,Enforcements!$C$3:$J$12,3,0)</f>
        <v>#N/A</v>
      </c>
    </row>
    <row r="90" spans="1:27" s="2" customFormat="1" x14ac:dyDescent="0.25">
      <c r="A90" s="61" t="s">
        <v>310</v>
      </c>
      <c r="B90" s="61">
        <v>4038</v>
      </c>
      <c r="C90" s="61" t="s">
        <v>64</v>
      </c>
      <c r="D90" s="61" t="s">
        <v>115</v>
      </c>
      <c r="E90" s="30">
        <v>42503.611400462964</v>
      </c>
      <c r="F90" s="30">
        <v>42503.612164351849</v>
      </c>
      <c r="G90" s="38">
        <v>1</v>
      </c>
      <c r="H90" s="30" t="s">
        <v>311</v>
      </c>
      <c r="I90" s="30">
        <v>42503.639710648145</v>
      </c>
      <c r="J90" s="61">
        <v>2</v>
      </c>
      <c r="K90" s="61" t="str">
        <f t="shared" si="26"/>
        <v>4037/4038</v>
      </c>
      <c r="L90" s="61" t="str">
        <f>VLOOKUP(A90,'Trips&amp;Operators'!$C$1:$E$9999,3,FALSE)</f>
        <v>SPECTOR</v>
      </c>
      <c r="M90" s="12">
        <f t="shared" si="27"/>
        <v>2.7546296296350192E-2</v>
      </c>
      <c r="N90" s="13">
        <f>$M90*24*60</f>
        <v>39.666666666744277</v>
      </c>
      <c r="O90" s="13"/>
      <c r="P90" s="13"/>
      <c r="Q90" s="62"/>
      <c r="R90" s="62"/>
      <c r="T9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14:39:25-0600',mode:absolute,to:'2016-05-13 15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0" s="74" t="str">
        <f t="shared" si="29"/>
        <v>N</v>
      </c>
      <c r="V90" s="74">
        <f t="shared" si="30"/>
        <v>1</v>
      </c>
      <c r="W90" s="74">
        <f t="shared" si="24"/>
        <v>4.3299999999999998E-2</v>
      </c>
      <c r="X90" s="74">
        <f t="shared" si="32"/>
        <v>23.327000000000002</v>
      </c>
      <c r="Y90" s="74">
        <f t="shared" si="25"/>
        <v>23.283700000000003</v>
      </c>
      <c r="Z90" s="75" t="e">
        <f>VLOOKUP(A90,Enforcements!$C$3:$J$12,8,0)</f>
        <v>#N/A</v>
      </c>
      <c r="AA90" s="75" t="e">
        <f>VLOOKUP(A90,Enforcements!$C$3:$J$12,3,0)</f>
        <v>#N/A</v>
      </c>
    </row>
    <row r="91" spans="1:27" s="2" customFormat="1" x14ac:dyDescent="0.25">
      <c r="A91" s="61" t="s">
        <v>312</v>
      </c>
      <c r="B91" s="61">
        <v>4037</v>
      </c>
      <c r="C91" s="61" t="s">
        <v>64</v>
      </c>
      <c r="D91" s="61" t="s">
        <v>313</v>
      </c>
      <c r="E91" s="30">
        <v>42503.645162037035</v>
      </c>
      <c r="F91" s="30">
        <v>42503.645972222221</v>
      </c>
      <c r="G91" s="38">
        <v>1</v>
      </c>
      <c r="H91" s="30" t="s">
        <v>314</v>
      </c>
      <c r="I91" s="30">
        <v>42503.672210648147</v>
      </c>
      <c r="J91" s="61">
        <v>1</v>
      </c>
      <c r="K91" s="61" t="str">
        <f t="shared" si="26"/>
        <v>4037/4038</v>
      </c>
      <c r="L91" s="61" t="str">
        <f>VLOOKUP(A91,'Trips&amp;Operators'!$C$1:$E$9999,3,FALSE)</f>
        <v>SPECTOR</v>
      </c>
      <c r="M91" s="12">
        <f t="shared" si="27"/>
        <v>2.6238425925839692E-2</v>
      </c>
      <c r="N91" s="13"/>
      <c r="O91" s="13"/>
      <c r="P91" s="13">
        <v>48</v>
      </c>
      <c r="Q91" s="62" t="s">
        <v>429</v>
      </c>
      <c r="R91" s="62" t="s">
        <v>428</v>
      </c>
      <c r="T9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15:28:02-0600',mode:absolute,to:'2016-05-13 16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1" s="74" t="str">
        <f t="shared" si="29"/>
        <v>Y</v>
      </c>
      <c r="V91" s="74">
        <f t="shared" si="30"/>
        <v>1</v>
      </c>
      <c r="W91" s="74">
        <f t="shared" si="24"/>
        <v>23.295500000000001</v>
      </c>
      <c r="X91" s="74">
        <f t="shared" si="32"/>
        <v>6.4058999999999999</v>
      </c>
      <c r="Y91" s="74">
        <f t="shared" si="25"/>
        <v>16.889600000000002</v>
      </c>
      <c r="Z91" s="75">
        <f>VLOOKUP(A91,Enforcements!$C$3:$J$12,8,0)</f>
        <v>64008</v>
      </c>
      <c r="AA91" s="75" t="str">
        <f>VLOOKUP(A91,Enforcements!$C$3:$J$12,3,0)</f>
        <v>SIGNAL</v>
      </c>
    </row>
    <row r="92" spans="1:27" s="2" customFormat="1" x14ac:dyDescent="0.25">
      <c r="A92" s="61" t="s">
        <v>312</v>
      </c>
      <c r="B92" s="61">
        <v>4037</v>
      </c>
      <c r="C92" s="61" t="s">
        <v>64</v>
      </c>
      <c r="D92" s="61" t="s">
        <v>315</v>
      </c>
      <c r="E92" s="30">
        <v>42503.676446759258</v>
      </c>
      <c r="F92" s="30">
        <v>42503.677303240744</v>
      </c>
      <c r="G92" s="38">
        <v>1</v>
      </c>
      <c r="H92" s="30" t="s">
        <v>73</v>
      </c>
      <c r="I92" s="30">
        <v>42503.684583333335</v>
      </c>
      <c r="J92" s="61">
        <v>0</v>
      </c>
      <c r="K92" s="61" t="str">
        <f t="shared" si="26"/>
        <v>4037/4038</v>
      </c>
      <c r="L92" s="61" t="str">
        <f>VLOOKUP(A92,'Trips&amp;Operators'!$C$1:$E$9999,3,FALSE)</f>
        <v>SPECTOR</v>
      </c>
      <c r="M92" s="12">
        <f t="shared" si="27"/>
        <v>7.2800925918272696E-3</v>
      </c>
      <c r="N92" s="13"/>
      <c r="O92" s="13"/>
      <c r="P92" s="13"/>
      <c r="Q92" s="62"/>
      <c r="R92" s="62"/>
      <c r="T9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16:13:05-0600',mode:absolute,to:'2016-05-13 16:26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2" s="74" t="str">
        <f t="shared" si="29"/>
        <v>Y</v>
      </c>
      <c r="V92" s="74">
        <f t="shared" si="30"/>
        <v>0</v>
      </c>
      <c r="W92" s="74">
        <f t="shared" si="24"/>
        <v>3.6775000000000002</v>
      </c>
      <c r="X92" s="74">
        <f t="shared" si="32"/>
        <v>1.43E-2</v>
      </c>
      <c r="Y92" s="74">
        <f t="shared" si="25"/>
        <v>3.6632000000000002</v>
      </c>
      <c r="Z92" s="75">
        <f>VLOOKUP(A92,Enforcements!$C$3:$J$12,8,0)</f>
        <v>64008</v>
      </c>
      <c r="AA92" s="75" t="str">
        <f>VLOOKUP(A92,Enforcements!$C$3:$J$12,3,0)</f>
        <v>SIGNAL</v>
      </c>
    </row>
    <row r="93" spans="1:27" s="2" customFormat="1" x14ac:dyDescent="0.25">
      <c r="A93" s="61" t="s">
        <v>316</v>
      </c>
      <c r="B93" s="61">
        <v>4020</v>
      </c>
      <c r="C93" s="61" t="s">
        <v>64</v>
      </c>
      <c r="D93" s="61" t="s">
        <v>273</v>
      </c>
      <c r="E93" s="30">
        <v>42503.620729166665</v>
      </c>
      <c r="F93" s="30">
        <v>42503.621759259258</v>
      </c>
      <c r="G93" s="38">
        <v>1</v>
      </c>
      <c r="H93" s="30" t="s">
        <v>317</v>
      </c>
      <c r="I93" s="30">
        <v>42503.636805555558</v>
      </c>
      <c r="J93" s="61">
        <v>1</v>
      </c>
      <c r="K93" s="61" t="str">
        <f t="shared" si="26"/>
        <v>4019/4020</v>
      </c>
      <c r="L93" s="61" t="str">
        <f>VLOOKUP(A93,'Trips&amp;Operators'!$C$1:$E$9999,3,FALSE)</f>
        <v>STORY</v>
      </c>
      <c r="M93" s="12">
        <f t="shared" si="27"/>
        <v>1.5046296299260575E-2</v>
      </c>
      <c r="N93" s="13"/>
      <c r="O93" s="13"/>
      <c r="P93" s="13">
        <f>(M93+M94)*24*60</f>
        <v>45.83333333954215</v>
      </c>
      <c r="Q93" s="62" t="s">
        <v>429</v>
      </c>
      <c r="R93" s="62" t="s">
        <v>449</v>
      </c>
      <c r="T9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14:52:51-0600',mode:absolute,to:'2016-05-13 15:18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3" s="74" t="str">
        <f t="shared" si="29"/>
        <v>Y</v>
      </c>
      <c r="V93" s="74">
        <f t="shared" si="30"/>
        <v>1</v>
      </c>
      <c r="W93" s="74">
        <f t="shared" si="24"/>
        <v>4.2200000000000001E-2</v>
      </c>
      <c r="X93" s="74">
        <f t="shared" si="32"/>
        <v>5.2305000000000001</v>
      </c>
      <c r="Y93" s="74">
        <f t="shared" si="25"/>
        <v>5.1882999999999999</v>
      </c>
      <c r="Z93" s="75">
        <f>VLOOKUP(A93,Enforcements!$C$3:$J$12,8,0)</f>
        <v>50746</v>
      </c>
      <c r="AA93" s="75" t="str">
        <f>VLOOKUP(A93,Enforcements!$C$3:$J$12,3,0)</f>
        <v>SIGNAL</v>
      </c>
    </row>
    <row r="94" spans="1:27" s="2" customFormat="1" x14ac:dyDescent="0.25">
      <c r="A94" s="61" t="s">
        <v>316</v>
      </c>
      <c r="B94" s="61">
        <v>4020</v>
      </c>
      <c r="C94" s="61" t="s">
        <v>64</v>
      </c>
      <c r="D94" s="61" t="s">
        <v>318</v>
      </c>
      <c r="E94" s="30">
        <v>42503.640023148146</v>
      </c>
      <c r="F94" s="30">
        <v>42503.640682870369</v>
      </c>
      <c r="G94" s="38">
        <v>0</v>
      </c>
      <c r="H94" s="30" t="s">
        <v>319</v>
      </c>
      <c r="I94" s="30">
        <v>42503.657465277778</v>
      </c>
      <c r="J94" s="61">
        <v>0</v>
      </c>
      <c r="K94" s="61" t="str">
        <f t="shared" si="26"/>
        <v>4019/4020</v>
      </c>
      <c r="L94" s="61" t="str">
        <f>VLOOKUP(A94,'Trips&amp;Operators'!$C$1:$E$9999,3,FALSE)</f>
        <v>STORY</v>
      </c>
      <c r="M94" s="12">
        <f t="shared" si="27"/>
        <v>1.6782407408754807E-2</v>
      </c>
      <c r="N94" s="13"/>
      <c r="O94" s="13"/>
      <c r="P94" s="13"/>
      <c r="Q94" s="62"/>
      <c r="R94" s="62"/>
      <c r="T9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15:20:38-0600',mode:absolute,to:'2016-05-13 15:47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4" s="74" t="str">
        <f t="shared" si="29"/>
        <v>Y</v>
      </c>
      <c r="V94" s="74">
        <f t="shared" si="30"/>
        <v>0</v>
      </c>
      <c r="W94" s="74">
        <f t="shared" si="24"/>
        <v>6.4706000000000001</v>
      </c>
      <c r="X94" s="74">
        <f t="shared" si="32"/>
        <v>23.334700000000002</v>
      </c>
      <c r="Y94" s="74">
        <f t="shared" si="25"/>
        <v>16.864100000000001</v>
      </c>
      <c r="Z94" s="75">
        <f>VLOOKUP(A94,Enforcements!$C$3:$J$12,8,0)</f>
        <v>50746</v>
      </c>
      <c r="AA94" s="75" t="str">
        <f>VLOOKUP(A94,Enforcements!$C$3:$J$12,3,0)</f>
        <v>SIGNAL</v>
      </c>
    </row>
    <row r="95" spans="1:27" s="2" customFormat="1" x14ac:dyDescent="0.25">
      <c r="A95" s="61" t="s">
        <v>320</v>
      </c>
      <c r="B95" s="61">
        <v>4019</v>
      </c>
      <c r="C95" s="61" t="s">
        <v>64</v>
      </c>
      <c r="D95" s="61" t="s">
        <v>321</v>
      </c>
      <c r="E95" s="30">
        <v>42503.660081018519</v>
      </c>
      <c r="F95" s="30">
        <v>42503.660995370374</v>
      </c>
      <c r="G95" s="38">
        <v>1</v>
      </c>
      <c r="H95" s="30" t="s">
        <v>157</v>
      </c>
      <c r="I95" s="30">
        <v>42503.695277777777</v>
      </c>
      <c r="J95" s="61">
        <v>3</v>
      </c>
      <c r="K95" s="61" t="str">
        <f t="shared" si="26"/>
        <v>4019/4020</v>
      </c>
      <c r="L95" s="61" t="str">
        <f>VLOOKUP(A95,'Trips&amp;Operators'!$C$1:$E$9999,3,FALSE)</f>
        <v>STORY</v>
      </c>
      <c r="M95" s="12">
        <f t="shared" si="27"/>
        <v>3.4282407403225079E-2</v>
      </c>
      <c r="N95" s="13">
        <f t="shared" ref="N95:N100" si="33">$M95*24*60</f>
        <v>49.366666660644114</v>
      </c>
      <c r="O95" s="13"/>
      <c r="P95" s="13"/>
      <c r="Q95" s="62"/>
      <c r="R95" s="62"/>
      <c r="T9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15:49:31-0600',mode:absolute,to:'2016-05-13 16:42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5" s="74" t="str">
        <f t="shared" si="29"/>
        <v>N</v>
      </c>
      <c r="V95" s="74">
        <f t="shared" si="30"/>
        <v>1</v>
      </c>
      <c r="W95" s="74">
        <f t="shared" si="24"/>
        <v>23.303999999999998</v>
      </c>
      <c r="X95" s="74">
        <f t="shared" si="32"/>
        <v>1.3899999999999999E-2</v>
      </c>
      <c r="Y95" s="74">
        <f t="shared" si="25"/>
        <v>23.290099999999999</v>
      </c>
      <c r="Z95" s="75" t="e">
        <f>VLOOKUP(A95,Enforcements!$C$3:$J$12,8,0)</f>
        <v>#N/A</v>
      </c>
      <c r="AA95" s="75" t="e">
        <f>VLOOKUP(A95,Enforcements!$C$3:$J$12,3,0)</f>
        <v>#N/A</v>
      </c>
    </row>
    <row r="96" spans="1:27" s="2" customFormat="1" x14ac:dyDescent="0.25">
      <c r="A96" s="61" t="s">
        <v>322</v>
      </c>
      <c r="B96" s="61">
        <v>4040</v>
      </c>
      <c r="C96" s="61" t="s">
        <v>64</v>
      </c>
      <c r="D96" s="61" t="s">
        <v>95</v>
      </c>
      <c r="E96" s="30">
        <v>42503.631666666668</v>
      </c>
      <c r="F96" s="30">
        <v>42503.632615740738</v>
      </c>
      <c r="G96" s="38">
        <v>1</v>
      </c>
      <c r="H96" s="30" t="s">
        <v>323</v>
      </c>
      <c r="I96" s="30">
        <v>42503.66064814815</v>
      </c>
      <c r="J96" s="61">
        <v>1</v>
      </c>
      <c r="K96" s="61" t="str">
        <f t="shared" si="26"/>
        <v>4039/4040</v>
      </c>
      <c r="L96" s="61" t="str">
        <f>VLOOKUP(A96,'Trips&amp;Operators'!$C$1:$E$9999,3,FALSE)</f>
        <v>LOCKLEAR</v>
      </c>
      <c r="M96" s="12">
        <f t="shared" si="27"/>
        <v>2.8032407411956228E-2</v>
      </c>
      <c r="N96" s="13">
        <f t="shared" si="33"/>
        <v>40.366666673216969</v>
      </c>
      <c r="O96" s="13"/>
      <c r="P96" s="13"/>
      <c r="Q96" s="62"/>
      <c r="R96" s="62"/>
      <c r="T9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15:08:36-0600',mode:absolute,to:'2016-05-13 15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6" s="74" t="str">
        <f t="shared" si="29"/>
        <v>N</v>
      </c>
      <c r="V96" s="74">
        <f t="shared" si="30"/>
        <v>1</v>
      </c>
      <c r="W96" s="74">
        <f t="shared" si="24"/>
        <v>4.6600000000000003E-2</v>
      </c>
      <c r="X96" s="74">
        <f t="shared" si="32"/>
        <v>23.340599999999998</v>
      </c>
      <c r="Y96" s="74">
        <f t="shared" si="25"/>
        <v>23.293999999999997</v>
      </c>
      <c r="Z96" s="75" t="e">
        <f>VLOOKUP(A96,Enforcements!$C$3:$J$12,8,0)</f>
        <v>#N/A</v>
      </c>
      <c r="AA96" s="75" t="e">
        <f>VLOOKUP(A96,Enforcements!$C$3:$J$12,3,0)</f>
        <v>#N/A</v>
      </c>
    </row>
    <row r="97" spans="1:27" s="2" customFormat="1" x14ac:dyDescent="0.25">
      <c r="A97" s="61" t="s">
        <v>324</v>
      </c>
      <c r="B97" s="61">
        <v>4039</v>
      </c>
      <c r="C97" s="61" t="s">
        <v>64</v>
      </c>
      <c r="D97" s="61" t="s">
        <v>325</v>
      </c>
      <c r="E97" s="30">
        <v>42503.671331018515</v>
      </c>
      <c r="F97" s="30">
        <v>42503.672199074077</v>
      </c>
      <c r="G97" s="38">
        <v>1</v>
      </c>
      <c r="H97" s="30" t="s">
        <v>71</v>
      </c>
      <c r="I97" s="30">
        <v>42503.699837962966</v>
      </c>
      <c r="J97" s="61">
        <v>0</v>
      </c>
      <c r="K97" s="61" t="str">
        <f t="shared" si="26"/>
        <v>4039/4040</v>
      </c>
      <c r="L97" s="61" t="str">
        <f>VLOOKUP(A97,'Trips&amp;Operators'!$C$1:$E$9999,3,FALSE)</f>
        <v>LOCKLEAR</v>
      </c>
      <c r="M97" s="12">
        <f t="shared" si="27"/>
        <v>2.7638888888759539E-2</v>
      </c>
      <c r="N97" s="13">
        <f t="shared" si="33"/>
        <v>39.799999999813735</v>
      </c>
      <c r="O97" s="13"/>
      <c r="P97" s="13"/>
      <c r="Q97" s="62"/>
      <c r="R97" s="62"/>
      <c r="T9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16:05:43-0600',mode:absolute,to:'2016-05-13 16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7" s="74" t="str">
        <f t="shared" si="29"/>
        <v>N</v>
      </c>
      <c r="V97" s="74">
        <f t="shared" si="30"/>
        <v>1</v>
      </c>
      <c r="W97" s="74">
        <f t="shared" si="24"/>
        <v>23.306799999999999</v>
      </c>
      <c r="X97" s="74">
        <f t="shared" si="32"/>
        <v>1.49E-2</v>
      </c>
      <c r="Y97" s="74">
        <f t="shared" si="25"/>
        <v>23.291899999999998</v>
      </c>
      <c r="Z97" s="75" t="e">
        <f>VLOOKUP(A97,Enforcements!$C$3:$J$12,8,0)</f>
        <v>#N/A</v>
      </c>
      <c r="AA97" s="75" t="e">
        <f>VLOOKUP(A97,Enforcements!$C$3:$J$12,3,0)</f>
        <v>#N/A</v>
      </c>
    </row>
    <row r="98" spans="1:27" s="2" customFormat="1" x14ac:dyDescent="0.25">
      <c r="A98" s="61" t="s">
        <v>326</v>
      </c>
      <c r="B98" s="61">
        <v>4044</v>
      </c>
      <c r="C98" s="61" t="s">
        <v>64</v>
      </c>
      <c r="D98" s="61" t="s">
        <v>159</v>
      </c>
      <c r="E98" s="30">
        <v>42503.640787037039</v>
      </c>
      <c r="F98" s="30">
        <v>42503.641782407409</v>
      </c>
      <c r="G98" s="38">
        <v>1</v>
      </c>
      <c r="H98" s="30" t="s">
        <v>327</v>
      </c>
      <c r="I98" s="30">
        <v>42503.674039351848</v>
      </c>
      <c r="J98" s="61">
        <v>0</v>
      </c>
      <c r="K98" s="61" t="str">
        <f t="shared" si="26"/>
        <v>4043/4044</v>
      </c>
      <c r="L98" s="61" t="str">
        <f>VLOOKUP(A98,'Trips&amp;Operators'!$C$1:$E$9999,3,FALSE)</f>
        <v>CANFIELD</v>
      </c>
      <c r="M98" s="12">
        <f t="shared" si="27"/>
        <v>3.2256944439723156E-2</v>
      </c>
      <c r="N98" s="13">
        <f t="shared" si="33"/>
        <v>46.449999993201345</v>
      </c>
      <c r="O98" s="13"/>
      <c r="P98" s="13"/>
      <c r="Q98" s="62"/>
      <c r="R98" s="62"/>
      <c r="T9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15:21:44-0600',mode:absolute,to:'2016-05-13 16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8" s="74" t="str">
        <f t="shared" si="29"/>
        <v>N</v>
      </c>
      <c r="V98" s="74">
        <f t="shared" si="30"/>
        <v>1</v>
      </c>
      <c r="W98" s="74">
        <f t="shared" si="24"/>
        <v>4.4400000000000002E-2</v>
      </c>
      <c r="X98" s="74">
        <f t="shared" si="32"/>
        <v>23.3353</v>
      </c>
      <c r="Y98" s="74">
        <f t="shared" si="25"/>
        <v>23.290900000000001</v>
      </c>
      <c r="Z98" s="75" t="e">
        <f>VLOOKUP(A98,Enforcements!$C$3:$J$12,8,0)</f>
        <v>#N/A</v>
      </c>
      <c r="AA98" s="75" t="e">
        <f>VLOOKUP(A98,Enforcements!$C$3:$J$12,3,0)</f>
        <v>#N/A</v>
      </c>
    </row>
    <row r="99" spans="1:27" s="2" customFormat="1" x14ac:dyDescent="0.25">
      <c r="A99" s="61" t="s">
        <v>328</v>
      </c>
      <c r="B99" s="61">
        <v>4043</v>
      </c>
      <c r="C99" s="61" t="s">
        <v>64</v>
      </c>
      <c r="D99" s="61" t="s">
        <v>329</v>
      </c>
      <c r="E99" s="30">
        <v>42503.678483796299</v>
      </c>
      <c r="F99" s="30">
        <v>42503.679872685185</v>
      </c>
      <c r="G99" s="38">
        <v>1</v>
      </c>
      <c r="H99" s="30" t="s">
        <v>112</v>
      </c>
      <c r="I99" s="30">
        <v>42503.710949074077</v>
      </c>
      <c r="J99" s="61">
        <v>0</v>
      </c>
      <c r="K99" s="61" t="str">
        <f t="shared" si="26"/>
        <v>4043/4044</v>
      </c>
      <c r="L99" s="61" t="str">
        <f>VLOOKUP(A99,'Trips&amp;Operators'!$C$1:$E$9999,3,FALSE)</f>
        <v>CANFIELD</v>
      </c>
      <c r="M99" s="12">
        <f t="shared" si="27"/>
        <v>3.107638889196096E-2</v>
      </c>
      <c r="N99" s="13">
        <f t="shared" si="33"/>
        <v>44.750000004423782</v>
      </c>
      <c r="O99" s="13"/>
      <c r="P99" s="13"/>
      <c r="Q99" s="62"/>
      <c r="R99" s="62"/>
      <c r="T9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16:16:01-0600',mode:absolute,to:'2016-05-13 17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9" s="74" t="str">
        <f t="shared" si="29"/>
        <v>N</v>
      </c>
      <c r="V99" s="74">
        <f t="shared" si="30"/>
        <v>1</v>
      </c>
      <c r="W99" s="74">
        <f t="shared" ref="W99:W130" si="34">RIGHT(D99,LEN(D99)-4)/10000</f>
        <v>23.304600000000001</v>
      </c>
      <c r="X99" s="74">
        <f t="shared" si="32"/>
        <v>1.47E-2</v>
      </c>
      <c r="Y99" s="74">
        <f t="shared" ref="Y99:Y130" si="35">ABS(X99-W99)</f>
        <v>23.289899999999999</v>
      </c>
      <c r="Z99" s="75" t="e">
        <f>VLOOKUP(A99,Enforcements!$C$3:$J$12,8,0)</f>
        <v>#N/A</v>
      </c>
      <c r="AA99" s="75" t="e">
        <f>VLOOKUP(A99,Enforcements!$C$3:$J$12,3,0)</f>
        <v>#N/A</v>
      </c>
    </row>
    <row r="100" spans="1:27" s="2" customFormat="1" x14ac:dyDescent="0.25">
      <c r="A100" s="61" t="s">
        <v>330</v>
      </c>
      <c r="B100" s="61">
        <v>4016</v>
      </c>
      <c r="C100" s="61" t="s">
        <v>64</v>
      </c>
      <c r="D100" s="61" t="s">
        <v>91</v>
      </c>
      <c r="E100" s="30">
        <v>42503.653298611112</v>
      </c>
      <c r="F100" s="30">
        <v>42503.654328703706</v>
      </c>
      <c r="G100" s="38">
        <v>1</v>
      </c>
      <c r="H100" s="30" t="s">
        <v>331</v>
      </c>
      <c r="I100" s="30">
        <v>42503.681504629632</v>
      </c>
      <c r="J100" s="61">
        <v>0</v>
      </c>
      <c r="K100" s="61" t="str">
        <f t="shared" ref="K100:K131" si="36">IF(ISEVEN(B100),(B100-1)&amp;"/"&amp;B100,B100&amp;"/"&amp;(B100+1))</f>
        <v>4015/4016</v>
      </c>
      <c r="L100" s="61" t="str">
        <f>VLOOKUP(A100,'Trips&amp;Operators'!$C$1:$E$9999,3,FALSE)</f>
        <v>STEWART</v>
      </c>
      <c r="M100" s="12">
        <f t="shared" ref="M100:M131" si="37">I100-F100</f>
        <v>2.7175925926712807E-2</v>
      </c>
      <c r="N100" s="13">
        <f t="shared" si="33"/>
        <v>39.133333334466442</v>
      </c>
      <c r="O100" s="13"/>
      <c r="P100" s="13"/>
      <c r="Q100" s="62"/>
      <c r="R100" s="62"/>
      <c r="T100" s="74" t="str">
        <f t="shared" ref="T100:T131" si="38"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https://search-rtdc-monitor-bjffxe2xuh6vdkpspy63sjmuny.us-east-1.es.amazonaws.com/_plugin/kibana/#/discover/Steve-Slow-Train-Analysis-(2080s-and-2083s)?_g=(refreshInterval:(display:Off,section:0,value:0),time:(from:'2016-05-13 15:39:45-0600',mode:absolute,to:'2016-05-13 16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0" s="74" t="str">
        <f t="shared" ref="U100:U131" si="39">IF(Y100&lt;23,"Y","N")</f>
        <v>N</v>
      </c>
      <c r="V100" s="74">
        <f t="shared" ref="V100:V131" si="40">VALUE(LEFT(A100,3))-VALUE(LEFT(A99,3))</f>
        <v>1</v>
      </c>
      <c r="W100" s="74">
        <f t="shared" si="34"/>
        <v>4.6399999999999997E-2</v>
      </c>
      <c r="X100" s="74">
        <f t="shared" si="32"/>
        <v>23.335100000000001</v>
      </c>
      <c r="Y100" s="74">
        <f t="shared" si="35"/>
        <v>23.288700000000002</v>
      </c>
      <c r="Z100" s="75" t="e">
        <f>VLOOKUP(A100,Enforcements!$C$3:$J$12,8,0)</f>
        <v>#N/A</v>
      </c>
      <c r="AA100" s="75" t="e">
        <f>VLOOKUP(A100,Enforcements!$C$3:$J$12,3,0)</f>
        <v>#N/A</v>
      </c>
    </row>
    <row r="101" spans="1:27" s="2" customFormat="1" x14ac:dyDescent="0.25">
      <c r="A101" s="61" t="s">
        <v>332</v>
      </c>
      <c r="B101" s="61">
        <v>4015</v>
      </c>
      <c r="C101" s="61" t="s">
        <v>64</v>
      </c>
      <c r="D101" s="61" t="s">
        <v>333</v>
      </c>
      <c r="E101" s="30">
        <v>42503.691412037035</v>
      </c>
      <c r="F101" s="30">
        <v>42503.692384259259</v>
      </c>
      <c r="G101" s="38">
        <v>1</v>
      </c>
      <c r="H101" s="30" t="s">
        <v>334</v>
      </c>
      <c r="I101" s="30">
        <v>42503.721168981479</v>
      </c>
      <c r="J101" s="61">
        <v>0</v>
      </c>
      <c r="K101" s="61" t="str">
        <f t="shared" si="36"/>
        <v>4015/4016</v>
      </c>
      <c r="L101" s="61" t="str">
        <f>VLOOKUP(A101,'Trips&amp;Operators'!$C$1:$E$9999,3,FALSE)</f>
        <v>STEWART</v>
      </c>
      <c r="M101" s="12">
        <f t="shared" si="37"/>
        <v>2.8784722220734693E-2</v>
      </c>
      <c r="N101" s="13"/>
      <c r="O101" s="13"/>
      <c r="P101" s="13">
        <f>$M101*24*60</f>
        <v>41.449999997857958</v>
      </c>
      <c r="Q101" s="62" t="s">
        <v>142</v>
      </c>
      <c r="R101" s="62" t="s">
        <v>450</v>
      </c>
      <c r="T10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16:34:38-0600',mode:absolute,to:'2016-05-13 17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1" s="74" t="str">
        <f t="shared" si="39"/>
        <v>Y</v>
      </c>
      <c r="V101" s="74">
        <f t="shared" si="40"/>
        <v>1</v>
      </c>
      <c r="W101" s="74">
        <f t="shared" si="34"/>
        <v>23.305700000000002</v>
      </c>
      <c r="X101" s="74">
        <f t="shared" si="32"/>
        <v>0.64980000000000004</v>
      </c>
      <c r="Y101" s="74">
        <f t="shared" si="35"/>
        <v>22.655900000000003</v>
      </c>
      <c r="Z101" s="75" t="e">
        <f>VLOOKUP(A101,Enforcements!$C$3:$J$12,8,0)</f>
        <v>#N/A</v>
      </c>
      <c r="AA101" s="75" t="e">
        <f>VLOOKUP(A101,Enforcements!$C$3:$J$12,3,0)</f>
        <v>#N/A</v>
      </c>
    </row>
    <row r="102" spans="1:27" s="2" customFormat="1" x14ac:dyDescent="0.25">
      <c r="A102" s="61" t="s">
        <v>335</v>
      </c>
      <c r="B102" s="61">
        <v>4009</v>
      </c>
      <c r="C102" s="61" t="s">
        <v>64</v>
      </c>
      <c r="D102" s="61" t="s">
        <v>83</v>
      </c>
      <c r="E102" s="30">
        <v>42503.663171296299</v>
      </c>
      <c r="F102" s="30">
        <v>42503.664120370369</v>
      </c>
      <c r="G102" s="38">
        <v>1</v>
      </c>
      <c r="H102" s="30" t="s">
        <v>336</v>
      </c>
      <c r="I102" s="30">
        <v>42503.69122685185</v>
      </c>
      <c r="J102" s="61">
        <v>1</v>
      </c>
      <c r="K102" s="61" t="str">
        <f t="shared" si="36"/>
        <v>4009/4010</v>
      </c>
      <c r="L102" s="61" t="str">
        <f>VLOOKUP(A102,'Trips&amp;Operators'!$C$1:$E$9999,3,FALSE)</f>
        <v>ROCHA</v>
      </c>
      <c r="M102" s="12">
        <f t="shared" si="37"/>
        <v>2.7106481480586808E-2</v>
      </c>
      <c r="N102" s="13">
        <f>$M102*24*60</f>
        <v>39.033333332045004</v>
      </c>
      <c r="O102" s="13"/>
      <c r="P102" s="13"/>
      <c r="Q102" s="62"/>
      <c r="R102" s="62"/>
      <c r="T10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15:53:58-0600',mode:absolute,to:'2016-05-13 16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2" s="74" t="str">
        <f t="shared" si="39"/>
        <v>N</v>
      </c>
      <c r="V102" s="74">
        <f t="shared" si="40"/>
        <v>1</v>
      </c>
      <c r="W102" s="74">
        <f t="shared" si="34"/>
        <v>4.5100000000000001E-2</v>
      </c>
      <c r="X102" s="74">
        <f t="shared" si="32"/>
        <v>23.328600000000002</v>
      </c>
      <c r="Y102" s="74">
        <f t="shared" si="35"/>
        <v>23.2835</v>
      </c>
      <c r="Z102" s="75" t="e">
        <f>VLOOKUP(A102,Enforcements!$C$3:$J$12,8,0)</f>
        <v>#N/A</v>
      </c>
      <c r="AA102" s="75" t="e">
        <f>VLOOKUP(A102,Enforcements!$C$3:$J$12,3,0)</f>
        <v>#N/A</v>
      </c>
    </row>
    <row r="103" spans="1:27" s="2" customFormat="1" x14ac:dyDescent="0.25">
      <c r="A103" s="61" t="s">
        <v>337</v>
      </c>
      <c r="B103" s="61">
        <v>4010</v>
      </c>
      <c r="C103" s="61" t="s">
        <v>64</v>
      </c>
      <c r="D103" s="61" t="s">
        <v>105</v>
      </c>
      <c r="E103" s="30">
        <v>42503.697662037041</v>
      </c>
      <c r="F103" s="30">
        <v>42503.69866898148</v>
      </c>
      <c r="G103" s="38">
        <v>1</v>
      </c>
      <c r="H103" s="30" t="s">
        <v>76</v>
      </c>
      <c r="I103" s="30">
        <v>42503.732638888891</v>
      </c>
      <c r="J103" s="61">
        <v>0</v>
      </c>
      <c r="K103" s="61" t="str">
        <f t="shared" si="36"/>
        <v>4009/4010</v>
      </c>
      <c r="L103" s="61" t="str">
        <f>VLOOKUP(A103,'Trips&amp;Operators'!$C$1:$E$9999,3,FALSE)</f>
        <v>ROCHA</v>
      </c>
      <c r="M103" s="12">
        <f t="shared" si="37"/>
        <v>3.3969907410209998E-2</v>
      </c>
      <c r="N103" s="13">
        <f>$M103*24*60</f>
        <v>48.916666670702398</v>
      </c>
      <c r="O103" s="13"/>
      <c r="P103" s="13"/>
      <c r="Q103" s="62"/>
      <c r="R103" s="62"/>
      <c r="T10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16:43:38-0600',mode:absolute,to:'2016-05-13 17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3" s="74" t="str">
        <f t="shared" si="39"/>
        <v>N</v>
      </c>
      <c r="V103" s="74">
        <f t="shared" si="40"/>
        <v>1</v>
      </c>
      <c r="W103" s="74">
        <f t="shared" si="34"/>
        <v>23.297499999999999</v>
      </c>
      <c r="X103" s="74">
        <f t="shared" si="32"/>
        <v>1.54E-2</v>
      </c>
      <c r="Y103" s="74">
        <f t="shared" si="35"/>
        <v>23.2821</v>
      </c>
      <c r="Z103" s="75" t="e">
        <f>VLOOKUP(A103,Enforcements!$C$3:$J$12,8,0)</f>
        <v>#N/A</v>
      </c>
      <c r="AA103" s="75" t="e">
        <f>VLOOKUP(A103,Enforcements!$C$3:$J$12,3,0)</f>
        <v>#N/A</v>
      </c>
    </row>
    <row r="104" spans="1:27" s="2" customFormat="1" x14ac:dyDescent="0.25">
      <c r="A104" s="61" t="s">
        <v>338</v>
      </c>
      <c r="B104" s="61">
        <v>4025</v>
      </c>
      <c r="C104" s="61" t="s">
        <v>64</v>
      </c>
      <c r="D104" s="61" t="s">
        <v>91</v>
      </c>
      <c r="E104" s="30">
        <v>42503.673414351855</v>
      </c>
      <c r="F104" s="30">
        <v>42503.674421296295</v>
      </c>
      <c r="G104" s="38">
        <v>1</v>
      </c>
      <c r="H104" s="30" t="s">
        <v>285</v>
      </c>
      <c r="I104" s="30">
        <v>42503.702511574076</v>
      </c>
      <c r="J104" s="61">
        <v>1</v>
      </c>
      <c r="K104" s="61" t="str">
        <f t="shared" si="36"/>
        <v>4025/4026</v>
      </c>
      <c r="L104" s="61" t="str">
        <f>VLOOKUP(A104,'Trips&amp;Operators'!$C$1:$E$9999,3,FALSE)</f>
        <v>WEBSTER</v>
      </c>
      <c r="M104" s="12">
        <f t="shared" si="37"/>
        <v>2.8090277781302575E-2</v>
      </c>
      <c r="N104" s="13">
        <f>$M104*24*60</f>
        <v>40.450000005075708</v>
      </c>
      <c r="O104" s="13"/>
      <c r="P104" s="13"/>
      <c r="Q104" s="62"/>
      <c r="R104" s="62"/>
      <c r="T10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16:08:43-0600',mode:absolute,to:'2016-05-13 16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4" s="74" t="str">
        <f t="shared" si="39"/>
        <v>N</v>
      </c>
      <c r="V104" s="74">
        <f t="shared" si="40"/>
        <v>1</v>
      </c>
      <c r="W104" s="74">
        <f t="shared" si="34"/>
        <v>4.6399999999999997E-2</v>
      </c>
      <c r="X104" s="74">
        <f t="shared" si="32"/>
        <v>23.330200000000001</v>
      </c>
      <c r="Y104" s="74">
        <f t="shared" si="35"/>
        <v>23.283800000000003</v>
      </c>
      <c r="Z104" s="75" t="e">
        <f>VLOOKUP(A104,Enforcements!$C$3:$J$12,8,0)</f>
        <v>#N/A</v>
      </c>
      <c r="AA104" s="75" t="e">
        <f>VLOOKUP(A104,Enforcements!$C$3:$J$12,3,0)</f>
        <v>#N/A</v>
      </c>
    </row>
    <row r="105" spans="1:27" s="2" customFormat="1" x14ac:dyDescent="0.25">
      <c r="A105" s="61" t="s">
        <v>339</v>
      </c>
      <c r="B105" s="61">
        <v>4026</v>
      </c>
      <c r="C105" s="61" t="s">
        <v>64</v>
      </c>
      <c r="D105" s="61" t="s">
        <v>237</v>
      </c>
      <c r="E105" s="30">
        <v>42503.712199074071</v>
      </c>
      <c r="F105" s="30">
        <v>42503.71303240741</v>
      </c>
      <c r="G105" s="38">
        <v>1</v>
      </c>
      <c r="H105" s="30" t="s">
        <v>134</v>
      </c>
      <c r="I105" s="30">
        <v>42503.742731481485</v>
      </c>
      <c r="J105" s="61">
        <v>1</v>
      </c>
      <c r="K105" s="61" t="str">
        <f t="shared" si="36"/>
        <v>4025/4026</v>
      </c>
      <c r="L105" s="61" t="str">
        <f>VLOOKUP(A105,'Trips&amp;Operators'!$C$1:$E$9999,3,FALSE)</f>
        <v>WEBSTER</v>
      </c>
      <c r="M105" s="12">
        <f t="shared" si="37"/>
        <v>2.9699074075324461E-2</v>
      </c>
      <c r="N105" s="13">
        <f>$M105*24*60</f>
        <v>42.766666668467224</v>
      </c>
      <c r="O105" s="13"/>
      <c r="P105" s="13"/>
      <c r="Q105" s="62"/>
      <c r="R105" s="62"/>
      <c r="T10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17:04:34-0600',mode:absolute,to:'2016-05-13 17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5" s="74" t="str">
        <f t="shared" si="39"/>
        <v>N</v>
      </c>
      <c r="V105" s="74">
        <f t="shared" si="40"/>
        <v>1</v>
      </c>
      <c r="W105" s="74">
        <f t="shared" si="34"/>
        <v>23.2987</v>
      </c>
      <c r="X105" s="74">
        <f t="shared" si="32"/>
        <v>1.38E-2</v>
      </c>
      <c r="Y105" s="74">
        <f t="shared" si="35"/>
        <v>23.2849</v>
      </c>
      <c r="Z105" s="75" t="e">
        <f>VLOOKUP(A105,Enforcements!$C$3:$J$12,8,0)</f>
        <v>#N/A</v>
      </c>
      <c r="AA105" s="75" t="e">
        <f>VLOOKUP(A105,Enforcements!$C$3:$J$12,3,0)</f>
        <v>#N/A</v>
      </c>
    </row>
    <row r="106" spans="1:27" s="2" customFormat="1" x14ac:dyDescent="0.25">
      <c r="A106" s="61" t="s">
        <v>340</v>
      </c>
      <c r="B106" s="61">
        <v>4038</v>
      </c>
      <c r="C106" s="61" t="s">
        <v>64</v>
      </c>
      <c r="D106" s="61" t="s">
        <v>74</v>
      </c>
      <c r="E106" s="30">
        <v>42503.688599537039</v>
      </c>
      <c r="F106" s="30">
        <v>42503.689432870371</v>
      </c>
      <c r="G106" s="38">
        <v>1</v>
      </c>
      <c r="H106" s="30" t="s">
        <v>175</v>
      </c>
      <c r="I106" s="30">
        <v>42503.716192129628</v>
      </c>
      <c r="J106" s="61">
        <v>0</v>
      </c>
      <c r="K106" s="61" t="str">
        <f t="shared" si="36"/>
        <v>4037/4038</v>
      </c>
      <c r="L106" s="61" t="str">
        <f>VLOOKUP(A106,'Trips&amp;Operators'!$C$1:$E$9999,3,FALSE)</f>
        <v>SPECTOR</v>
      </c>
      <c r="M106" s="12">
        <f t="shared" si="37"/>
        <v>2.675925925723277E-2</v>
      </c>
      <c r="N106" s="13">
        <f>$M106*24*60</f>
        <v>38.533333330415189</v>
      </c>
      <c r="O106" s="13"/>
      <c r="P106" s="13"/>
      <c r="Q106" s="62"/>
      <c r="R106" s="62"/>
      <c r="T10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16:30:35-0600',mode:absolute,to:'2016-05-13 17:12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6" s="74" t="str">
        <f t="shared" si="39"/>
        <v>N</v>
      </c>
      <c r="V106" s="74">
        <f t="shared" si="40"/>
        <v>1</v>
      </c>
      <c r="W106" s="74">
        <f t="shared" si="34"/>
        <v>4.5699999999999998E-2</v>
      </c>
      <c r="X106" s="74">
        <f t="shared" si="32"/>
        <v>23.3264</v>
      </c>
      <c r="Y106" s="74">
        <f t="shared" si="35"/>
        <v>23.2807</v>
      </c>
      <c r="Z106" s="75" t="e">
        <f>VLOOKUP(A106,Enforcements!$C$3:$J$12,8,0)</f>
        <v>#N/A</v>
      </c>
      <c r="AA106" s="75" t="e">
        <f>VLOOKUP(A106,Enforcements!$C$3:$J$12,3,0)</f>
        <v>#N/A</v>
      </c>
    </row>
    <row r="107" spans="1:27" s="2" customFormat="1" x14ac:dyDescent="0.25">
      <c r="A107" s="61" t="s">
        <v>341</v>
      </c>
      <c r="B107" s="61">
        <v>4037</v>
      </c>
      <c r="C107" s="61" t="s">
        <v>64</v>
      </c>
      <c r="D107" s="61" t="s">
        <v>342</v>
      </c>
      <c r="E107" s="30">
        <v>42503.734050925923</v>
      </c>
      <c r="F107" s="30">
        <v>42503.735046296293</v>
      </c>
      <c r="G107" s="38">
        <v>1</v>
      </c>
      <c r="H107" s="30" t="s">
        <v>79</v>
      </c>
      <c r="I107" s="30">
        <v>42503.755925925929</v>
      </c>
      <c r="J107" s="61">
        <v>0</v>
      </c>
      <c r="K107" s="61" t="str">
        <f t="shared" si="36"/>
        <v>4037/4038</v>
      </c>
      <c r="L107" s="61" t="str">
        <f>VLOOKUP(A107,'Trips&amp;Operators'!$C$1:$E$9999,3,FALSE)</f>
        <v>SPECTOR</v>
      </c>
      <c r="M107" s="12">
        <f t="shared" si="37"/>
        <v>2.0879629635601304E-2</v>
      </c>
      <c r="N107" s="13"/>
      <c r="O107" s="13"/>
      <c r="P107" s="13">
        <f>(M107+M108)*24*60</f>
        <v>39.366666680434719</v>
      </c>
      <c r="Q107" s="62" t="s">
        <v>452</v>
      </c>
      <c r="R107" s="62" t="s">
        <v>451</v>
      </c>
      <c r="T10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17:36:02-0600',mode:absolute,to:'2016-05-13 18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7" s="74" t="str">
        <f t="shared" si="39"/>
        <v>Y</v>
      </c>
      <c r="V107" s="74">
        <f t="shared" si="40"/>
        <v>1</v>
      </c>
      <c r="W107" s="74">
        <f t="shared" si="34"/>
        <v>15.399699999999999</v>
      </c>
      <c r="X107" s="74">
        <f t="shared" si="32"/>
        <v>1.4500000000000001E-2</v>
      </c>
      <c r="Y107" s="74">
        <f t="shared" si="35"/>
        <v>15.385199999999999</v>
      </c>
      <c r="Z107" s="75" t="e">
        <f>VLOOKUP(A107,Enforcements!$C$3:$J$12,8,0)</f>
        <v>#N/A</v>
      </c>
      <c r="AA107" s="75" t="e">
        <f>VLOOKUP(A107,Enforcements!$C$3:$J$12,3,0)</f>
        <v>#N/A</v>
      </c>
    </row>
    <row r="108" spans="1:27" s="2" customFormat="1" x14ac:dyDescent="0.25">
      <c r="A108" s="61" t="s">
        <v>341</v>
      </c>
      <c r="B108" s="61">
        <v>4037</v>
      </c>
      <c r="C108" s="61" t="s">
        <v>64</v>
      </c>
      <c r="D108" s="61" t="s">
        <v>120</v>
      </c>
      <c r="E108" s="30">
        <v>42503.722719907404</v>
      </c>
      <c r="F108" s="30">
        <v>42503.723946759259</v>
      </c>
      <c r="G108" s="38">
        <v>1</v>
      </c>
      <c r="H108" s="30" t="s">
        <v>343</v>
      </c>
      <c r="I108" s="30">
        <v>42503.730405092596</v>
      </c>
      <c r="J108" s="61">
        <v>0</v>
      </c>
      <c r="K108" s="61" t="str">
        <f t="shared" si="36"/>
        <v>4037/4038</v>
      </c>
      <c r="L108" s="61" t="str">
        <f>VLOOKUP(A108,'Trips&amp;Operators'!$C$1:$E$9999,3,FALSE)</f>
        <v>SPECTOR</v>
      </c>
      <c r="M108" s="12">
        <f t="shared" si="37"/>
        <v>6.4583333369228058E-3</v>
      </c>
      <c r="N108" s="13"/>
      <c r="O108" s="13"/>
      <c r="P108" s="13"/>
      <c r="Q108" s="62"/>
      <c r="R108" s="62"/>
      <c r="T10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17:19:43-0600',mode:absolute,to:'2016-05-13 17:32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8" s="74" t="str">
        <f t="shared" si="39"/>
        <v>Y</v>
      </c>
      <c r="V108" s="74">
        <f t="shared" si="40"/>
        <v>0</v>
      </c>
      <c r="W108" s="74">
        <f t="shared" si="34"/>
        <v>23.2986</v>
      </c>
      <c r="X108" s="74">
        <f t="shared" si="32"/>
        <v>19.276399999999999</v>
      </c>
      <c r="Y108" s="74">
        <f t="shared" si="35"/>
        <v>4.0222000000000016</v>
      </c>
      <c r="Z108" s="75" t="e">
        <f>VLOOKUP(A108,Enforcements!$C$3:$J$12,8,0)</f>
        <v>#N/A</v>
      </c>
      <c r="AA108" s="75" t="e">
        <f>VLOOKUP(A108,Enforcements!$C$3:$J$12,3,0)</f>
        <v>#N/A</v>
      </c>
    </row>
    <row r="109" spans="1:27" s="2" customFormat="1" x14ac:dyDescent="0.25">
      <c r="A109" s="61" t="s">
        <v>344</v>
      </c>
      <c r="B109" s="61">
        <v>4020</v>
      </c>
      <c r="C109" s="61" t="s">
        <v>64</v>
      </c>
      <c r="D109" s="61" t="s">
        <v>159</v>
      </c>
      <c r="E109" s="30">
        <v>42503.696527777778</v>
      </c>
      <c r="F109" s="30">
        <v>42503.697858796295</v>
      </c>
      <c r="G109" s="38">
        <v>1</v>
      </c>
      <c r="H109" s="30" t="s">
        <v>345</v>
      </c>
      <c r="I109" s="30">
        <v>42503.722557870373</v>
      </c>
      <c r="J109" s="61">
        <v>0</v>
      </c>
      <c r="K109" s="61" t="str">
        <f t="shared" si="36"/>
        <v>4019/4020</v>
      </c>
      <c r="L109" s="61" t="str">
        <f>VLOOKUP(A109,'Trips&amp;Operators'!$C$1:$E$9999,3,FALSE)</f>
        <v>STORY</v>
      </c>
      <c r="M109" s="12">
        <f t="shared" si="37"/>
        <v>2.4699074077943806E-2</v>
      </c>
      <c r="N109" s="13">
        <f t="shared" ref="N109:N115" si="41">$M109*24*60</f>
        <v>35.56666667223908</v>
      </c>
      <c r="O109" s="13"/>
      <c r="P109" s="13"/>
      <c r="Q109" s="62"/>
      <c r="R109" s="62"/>
      <c r="T10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16:42:00-0600',mode:absolute,to:'2016-05-13 17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9" s="74" t="str">
        <f t="shared" si="39"/>
        <v>N</v>
      </c>
      <c r="V109" s="74">
        <f t="shared" si="40"/>
        <v>1</v>
      </c>
      <c r="W109" s="74">
        <f t="shared" si="34"/>
        <v>4.4400000000000002E-2</v>
      </c>
      <c r="X109" s="74">
        <f t="shared" si="32"/>
        <v>23.337</v>
      </c>
      <c r="Y109" s="74">
        <f t="shared" si="35"/>
        <v>23.2926</v>
      </c>
      <c r="Z109" s="75" t="e">
        <f>VLOOKUP(A109,Enforcements!$C$3:$J$12,8,0)</f>
        <v>#N/A</v>
      </c>
      <c r="AA109" s="75" t="e">
        <f>VLOOKUP(A109,Enforcements!$C$3:$J$12,3,0)</f>
        <v>#N/A</v>
      </c>
    </row>
    <row r="110" spans="1:27" s="2" customFormat="1" x14ac:dyDescent="0.25">
      <c r="A110" s="61" t="s">
        <v>346</v>
      </c>
      <c r="B110" s="61">
        <v>4019</v>
      </c>
      <c r="C110" s="61" t="s">
        <v>64</v>
      </c>
      <c r="D110" s="61" t="s">
        <v>347</v>
      </c>
      <c r="E110" s="30">
        <v>42503.733194444445</v>
      </c>
      <c r="F110" s="30">
        <v>42503.73474537037</v>
      </c>
      <c r="G110" s="38">
        <v>2</v>
      </c>
      <c r="H110" s="30" t="s">
        <v>111</v>
      </c>
      <c r="I110" s="30">
        <v>42503.762175925927</v>
      </c>
      <c r="J110" s="61">
        <v>0</v>
      </c>
      <c r="K110" s="61" t="str">
        <f t="shared" si="36"/>
        <v>4019/4020</v>
      </c>
      <c r="L110" s="61" t="str">
        <f>VLOOKUP(A110,'Trips&amp;Operators'!$C$1:$E$9999,3,FALSE)</f>
        <v>STORY</v>
      </c>
      <c r="M110" s="12">
        <f t="shared" si="37"/>
        <v>2.7430555557657499E-2</v>
      </c>
      <c r="N110" s="13">
        <f t="shared" si="41"/>
        <v>39.500000003026798</v>
      </c>
      <c r="O110" s="13"/>
      <c r="P110" s="13"/>
      <c r="Q110" s="62"/>
      <c r="R110" s="62"/>
      <c r="T11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17:34:48-0600',mode:absolute,to:'2016-05-13 18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0" s="74" t="str">
        <f t="shared" si="39"/>
        <v>N</v>
      </c>
      <c r="V110" s="74">
        <f t="shared" si="40"/>
        <v>1</v>
      </c>
      <c r="W110" s="74">
        <f t="shared" si="34"/>
        <v>23.3064</v>
      </c>
      <c r="X110" s="74">
        <f t="shared" si="32"/>
        <v>1.34E-2</v>
      </c>
      <c r="Y110" s="74">
        <f t="shared" si="35"/>
        <v>23.292999999999999</v>
      </c>
      <c r="Z110" s="75" t="e">
        <f>VLOOKUP(A110,Enforcements!$C$3:$J$12,8,0)</f>
        <v>#N/A</v>
      </c>
      <c r="AA110" s="75" t="e">
        <f>VLOOKUP(A110,Enforcements!$C$3:$J$12,3,0)</f>
        <v>#N/A</v>
      </c>
    </row>
    <row r="111" spans="1:27" s="2" customFormat="1" x14ac:dyDescent="0.25">
      <c r="A111" s="61" t="s">
        <v>348</v>
      </c>
      <c r="B111" s="61">
        <v>4040</v>
      </c>
      <c r="C111" s="61" t="s">
        <v>64</v>
      </c>
      <c r="D111" s="61" t="s">
        <v>261</v>
      </c>
      <c r="E111" s="30">
        <v>42503.703935185185</v>
      </c>
      <c r="F111" s="30">
        <v>42503.704814814817</v>
      </c>
      <c r="G111" s="38">
        <v>1</v>
      </c>
      <c r="H111" s="30" t="s">
        <v>349</v>
      </c>
      <c r="I111" s="30">
        <v>42503.732905092591</v>
      </c>
      <c r="J111" s="61">
        <v>1</v>
      </c>
      <c r="K111" s="61" t="str">
        <f t="shared" si="36"/>
        <v>4039/4040</v>
      </c>
      <c r="L111" s="61" t="str">
        <f>VLOOKUP(A111,'Trips&amp;Operators'!$C$1:$E$9999,3,FALSE)</f>
        <v>LOCKLEAR</v>
      </c>
      <c r="M111" s="12">
        <f t="shared" si="37"/>
        <v>2.8090277774026617E-2</v>
      </c>
      <c r="N111" s="13">
        <f t="shared" si="41"/>
        <v>40.449999994598329</v>
      </c>
      <c r="O111" s="13"/>
      <c r="P111" s="13"/>
      <c r="Q111" s="62"/>
      <c r="R111" s="62"/>
      <c r="T11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16:52:40-0600',mode:absolute,to:'2016-05-13 17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1" s="74" t="str">
        <f t="shared" si="39"/>
        <v>N</v>
      </c>
      <c r="V111" s="74">
        <f t="shared" si="40"/>
        <v>1</v>
      </c>
      <c r="W111" s="74">
        <f t="shared" si="34"/>
        <v>4.5999999999999999E-2</v>
      </c>
      <c r="X111" s="74">
        <f t="shared" si="32"/>
        <v>23.333600000000001</v>
      </c>
      <c r="Y111" s="74">
        <f t="shared" si="35"/>
        <v>23.287600000000001</v>
      </c>
      <c r="Z111" s="75" t="e">
        <f>VLOOKUP(A111,Enforcements!$C$3:$J$12,8,0)</f>
        <v>#N/A</v>
      </c>
      <c r="AA111" s="75" t="e">
        <f>VLOOKUP(A111,Enforcements!$C$3:$J$12,3,0)</f>
        <v>#N/A</v>
      </c>
    </row>
    <row r="112" spans="1:27" s="2" customFormat="1" x14ac:dyDescent="0.25">
      <c r="A112" s="61" t="s">
        <v>350</v>
      </c>
      <c r="B112" s="61">
        <v>4039</v>
      </c>
      <c r="C112" s="61" t="s">
        <v>64</v>
      </c>
      <c r="D112" s="61" t="s">
        <v>351</v>
      </c>
      <c r="E112" s="30">
        <v>42503.744421296295</v>
      </c>
      <c r="F112" s="30">
        <v>42503.745671296296</v>
      </c>
      <c r="G112" s="38">
        <v>1</v>
      </c>
      <c r="H112" s="30" t="s">
        <v>352</v>
      </c>
      <c r="I112" s="30">
        <v>42503.77275462963</v>
      </c>
      <c r="J112" s="61">
        <v>1</v>
      </c>
      <c r="K112" s="61" t="str">
        <f t="shared" si="36"/>
        <v>4039/4040</v>
      </c>
      <c r="L112" s="61" t="str">
        <f>VLOOKUP(A112,'Trips&amp;Operators'!$C$1:$E$9999,3,FALSE)</f>
        <v>LOCKLEAR</v>
      </c>
      <c r="M112" s="12">
        <f t="shared" si="37"/>
        <v>2.7083333334303461E-2</v>
      </c>
      <c r="N112" s="13">
        <f t="shared" si="41"/>
        <v>39.000000001396984</v>
      </c>
      <c r="O112" s="13"/>
      <c r="P112" s="13"/>
      <c r="Q112" s="62"/>
      <c r="R112" s="62"/>
      <c r="T11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17:50:58-0600',mode:absolute,to:'2016-05-13 18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2" s="74" t="str">
        <f t="shared" si="39"/>
        <v>N</v>
      </c>
      <c r="V112" s="74">
        <f t="shared" si="40"/>
        <v>1</v>
      </c>
      <c r="W112" s="74">
        <f t="shared" si="34"/>
        <v>23.3005</v>
      </c>
      <c r="X112" s="74">
        <f t="shared" si="32"/>
        <v>2.1399999999999999E-2</v>
      </c>
      <c r="Y112" s="74">
        <f t="shared" si="35"/>
        <v>23.2791</v>
      </c>
      <c r="Z112" s="75" t="e">
        <f>VLOOKUP(A112,Enforcements!$C$3:$J$12,8,0)</f>
        <v>#N/A</v>
      </c>
      <c r="AA112" s="75" t="e">
        <f>VLOOKUP(A112,Enforcements!$C$3:$J$12,3,0)</f>
        <v>#N/A</v>
      </c>
    </row>
    <row r="113" spans="1:27" s="2" customFormat="1" x14ac:dyDescent="0.25">
      <c r="A113" s="61" t="s">
        <v>353</v>
      </c>
      <c r="B113" s="61">
        <v>4044</v>
      </c>
      <c r="C113" s="61" t="s">
        <v>64</v>
      </c>
      <c r="D113" s="61" t="s">
        <v>246</v>
      </c>
      <c r="E113" s="30">
        <v>42503.714189814818</v>
      </c>
      <c r="F113" s="30">
        <v>42503.71539351852</v>
      </c>
      <c r="G113" s="38">
        <v>1</v>
      </c>
      <c r="H113" s="30" t="s">
        <v>109</v>
      </c>
      <c r="I113" s="30">
        <v>42503.745347222219</v>
      </c>
      <c r="J113" s="61">
        <v>1</v>
      </c>
      <c r="K113" s="61" t="str">
        <f t="shared" si="36"/>
        <v>4043/4044</v>
      </c>
      <c r="L113" s="61" t="str">
        <f>VLOOKUP(A113,'Trips&amp;Operators'!$C$1:$E$9999,3,FALSE)</f>
        <v>CANFIELD</v>
      </c>
      <c r="M113" s="12">
        <f t="shared" si="37"/>
        <v>2.9953703698993195E-2</v>
      </c>
      <c r="N113" s="13">
        <f t="shared" si="41"/>
        <v>43.133333326550201</v>
      </c>
      <c r="O113" s="13"/>
      <c r="P113" s="13"/>
      <c r="Q113" s="62"/>
      <c r="R113" s="62"/>
      <c r="T11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17:07:26-0600',mode:absolute,to:'2016-05-13 17:54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3" s="74" t="str">
        <f t="shared" si="39"/>
        <v>N</v>
      </c>
      <c r="V113" s="74">
        <f t="shared" si="40"/>
        <v>1</v>
      </c>
      <c r="W113" s="74">
        <f t="shared" si="34"/>
        <v>4.4900000000000002E-2</v>
      </c>
      <c r="X113" s="74">
        <f t="shared" si="32"/>
        <v>23.331499999999998</v>
      </c>
      <c r="Y113" s="74">
        <f t="shared" si="35"/>
        <v>23.2866</v>
      </c>
      <c r="Z113" s="75" t="e">
        <f>VLOOKUP(A113,Enforcements!$C$3:$J$12,8,0)</f>
        <v>#N/A</v>
      </c>
      <c r="AA113" s="75" t="e">
        <f>VLOOKUP(A113,Enforcements!$C$3:$J$12,3,0)</f>
        <v>#N/A</v>
      </c>
    </row>
    <row r="114" spans="1:27" s="2" customFormat="1" x14ac:dyDescent="0.25">
      <c r="A114" s="61" t="s">
        <v>354</v>
      </c>
      <c r="B114" s="61">
        <v>4043</v>
      </c>
      <c r="C114" s="61" t="s">
        <v>64</v>
      </c>
      <c r="D114" s="61" t="s">
        <v>176</v>
      </c>
      <c r="E114" s="30">
        <v>42503.751296296294</v>
      </c>
      <c r="F114" s="30">
        <v>42503.752175925925</v>
      </c>
      <c r="G114" s="38">
        <v>1</v>
      </c>
      <c r="H114" s="30" t="s">
        <v>112</v>
      </c>
      <c r="I114" s="30">
        <v>42503.783761574072</v>
      </c>
      <c r="J114" s="61">
        <v>0</v>
      </c>
      <c r="K114" s="61" t="str">
        <f t="shared" si="36"/>
        <v>4043/4044</v>
      </c>
      <c r="L114" s="61" t="str">
        <f>VLOOKUP(A114,'Trips&amp;Operators'!$C$1:$E$9999,3,FALSE)</f>
        <v>CANFIELD</v>
      </c>
      <c r="M114" s="12">
        <f t="shared" si="37"/>
        <v>3.1585648146574385E-2</v>
      </c>
      <c r="N114" s="13">
        <f t="shared" si="41"/>
        <v>45.483333331067115</v>
      </c>
      <c r="O114" s="13"/>
      <c r="P114" s="13"/>
      <c r="Q114" s="62"/>
      <c r="R114" s="62"/>
      <c r="T11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18:00:52-0600',mode:absolute,to:'2016-05-13 18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4" s="74" t="str">
        <f t="shared" si="39"/>
        <v>N</v>
      </c>
      <c r="V114" s="74">
        <f t="shared" si="40"/>
        <v>1</v>
      </c>
      <c r="W114" s="74">
        <f t="shared" si="34"/>
        <v>23.297899999999998</v>
      </c>
      <c r="X114" s="74">
        <f t="shared" si="32"/>
        <v>1.47E-2</v>
      </c>
      <c r="Y114" s="74">
        <f t="shared" si="35"/>
        <v>23.283199999999997</v>
      </c>
      <c r="Z114" s="75" t="e">
        <f>VLOOKUP(A114,Enforcements!$C$3:$J$12,8,0)</f>
        <v>#N/A</v>
      </c>
      <c r="AA114" s="75" t="e">
        <f>VLOOKUP(A114,Enforcements!$C$3:$J$12,3,0)</f>
        <v>#N/A</v>
      </c>
    </row>
    <row r="115" spans="1:27" s="2" customFormat="1" x14ac:dyDescent="0.25">
      <c r="A115" s="61" t="s">
        <v>355</v>
      </c>
      <c r="B115" s="61">
        <v>4016</v>
      </c>
      <c r="C115" s="61" t="s">
        <v>64</v>
      </c>
      <c r="D115" s="61" t="s">
        <v>140</v>
      </c>
      <c r="E115" s="30">
        <v>42503.726817129631</v>
      </c>
      <c r="F115" s="30">
        <v>42503.728136574071</v>
      </c>
      <c r="G115" s="38">
        <v>1</v>
      </c>
      <c r="H115" s="30" t="s">
        <v>153</v>
      </c>
      <c r="I115" s="30">
        <v>42503.753993055558</v>
      </c>
      <c r="J115" s="61">
        <v>0</v>
      </c>
      <c r="K115" s="61" t="str">
        <f t="shared" si="36"/>
        <v>4015/4016</v>
      </c>
      <c r="L115" s="61" t="str">
        <f>VLOOKUP(A115,'Trips&amp;Operators'!$C$1:$E$9999,3,FALSE)</f>
        <v>STEWART</v>
      </c>
      <c r="M115" s="12">
        <f t="shared" si="37"/>
        <v>2.5856481486698613E-2</v>
      </c>
      <c r="N115" s="13">
        <f t="shared" si="41"/>
        <v>37.233333340846002</v>
      </c>
      <c r="O115" s="13"/>
      <c r="P115" s="13"/>
      <c r="Q115" s="62"/>
      <c r="R115" s="62"/>
      <c r="T11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17:25:37-0600',mode:absolute,to:'2016-05-13 18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5" s="74" t="str">
        <f t="shared" si="39"/>
        <v>N</v>
      </c>
      <c r="V115" s="74">
        <f t="shared" si="40"/>
        <v>1</v>
      </c>
      <c r="W115" s="74">
        <f t="shared" si="34"/>
        <v>4.4200000000000003E-2</v>
      </c>
      <c r="X115" s="74">
        <f t="shared" si="32"/>
        <v>23.3307</v>
      </c>
      <c r="Y115" s="74">
        <f t="shared" si="35"/>
        <v>23.2865</v>
      </c>
      <c r="Z115" s="75" t="e">
        <f>VLOOKUP(A115,Enforcements!$C$3:$J$12,8,0)</f>
        <v>#N/A</v>
      </c>
      <c r="AA115" s="75" t="e">
        <f>VLOOKUP(A115,Enforcements!$C$3:$J$12,3,0)</f>
        <v>#N/A</v>
      </c>
    </row>
    <row r="116" spans="1:27" s="2" customFormat="1" x14ac:dyDescent="0.25">
      <c r="A116" s="61" t="s">
        <v>356</v>
      </c>
      <c r="B116" s="61">
        <v>4015</v>
      </c>
      <c r="C116" s="61" t="s">
        <v>64</v>
      </c>
      <c r="D116" s="61" t="s">
        <v>107</v>
      </c>
      <c r="E116" s="30">
        <v>42503.765243055554</v>
      </c>
      <c r="F116" s="30">
        <v>42503.766319444447</v>
      </c>
      <c r="G116" s="38">
        <v>1</v>
      </c>
      <c r="H116" s="30" t="s">
        <v>357</v>
      </c>
      <c r="I116" s="30">
        <v>42503.792905092596</v>
      </c>
      <c r="J116" s="61">
        <v>0</v>
      </c>
      <c r="K116" s="61" t="str">
        <f t="shared" si="36"/>
        <v>4015/4016</v>
      </c>
      <c r="L116" s="61" t="str">
        <f>VLOOKUP(A116,'Trips&amp;Operators'!$C$1:$E$9999,3,FALSE)</f>
        <v>STEWART</v>
      </c>
      <c r="M116" s="12">
        <f t="shared" si="37"/>
        <v>2.658564814919373E-2</v>
      </c>
      <c r="N116" s="13"/>
      <c r="O116" s="13"/>
      <c r="P116" s="13">
        <f>$M116*24*60</f>
        <v>38.283333334838971</v>
      </c>
      <c r="Q116" s="62" t="s">
        <v>429</v>
      </c>
      <c r="R116" s="62" t="s">
        <v>427</v>
      </c>
      <c r="T11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18:20:57-0600',mode:absolute,to:'2016-05-13 19:02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6" s="74" t="str">
        <f t="shared" si="39"/>
        <v>Y</v>
      </c>
      <c r="V116" s="74">
        <f t="shared" si="40"/>
        <v>1</v>
      </c>
      <c r="W116" s="74">
        <f t="shared" si="34"/>
        <v>23.298999999999999</v>
      </c>
      <c r="X116" s="74">
        <f t="shared" si="32"/>
        <v>0.42799999999999999</v>
      </c>
      <c r="Y116" s="74">
        <f t="shared" si="35"/>
        <v>22.870999999999999</v>
      </c>
      <c r="Z116" s="75" t="e">
        <f>VLOOKUP(A116,Enforcements!$C$3:$J$12,8,0)</f>
        <v>#N/A</v>
      </c>
      <c r="AA116" s="75" t="e">
        <f>VLOOKUP(A116,Enforcements!$C$3:$J$12,3,0)</f>
        <v>#N/A</v>
      </c>
    </row>
    <row r="117" spans="1:27" s="2" customFormat="1" x14ac:dyDescent="0.25">
      <c r="A117" s="61" t="s">
        <v>358</v>
      </c>
      <c r="B117" s="61">
        <v>4009</v>
      </c>
      <c r="C117" s="61" t="s">
        <v>64</v>
      </c>
      <c r="D117" s="61" t="s">
        <v>139</v>
      </c>
      <c r="E117" s="30">
        <v>42503.738437499997</v>
      </c>
      <c r="F117" s="30">
        <v>42503.739699074074</v>
      </c>
      <c r="G117" s="38">
        <v>1</v>
      </c>
      <c r="H117" s="30" t="s">
        <v>66</v>
      </c>
      <c r="I117" s="30">
        <v>42503.765393518515</v>
      </c>
      <c r="J117" s="61">
        <v>0</v>
      </c>
      <c r="K117" s="61" t="str">
        <f t="shared" si="36"/>
        <v>4009/4010</v>
      </c>
      <c r="L117" s="61" t="str">
        <f>VLOOKUP(A117,'Trips&amp;Operators'!$C$1:$E$9999,3,FALSE)</f>
        <v>STRICKLAND</v>
      </c>
      <c r="M117" s="12">
        <f t="shared" si="37"/>
        <v>2.569444444088731E-2</v>
      </c>
      <c r="N117" s="13">
        <f>$M117*24*60</f>
        <v>36.999999994877726</v>
      </c>
      <c r="O117" s="13"/>
      <c r="P117" s="13"/>
      <c r="Q117" s="62"/>
      <c r="R117" s="62"/>
      <c r="T11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17:42:21-0600',mode:absolute,to:'2016-05-13 18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7" s="74" t="str">
        <f t="shared" si="39"/>
        <v>N</v>
      </c>
      <c r="V117" s="74">
        <f t="shared" si="40"/>
        <v>1</v>
      </c>
      <c r="W117" s="74">
        <f t="shared" si="34"/>
        <v>4.6699999999999998E-2</v>
      </c>
      <c r="X117" s="74">
        <f t="shared" si="32"/>
        <v>23.331</v>
      </c>
      <c r="Y117" s="74">
        <f t="shared" si="35"/>
        <v>23.284299999999998</v>
      </c>
      <c r="Z117" s="75" t="e">
        <f>VLOOKUP(A117,Enforcements!$C$3:$J$12,8,0)</f>
        <v>#N/A</v>
      </c>
      <c r="AA117" s="75" t="e">
        <f>VLOOKUP(A117,Enforcements!$C$3:$J$12,3,0)</f>
        <v>#N/A</v>
      </c>
    </row>
    <row r="118" spans="1:27" s="2" customFormat="1" x14ac:dyDescent="0.25">
      <c r="A118" s="61" t="s">
        <v>359</v>
      </c>
      <c r="B118" s="61">
        <v>4010</v>
      </c>
      <c r="C118" s="61" t="s">
        <v>64</v>
      </c>
      <c r="D118" s="61" t="s">
        <v>360</v>
      </c>
      <c r="E118" s="30">
        <v>42503.793506944443</v>
      </c>
      <c r="F118" s="30">
        <v>42503.79420138889</v>
      </c>
      <c r="G118" s="38">
        <v>1</v>
      </c>
      <c r="H118" s="30" t="s">
        <v>361</v>
      </c>
      <c r="I118" s="30">
        <v>42503.814780092594</v>
      </c>
      <c r="J118" s="61">
        <v>0</v>
      </c>
      <c r="K118" s="61" t="str">
        <f t="shared" si="36"/>
        <v>4009/4010</v>
      </c>
      <c r="L118" s="61" t="str">
        <f>VLOOKUP(A118,'Trips&amp;Operators'!$C$1:$E$9999,3,FALSE)</f>
        <v>STRICKLAND</v>
      </c>
      <c r="M118" s="12">
        <f t="shared" si="37"/>
        <v>2.0578703704813961E-2</v>
      </c>
      <c r="N118" s="13"/>
      <c r="O118" s="13"/>
      <c r="P118" s="13">
        <f>(M118+M119)*24*60</f>
        <v>43.01666667452082</v>
      </c>
      <c r="Q118" s="62" t="s">
        <v>142</v>
      </c>
      <c r="R118" s="62" t="s">
        <v>453</v>
      </c>
      <c r="T11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19:01:39-0600',mode:absolute,to:'2016-05-13 19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8" s="74" t="str">
        <f t="shared" si="39"/>
        <v>Y</v>
      </c>
      <c r="V118" s="74">
        <f t="shared" si="40"/>
        <v>1</v>
      </c>
      <c r="W118" s="74">
        <f t="shared" si="34"/>
        <v>15.400399999999999</v>
      </c>
      <c r="X118" s="74">
        <f t="shared" si="32"/>
        <v>1.9199999999999998E-2</v>
      </c>
      <c r="Y118" s="74">
        <f t="shared" si="35"/>
        <v>15.3812</v>
      </c>
      <c r="Z118" s="75">
        <f>VLOOKUP(A118,Enforcements!$C$3:$J$12,8,0)</f>
        <v>219875</v>
      </c>
      <c r="AA118" s="75" t="str">
        <f>VLOOKUP(A118,Enforcements!$C$3:$J$12,3,0)</f>
        <v>SIGNAL</v>
      </c>
    </row>
    <row r="119" spans="1:27" s="2" customFormat="1" x14ac:dyDescent="0.25">
      <c r="A119" s="61" t="s">
        <v>359</v>
      </c>
      <c r="B119" s="61">
        <v>4010</v>
      </c>
      <c r="C119" s="61" t="s">
        <v>64</v>
      </c>
      <c r="D119" s="61" t="s">
        <v>86</v>
      </c>
      <c r="E119" s="30">
        <v>42503.770358796297</v>
      </c>
      <c r="F119" s="30">
        <v>42503.771377314813</v>
      </c>
      <c r="G119" s="38">
        <v>1</v>
      </c>
      <c r="H119" s="30" t="s">
        <v>362</v>
      </c>
      <c r="I119" s="30">
        <v>42503.780671296299</v>
      </c>
      <c r="J119" s="61">
        <v>1</v>
      </c>
      <c r="K119" s="61" t="str">
        <f t="shared" si="36"/>
        <v>4009/4010</v>
      </c>
      <c r="L119" s="61" t="str">
        <f>VLOOKUP(A119,'Trips&amp;Operators'!$C$1:$E$9999,3,FALSE)</f>
        <v>STRICKLAND</v>
      </c>
      <c r="M119" s="12">
        <f t="shared" si="37"/>
        <v>9.2939814858254977E-3</v>
      </c>
      <c r="N119" s="13"/>
      <c r="O119" s="13"/>
      <c r="P119" s="13"/>
      <c r="Q119" s="62"/>
      <c r="R119" s="62"/>
      <c r="T11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18:28:19-0600',mode:absolute,to:'2016-05-13 18:45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9" s="74" t="str">
        <f t="shared" si="39"/>
        <v>Y</v>
      </c>
      <c r="V119" s="74">
        <f t="shared" si="40"/>
        <v>0</v>
      </c>
      <c r="W119" s="74">
        <f t="shared" si="34"/>
        <v>23.299800000000001</v>
      </c>
      <c r="X119" s="74">
        <f t="shared" si="32"/>
        <v>21.845500000000001</v>
      </c>
      <c r="Y119" s="74">
        <f t="shared" si="35"/>
        <v>1.4542999999999999</v>
      </c>
      <c r="Z119" s="75">
        <f>VLOOKUP(A119,Enforcements!$C$3:$J$12,8,0)</f>
        <v>219875</v>
      </c>
      <c r="AA119" s="75" t="str">
        <f>VLOOKUP(A119,Enforcements!$C$3:$J$12,3,0)</f>
        <v>SIGNAL</v>
      </c>
    </row>
    <row r="120" spans="1:27" s="2" customFormat="1" x14ac:dyDescent="0.25">
      <c r="A120" s="61" t="s">
        <v>363</v>
      </c>
      <c r="B120" s="61">
        <v>4025</v>
      </c>
      <c r="C120" s="61" t="s">
        <v>64</v>
      </c>
      <c r="D120" s="61" t="s">
        <v>133</v>
      </c>
      <c r="E120" s="30">
        <v>42503.745243055557</v>
      </c>
      <c r="F120" s="30">
        <v>42503.74659722222</v>
      </c>
      <c r="G120" s="38">
        <v>1</v>
      </c>
      <c r="H120" s="30" t="s">
        <v>364</v>
      </c>
      <c r="I120" s="30">
        <v>42503.775393518517</v>
      </c>
      <c r="J120" s="61">
        <v>0</v>
      </c>
      <c r="K120" s="61" t="str">
        <f t="shared" si="36"/>
        <v>4025/4026</v>
      </c>
      <c r="L120" s="61" t="str">
        <f>VLOOKUP(A120,'Trips&amp;Operators'!$C$1:$E$9999,3,FALSE)</f>
        <v>WEBSTER</v>
      </c>
      <c r="M120" s="12">
        <f t="shared" si="37"/>
        <v>2.8796296297514345E-2</v>
      </c>
      <c r="N120" s="13">
        <f t="shared" ref="N120:N126" si="42">$M120*24*60</f>
        <v>41.466666668420658</v>
      </c>
      <c r="O120" s="13"/>
      <c r="P120" s="13"/>
      <c r="Q120" s="62"/>
      <c r="R120" s="62"/>
      <c r="T12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17:52:09-0600',mode:absolute,to:'2016-05-13 18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0" s="74" t="str">
        <f t="shared" si="39"/>
        <v>N</v>
      </c>
      <c r="V120" s="74">
        <f t="shared" si="40"/>
        <v>1</v>
      </c>
      <c r="W120" s="74">
        <f t="shared" si="34"/>
        <v>4.3999999999999997E-2</v>
      </c>
      <c r="X120" s="74">
        <f t="shared" ref="X120:X138" si="43">RIGHT(H120,LEN(H120)-4)/10000</f>
        <v>23.330500000000001</v>
      </c>
      <c r="Y120" s="74">
        <f t="shared" si="35"/>
        <v>23.2865</v>
      </c>
      <c r="Z120" s="75" t="e">
        <f>VLOOKUP(A120,Enforcements!$C$3:$J$12,8,0)</f>
        <v>#N/A</v>
      </c>
      <c r="AA120" s="75" t="e">
        <f>VLOOKUP(A120,Enforcements!$C$3:$J$12,3,0)</f>
        <v>#N/A</v>
      </c>
    </row>
    <row r="121" spans="1:27" s="2" customFormat="1" x14ac:dyDescent="0.25">
      <c r="A121" s="61" t="s">
        <v>365</v>
      </c>
      <c r="B121" s="61">
        <v>4026</v>
      </c>
      <c r="C121" s="61" t="s">
        <v>64</v>
      </c>
      <c r="D121" s="61" t="s">
        <v>117</v>
      </c>
      <c r="E121" s="30">
        <v>42503.785358796296</v>
      </c>
      <c r="F121" s="30">
        <v>42503.787361111114</v>
      </c>
      <c r="G121" s="38">
        <v>2</v>
      </c>
      <c r="H121" s="30" t="s">
        <v>88</v>
      </c>
      <c r="I121" s="30">
        <v>42503.818969907406</v>
      </c>
      <c r="J121" s="61">
        <v>0</v>
      </c>
      <c r="K121" s="61" t="str">
        <f t="shared" si="36"/>
        <v>4025/4026</v>
      </c>
      <c r="L121" s="61" t="str">
        <f>VLOOKUP(A121,'Trips&amp;Operators'!$C$1:$E$9999,3,FALSE)</f>
        <v>WEBSTER</v>
      </c>
      <c r="M121" s="12">
        <f t="shared" si="37"/>
        <v>3.1608796292857733E-2</v>
      </c>
      <c r="N121" s="13">
        <f t="shared" si="42"/>
        <v>45.516666661715135</v>
      </c>
      <c r="O121" s="13"/>
      <c r="P121" s="13"/>
      <c r="Q121" s="62"/>
      <c r="R121" s="62"/>
      <c r="T12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18:49:55-0600',mode:absolute,to:'2016-05-13 19:40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1" s="74" t="str">
        <f t="shared" si="39"/>
        <v>N</v>
      </c>
      <c r="V121" s="74">
        <f t="shared" si="40"/>
        <v>1</v>
      </c>
      <c r="W121" s="74">
        <f t="shared" si="34"/>
        <v>23.298200000000001</v>
      </c>
      <c r="X121" s="74">
        <f t="shared" si="43"/>
        <v>1.52E-2</v>
      </c>
      <c r="Y121" s="74">
        <f t="shared" si="35"/>
        <v>23.283000000000001</v>
      </c>
      <c r="Z121" s="75" t="e">
        <f>VLOOKUP(A121,Enforcements!$C$3:$J$12,8,0)</f>
        <v>#N/A</v>
      </c>
      <c r="AA121" s="75" t="e">
        <f>VLOOKUP(A121,Enforcements!$C$3:$J$12,3,0)</f>
        <v>#N/A</v>
      </c>
    </row>
    <row r="122" spans="1:27" s="2" customFormat="1" x14ac:dyDescent="0.25">
      <c r="A122" s="61" t="s">
        <v>366</v>
      </c>
      <c r="B122" s="61">
        <v>4038</v>
      </c>
      <c r="C122" s="61" t="s">
        <v>64</v>
      </c>
      <c r="D122" s="61" t="s">
        <v>113</v>
      </c>
      <c r="E122" s="30">
        <v>42503.759016203701</v>
      </c>
      <c r="F122" s="30">
        <v>42503.760347222225</v>
      </c>
      <c r="G122" s="38">
        <v>1</v>
      </c>
      <c r="H122" s="30" t="s">
        <v>116</v>
      </c>
      <c r="I122" s="30">
        <v>42503.791261574072</v>
      </c>
      <c r="J122" s="61">
        <v>2</v>
      </c>
      <c r="K122" s="61" t="str">
        <f t="shared" si="36"/>
        <v>4037/4038</v>
      </c>
      <c r="L122" s="61" t="str">
        <f>VLOOKUP(A122,'Trips&amp;Operators'!$C$1:$E$9999,3,FALSE)</f>
        <v>BRUDER</v>
      </c>
      <c r="M122" s="12">
        <f t="shared" si="37"/>
        <v>3.0914351846149657E-2</v>
      </c>
      <c r="N122" s="13">
        <f t="shared" si="42"/>
        <v>44.516666658455506</v>
      </c>
      <c r="O122" s="13"/>
      <c r="P122" s="13"/>
      <c r="Q122" s="62"/>
      <c r="R122" s="62"/>
      <c r="T12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18:11:59-0600',mode:absolute,to:'2016-05-13 19:00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2" s="74" t="str">
        <f t="shared" si="39"/>
        <v>N</v>
      </c>
      <c r="V122" s="74">
        <f t="shared" si="40"/>
        <v>1</v>
      </c>
      <c r="W122" s="74">
        <f t="shared" si="34"/>
        <v>4.6199999999999998E-2</v>
      </c>
      <c r="X122" s="74">
        <f t="shared" si="43"/>
        <v>23.3293</v>
      </c>
      <c r="Y122" s="74">
        <f t="shared" si="35"/>
        <v>23.283100000000001</v>
      </c>
      <c r="Z122" s="75">
        <f>VLOOKUP(A122,Enforcements!$C$3:$J$12,8,0)</f>
        <v>175383</v>
      </c>
      <c r="AA122" s="75" t="str">
        <f>VLOOKUP(A122,Enforcements!$C$3:$J$12,3,0)</f>
        <v>SIGNAL</v>
      </c>
    </row>
    <row r="123" spans="1:27" s="2" customFormat="1" x14ac:dyDescent="0.25">
      <c r="A123" s="61" t="s">
        <v>367</v>
      </c>
      <c r="B123" s="61">
        <v>4037</v>
      </c>
      <c r="C123" s="61" t="s">
        <v>64</v>
      </c>
      <c r="D123" s="61" t="s">
        <v>70</v>
      </c>
      <c r="E123" s="30">
        <v>42503.79314814815</v>
      </c>
      <c r="F123" s="30">
        <v>42503.794456018521</v>
      </c>
      <c r="G123" s="38">
        <v>1</v>
      </c>
      <c r="H123" s="30" t="s">
        <v>79</v>
      </c>
      <c r="I123" s="30">
        <v>42503.824953703705</v>
      </c>
      <c r="J123" s="61">
        <v>0</v>
      </c>
      <c r="K123" s="61" t="str">
        <f t="shared" si="36"/>
        <v>4037/4038</v>
      </c>
      <c r="L123" s="61" t="str">
        <f>VLOOKUP(A123,'Trips&amp;Operators'!$C$1:$E$9999,3,FALSE)</f>
        <v>BRUDER</v>
      </c>
      <c r="M123" s="12">
        <f t="shared" si="37"/>
        <v>3.0497685183945578E-2</v>
      </c>
      <c r="N123" s="13">
        <f t="shared" si="42"/>
        <v>43.916666664881632</v>
      </c>
      <c r="O123" s="13"/>
      <c r="P123" s="13"/>
      <c r="Q123" s="62"/>
      <c r="R123" s="62"/>
      <c r="T12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19:01:08-0600',mode:absolute,to:'2016-05-13 19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3" s="74" t="str">
        <f t="shared" si="39"/>
        <v>N</v>
      </c>
      <c r="V123" s="74">
        <f t="shared" si="40"/>
        <v>1</v>
      </c>
      <c r="W123" s="74">
        <f t="shared" si="34"/>
        <v>23.298500000000001</v>
      </c>
      <c r="X123" s="74">
        <f t="shared" si="43"/>
        <v>1.4500000000000001E-2</v>
      </c>
      <c r="Y123" s="74">
        <f t="shared" si="35"/>
        <v>23.283999999999999</v>
      </c>
      <c r="Z123" s="75" t="e">
        <f>VLOOKUP(A123,Enforcements!$C$3:$J$12,8,0)</f>
        <v>#N/A</v>
      </c>
      <c r="AA123" s="75" t="e">
        <f>VLOOKUP(A123,Enforcements!$C$3:$J$12,3,0)</f>
        <v>#N/A</v>
      </c>
    </row>
    <row r="124" spans="1:27" s="2" customFormat="1" x14ac:dyDescent="0.25">
      <c r="A124" s="61" t="s">
        <v>368</v>
      </c>
      <c r="B124" s="61">
        <v>4020</v>
      </c>
      <c r="C124" s="61" t="s">
        <v>64</v>
      </c>
      <c r="D124" s="61" t="s">
        <v>246</v>
      </c>
      <c r="E124" s="30">
        <v>42503.765694444446</v>
      </c>
      <c r="F124" s="30">
        <v>42503.767152777778</v>
      </c>
      <c r="G124" s="38">
        <v>2</v>
      </c>
      <c r="H124" s="30" t="s">
        <v>65</v>
      </c>
      <c r="I124" s="30">
        <v>42503.800115740742</v>
      </c>
      <c r="J124" s="61">
        <v>1</v>
      </c>
      <c r="K124" s="61" t="str">
        <f t="shared" si="36"/>
        <v>4019/4020</v>
      </c>
      <c r="L124" s="61" t="str">
        <f>VLOOKUP(A124,'Trips&amp;Operators'!$C$1:$E$9999,3,FALSE)</f>
        <v>DE LA ROSA</v>
      </c>
      <c r="M124" s="12">
        <f t="shared" si="37"/>
        <v>3.2962962963210884E-2</v>
      </c>
      <c r="N124" s="13">
        <f t="shared" si="42"/>
        <v>47.466666667023674</v>
      </c>
      <c r="O124" s="13"/>
      <c r="P124" s="13"/>
      <c r="Q124" s="62"/>
      <c r="R124" s="62"/>
      <c r="T12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18:21:36-0600',mode:absolute,to:'2016-05-13 19:13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4" s="74" t="str">
        <f t="shared" si="39"/>
        <v>N</v>
      </c>
      <c r="V124" s="74">
        <f t="shared" si="40"/>
        <v>1</v>
      </c>
      <c r="W124" s="74">
        <f t="shared" si="34"/>
        <v>4.4900000000000002E-2</v>
      </c>
      <c r="X124" s="74">
        <f t="shared" si="43"/>
        <v>23.329699999999999</v>
      </c>
      <c r="Y124" s="74">
        <f t="shared" si="35"/>
        <v>23.284800000000001</v>
      </c>
      <c r="Z124" s="75" t="e">
        <f>VLOOKUP(A124,Enforcements!$C$3:$J$12,8,0)</f>
        <v>#N/A</v>
      </c>
      <c r="AA124" s="75" t="e">
        <f>VLOOKUP(A124,Enforcements!$C$3:$J$12,3,0)</f>
        <v>#N/A</v>
      </c>
    </row>
    <row r="125" spans="1:27" s="2" customFormat="1" x14ac:dyDescent="0.25">
      <c r="A125" s="61" t="s">
        <v>369</v>
      </c>
      <c r="B125" s="61">
        <v>4019</v>
      </c>
      <c r="C125" s="61" t="s">
        <v>64</v>
      </c>
      <c r="D125" s="61" t="s">
        <v>105</v>
      </c>
      <c r="E125" s="30">
        <v>42503.807800925926</v>
      </c>
      <c r="F125" s="30">
        <v>42503.80909722222</v>
      </c>
      <c r="G125" s="38">
        <v>1</v>
      </c>
      <c r="H125" s="30" t="s">
        <v>88</v>
      </c>
      <c r="I125" s="30">
        <v>42503.836967592593</v>
      </c>
      <c r="J125" s="61">
        <v>0</v>
      </c>
      <c r="K125" s="61" t="str">
        <f t="shared" si="36"/>
        <v>4019/4020</v>
      </c>
      <c r="L125" s="61" t="str">
        <f>VLOOKUP(A125,'Trips&amp;Operators'!$C$1:$E$9999,3,FALSE)</f>
        <v>DE LA ROSA</v>
      </c>
      <c r="M125" s="12">
        <f t="shared" si="37"/>
        <v>2.7870370373420883E-2</v>
      </c>
      <c r="N125" s="13">
        <f t="shared" si="42"/>
        <v>40.133333337726071</v>
      </c>
      <c r="O125" s="13"/>
      <c r="P125" s="13"/>
      <c r="Q125" s="62"/>
      <c r="R125" s="62"/>
      <c r="T12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19:22:14-0600',mode:absolute,to:'2016-05-13 20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5" s="74" t="str">
        <f t="shared" si="39"/>
        <v>N</v>
      </c>
      <c r="V125" s="74">
        <f t="shared" si="40"/>
        <v>1</v>
      </c>
      <c r="W125" s="74">
        <f t="shared" si="34"/>
        <v>23.297499999999999</v>
      </c>
      <c r="X125" s="74">
        <f t="shared" si="43"/>
        <v>1.52E-2</v>
      </c>
      <c r="Y125" s="74">
        <f t="shared" si="35"/>
        <v>23.282299999999999</v>
      </c>
      <c r="Z125" s="75" t="e">
        <f>VLOOKUP(A125,Enforcements!$C$3:$J$12,8,0)</f>
        <v>#N/A</v>
      </c>
      <c r="AA125" s="75" t="e">
        <f>VLOOKUP(A125,Enforcements!$C$3:$J$12,3,0)</f>
        <v>#N/A</v>
      </c>
    </row>
    <row r="126" spans="1:27" s="2" customFormat="1" x14ac:dyDescent="0.25">
      <c r="A126" s="61" t="s">
        <v>370</v>
      </c>
      <c r="B126" s="61">
        <v>4044</v>
      </c>
      <c r="C126" s="61" t="s">
        <v>64</v>
      </c>
      <c r="D126" s="61" t="s">
        <v>218</v>
      </c>
      <c r="E126" s="30">
        <v>42503.785196759258</v>
      </c>
      <c r="F126" s="30">
        <v>42503.786747685182</v>
      </c>
      <c r="G126" s="38">
        <v>2</v>
      </c>
      <c r="H126" s="30" t="s">
        <v>371</v>
      </c>
      <c r="I126" s="30">
        <v>42503.818055555559</v>
      </c>
      <c r="J126" s="61">
        <v>0</v>
      </c>
      <c r="K126" s="61" t="str">
        <f t="shared" si="36"/>
        <v>4043/4044</v>
      </c>
      <c r="L126" s="61" t="str">
        <f>VLOOKUP(A126,'Trips&amp;Operators'!$C$1:$E$9999,3,FALSE)</f>
        <v>REBOLETTI</v>
      </c>
      <c r="M126" s="12">
        <f t="shared" si="37"/>
        <v>3.1307870376622304E-2</v>
      </c>
      <c r="N126" s="13">
        <f t="shared" si="42"/>
        <v>45.083333342336118</v>
      </c>
      <c r="O126" s="13"/>
      <c r="P126" s="13"/>
      <c r="Q126" s="62"/>
      <c r="R126" s="62"/>
      <c r="T12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18:49:41-0600',mode:absolute,to:'2016-05-13 19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6" s="74" t="str">
        <f t="shared" si="39"/>
        <v>N</v>
      </c>
      <c r="V126" s="74">
        <f t="shared" si="40"/>
        <v>1</v>
      </c>
      <c r="W126" s="74">
        <f t="shared" si="34"/>
        <v>4.3499999999999997E-2</v>
      </c>
      <c r="X126" s="74">
        <f t="shared" si="43"/>
        <v>23.328800000000001</v>
      </c>
      <c r="Y126" s="74">
        <f t="shared" si="35"/>
        <v>23.285299999999999</v>
      </c>
      <c r="Z126" s="75" t="e">
        <f>VLOOKUP(A126,Enforcements!$C$3:$J$12,8,0)</f>
        <v>#N/A</v>
      </c>
      <c r="AA126" s="75" t="e">
        <f>VLOOKUP(A126,Enforcements!$C$3:$J$12,3,0)</f>
        <v>#N/A</v>
      </c>
    </row>
    <row r="127" spans="1:27" s="2" customFormat="1" x14ac:dyDescent="0.25">
      <c r="A127" s="61" t="s">
        <v>372</v>
      </c>
      <c r="B127" s="61">
        <v>4043</v>
      </c>
      <c r="C127" s="61" t="s">
        <v>64</v>
      </c>
      <c r="D127" s="61" t="s">
        <v>373</v>
      </c>
      <c r="E127" s="30">
        <v>42503.843171296299</v>
      </c>
      <c r="F127" s="30">
        <v>42503.843738425923</v>
      </c>
      <c r="G127" s="38">
        <v>0</v>
      </c>
      <c r="H127" s="30" t="s">
        <v>136</v>
      </c>
      <c r="I127" s="30">
        <v>42503.860949074071</v>
      </c>
      <c r="J127" s="61">
        <v>0</v>
      </c>
      <c r="K127" s="61" t="str">
        <f t="shared" si="36"/>
        <v>4043/4044</v>
      </c>
      <c r="L127" s="61" t="str">
        <f>VLOOKUP(A127,'Trips&amp;Operators'!$C$1:$E$9999,3,FALSE)</f>
        <v>REBOLETTI</v>
      </c>
      <c r="M127" s="12">
        <f t="shared" si="37"/>
        <v>1.7210648147738539E-2</v>
      </c>
      <c r="N127" s="13"/>
      <c r="O127" s="13"/>
      <c r="P127" s="13">
        <f>(M127+M128)*24*60</f>
        <v>44.283333333441988</v>
      </c>
      <c r="Q127" s="62" t="s">
        <v>429</v>
      </c>
      <c r="R127" s="62" t="s">
        <v>454</v>
      </c>
      <c r="T12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20:13:10-0600',mode:absolute,to:'2016-05-13 20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7" s="74" t="str">
        <f t="shared" si="39"/>
        <v>Y</v>
      </c>
      <c r="V127" s="74">
        <f t="shared" si="40"/>
        <v>1</v>
      </c>
      <c r="W127" s="74">
        <f t="shared" si="34"/>
        <v>12.786099999999999</v>
      </c>
      <c r="X127" s="74">
        <f t="shared" si="43"/>
        <v>1.5800000000000002E-2</v>
      </c>
      <c r="Y127" s="74">
        <f t="shared" si="35"/>
        <v>12.770299999999999</v>
      </c>
      <c r="Z127" s="75" t="e">
        <f>VLOOKUP(A127,Enforcements!$C$3:$J$12,8,0)</f>
        <v>#N/A</v>
      </c>
      <c r="AA127" s="75" t="e">
        <f>VLOOKUP(A127,Enforcements!$C$3:$J$12,3,0)</f>
        <v>#N/A</v>
      </c>
    </row>
    <row r="128" spans="1:27" s="2" customFormat="1" x14ac:dyDescent="0.25">
      <c r="A128" s="61" t="s">
        <v>372</v>
      </c>
      <c r="B128" s="61">
        <v>4043</v>
      </c>
      <c r="C128" s="61" t="s">
        <v>64</v>
      </c>
      <c r="D128" s="61" t="s">
        <v>374</v>
      </c>
      <c r="E128" s="30">
        <v>42503.822627314818</v>
      </c>
      <c r="F128" s="30">
        <v>42503.823900462965</v>
      </c>
      <c r="G128" s="38">
        <v>1</v>
      </c>
      <c r="H128" s="30" t="s">
        <v>375</v>
      </c>
      <c r="I128" s="30">
        <v>42503.837442129632</v>
      </c>
      <c r="J128" s="61">
        <v>0</v>
      </c>
      <c r="K128" s="61" t="str">
        <f t="shared" si="36"/>
        <v>4043/4044</v>
      </c>
      <c r="L128" s="61" t="str">
        <f>VLOOKUP(A128,'Trips&amp;Operators'!$C$1:$E$9999,3,FALSE)</f>
        <v>REBOLETTI</v>
      </c>
      <c r="M128" s="12">
        <f t="shared" si="37"/>
        <v>1.3541666667151731E-2</v>
      </c>
      <c r="N128" s="13"/>
      <c r="O128" s="13"/>
      <c r="P128" s="13"/>
      <c r="Q128" s="62"/>
      <c r="R128" s="62"/>
      <c r="T12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19:43:35-0600',mode:absolute,to:'2016-05-13 20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8" s="74" t="str">
        <f t="shared" si="39"/>
        <v>Y</v>
      </c>
      <c r="V128" s="74">
        <f t="shared" si="40"/>
        <v>0</v>
      </c>
      <c r="W128" s="74">
        <f t="shared" si="34"/>
        <v>23.2959</v>
      </c>
      <c r="X128" s="74">
        <f t="shared" si="43"/>
        <v>15.8705</v>
      </c>
      <c r="Y128" s="74">
        <f t="shared" si="35"/>
        <v>7.4253999999999998</v>
      </c>
      <c r="Z128" s="75" t="e">
        <f>VLOOKUP(A128,Enforcements!$C$3:$J$12,8,0)</f>
        <v>#N/A</v>
      </c>
      <c r="AA128" s="75" t="e">
        <f>VLOOKUP(A128,Enforcements!$C$3:$J$12,3,0)</f>
        <v>#N/A</v>
      </c>
    </row>
    <row r="129" spans="1:27" s="2" customFormat="1" x14ac:dyDescent="0.25">
      <c r="A129" s="61" t="s">
        <v>376</v>
      </c>
      <c r="B129" s="61">
        <v>4009</v>
      </c>
      <c r="C129" s="61" t="s">
        <v>64</v>
      </c>
      <c r="D129" s="61" t="s">
        <v>377</v>
      </c>
      <c r="E129" s="30">
        <v>42503.815682870372</v>
      </c>
      <c r="F129" s="30">
        <v>42503.81695601852</v>
      </c>
      <c r="G129" s="38">
        <v>1</v>
      </c>
      <c r="H129" s="30" t="s">
        <v>378</v>
      </c>
      <c r="I129" s="30">
        <v>42503.841145833336</v>
      </c>
      <c r="J129" s="61">
        <v>0</v>
      </c>
      <c r="K129" s="61" t="str">
        <f t="shared" si="36"/>
        <v>4009/4010</v>
      </c>
      <c r="L129" s="61" t="str">
        <f>VLOOKUP(A129,'Trips&amp;Operators'!$C$1:$E$9999,3,FALSE)</f>
        <v>STRICKLAND</v>
      </c>
      <c r="M129" s="12">
        <f t="shared" si="37"/>
        <v>2.4189814816054422E-2</v>
      </c>
      <c r="N129" s="13"/>
      <c r="O129" s="13"/>
      <c r="P129" s="13">
        <f>$M129*24*60</f>
        <v>34.833333335118368</v>
      </c>
      <c r="Q129" s="62" t="s">
        <v>142</v>
      </c>
      <c r="R129" s="62" t="s">
        <v>454</v>
      </c>
      <c r="T12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19:33:35-0600',mode:absolute,to:'2016-05-13 20:12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9" s="74" t="str">
        <f t="shared" si="39"/>
        <v>Y</v>
      </c>
      <c r="V129" s="74">
        <f t="shared" si="40"/>
        <v>1</v>
      </c>
      <c r="W129" s="74">
        <f t="shared" si="34"/>
        <v>5.28E-2</v>
      </c>
      <c r="X129" s="74">
        <f t="shared" si="43"/>
        <v>15.455500000000001</v>
      </c>
      <c r="Y129" s="74">
        <f t="shared" si="35"/>
        <v>15.402700000000001</v>
      </c>
      <c r="Z129" s="75" t="e">
        <f>VLOOKUP(A129,Enforcements!$C$3:$J$12,8,0)</f>
        <v>#N/A</v>
      </c>
      <c r="AA129" s="75" t="e">
        <f>VLOOKUP(A129,Enforcements!$C$3:$J$12,3,0)</f>
        <v>#N/A</v>
      </c>
    </row>
    <row r="130" spans="1:27" s="2" customFormat="1" x14ac:dyDescent="0.25">
      <c r="A130" s="61" t="s">
        <v>379</v>
      </c>
      <c r="B130" s="61">
        <v>4010</v>
      </c>
      <c r="C130" s="61" t="s">
        <v>64</v>
      </c>
      <c r="D130" s="61" t="s">
        <v>380</v>
      </c>
      <c r="E130" s="30">
        <v>42503.911516203705</v>
      </c>
      <c r="F130" s="30">
        <v>42503.91300925926</v>
      </c>
      <c r="G130" s="38">
        <v>2</v>
      </c>
      <c r="H130" s="30" t="s">
        <v>381</v>
      </c>
      <c r="I130" s="30">
        <v>42503.914525462962</v>
      </c>
      <c r="J130" s="61">
        <v>0</v>
      </c>
      <c r="K130" s="61" t="str">
        <f t="shared" si="36"/>
        <v>4009/4010</v>
      </c>
      <c r="L130" s="61" t="str">
        <f>VLOOKUP(A130,'Trips&amp;Operators'!$C$1:$E$9999,3,FALSE)</f>
        <v>STRICKLAND</v>
      </c>
      <c r="M130" s="12">
        <f t="shared" si="37"/>
        <v>1.5162037016125396E-3</v>
      </c>
      <c r="N130" s="13"/>
      <c r="O130" s="13"/>
      <c r="P130" s="13">
        <f>M132*24*60</f>
        <v>87.883333330973983</v>
      </c>
      <c r="Q130" s="62" t="s">
        <v>433</v>
      </c>
      <c r="R130" s="62" t="s">
        <v>432</v>
      </c>
      <c r="T13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21:51:35-0600',mode:absolute,to:'2016-05-13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0" s="74" t="str">
        <f t="shared" si="39"/>
        <v>Y</v>
      </c>
      <c r="V130" s="74">
        <f t="shared" si="40"/>
        <v>1</v>
      </c>
      <c r="W130" s="74">
        <f t="shared" si="34"/>
        <v>0.1328</v>
      </c>
      <c r="X130" s="74">
        <f t="shared" si="43"/>
        <v>0.1167</v>
      </c>
      <c r="Y130" s="74">
        <f t="shared" si="35"/>
        <v>1.6100000000000003E-2</v>
      </c>
      <c r="Z130" s="75">
        <f>VLOOKUP(A130,Enforcements!$C$3:$J$12,8,0)</f>
        <v>156300</v>
      </c>
      <c r="AA130" s="75" t="str">
        <f>VLOOKUP(A130,Enforcements!$C$3:$J$12,3,0)</f>
        <v>EQUIPMENT RESTRICTION</v>
      </c>
    </row>
    <row r="131" spans="1:27" s="2" customFormat="1" x14ac:dyDescent="0.25">
      <c r="A131" s="61" t="s">
        <v>379</v>
      </c>
      <c r="B131" s="61">
        <v>4010</v>
      </c>
      <c r="C131" s="61" t="s">
        <v>64</v>
      </c>
      <c r="D131" s="61" t="s">
        <v>117</v>
      </c>
      <c r="E131" s="30">
        <v>42503.851006944446</v>
      </c>
      <c r="F131" s="30">
        <v>42503.852025462962</v>
      </c>
      <c r="G131" s="38">
        <v>1</v>
      </c>
      <c r="H131" s="30" t="s">
        <v>381</v>
      </c>
      <c r="I131" s="30">
        <v>42503.914525462962</v>
      </c>
      <c r="J131" s="61">
        <v>1</v>
      </c>
      <c r="K131" s="61" t="str">
        <f t="shared" si="36"/>
        <v>4009/4010</v>
      </c>
      <c r="L131" s="61" t="str">
        <f>VLOOKUP(A131,'Trips&amp;Operators'!$C$1:$E$9999,3,FALSE)</f>
        <v>STRICKLAND</v>
      </c>
      <c r="M131" s="12">
        <f t="shared" si="37"/>
        <v>6.25E-2</v>
      </c>
      <c r="N131" s="13"/>
      <c r="O131" s="13"/>
      <c r="P131" s="13"/>
      <c r="Q131" s="62"/>
      <c r="R131" s="62"/>
      <c r="T13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20:24:27-0600',mode:absolute,to:'2016-05-13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1" s="74" t="str">
        <f t="shared" si="39"/>
        <v>N</v>
      </c>
      <c r="V131" s="74">
        <f t="shared" si="40"/>
        <v>0</v>
      </c>
      <c r="W131" s="74">
        <f t="shared" ref="W131:W147" si="44">RIGHT(D131,LEN(D131)-4)/10000</f>
        <v>23.298200000000001</v>
      </c>
      <c r="X131" s="74">
        <f t="shared" si="43"/>
        <v>0.1167</v>
      </c>
      <c r="Y131" s="74">
        <f t="shared" ref="Y131:Y147" si="45">ABS(X131-W131)</f>
        <v>23.1815</v>
      </c>
      <c r="Z131" s="75">
        <f>VLOOKUP(A131,Enforcements!$C$3:$J$12,8,0)</f>
        <v>156300</v>
      </c>
      <c r="AA131" s="75" t="str">
        <f>VLOOKUP(A131,Enforcements!$C$3:$J$12,3,0)</f>
        <v>EQUIPMENT RESTRICTION</v>
      </c>
    </row>
    <row r="132" spans="1:27" s="2" customFormat="1" x14ac:dyDescent="0.25">
      <c r="A132" s="61" t="s">
        <v>379</v>
      </c>
      <c r="B132" s="61">
        <v>4010</v>
      </c>
      <c r="C132" s="61" t="s">
        <v>64</v>
      </c>
      <c r="D132" s="61" t="s">
        <v>117</v>
      </c>
      <c r="E132" s="30">
        <v>42503.851006944446</v>
      </c>
      <c r="F132" s="30">
        <v>42503.853495370371</v>
      </c>
      <c r="G132" s="38">
        <v>3</v>
      </c>
      <c r="H132" s="30" t="s">
        <v>381</v>
      </c>
      <c r="I132" s="30">
        <v>42503.914525462962</v>
      </c>
      <c r="J132" s="61">
        <v>0</v>
      </c>
      <c r="K132" s="61" t="str">
        <f t="shared" ref="K132:K147" si="46">IF(ISEVEN(B132),(B132-1)&amp;"/"&amp;B132,B132&amp;"/"&amp;(B132+1))</f>
        <v>4009/4010</v>
      </c>
      <c r="L132" s="61" t="str">
        <f>VLOOKUP(A132,'Trips&amp;Operators'!$C$1:$E$9999,3,FALSE)</f>
        <v>STRICKLAND</v>
      </c>
      <c r="M132" s="12">
        <f t="shared" ref="M132:M147" si="47">I132-F132</f>
        <v>6.1030092590954155E-2</v>
      </c>
      <c r="N132" s="13"/>
      <c r="O132" s="13"/>
      <c r="P132" s="13"/>
      <c r="Q132" s="62"/>
      <c r="R132" s="62"/>
      <c r="T132" s="74" t="str">
        <f t="shared" ref="T132:T147" si="48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https://search-rtdc-monitor-bjffxe2xuh6vdkpspy63sjmuny.us-east-1.es.amazonaws.com/_plugin/kibana/#/discover/Steve-Slow-Train-Analysis-(2080s-and-2083s)?_g=(refreshInterval:(display:Off,section:0,value:0),time:(from:'2016-05-13 20:24:27-0600',mode:absolute,to:'2016-05-13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2" s="74" t="str">
        <f t="shared" ref="U132:U147" si="49">IF(Y132&lt;23,"Y","N")</f>
        <v>N</v>
      </c>
      <c r="V132" s="74">
        <f t="shared" ref="V132:V147" si="50">VALUE(LEFT(A132,3))-VALUE(LEFT(A131,3))</f>
        <v>0</v>
      </c>
      <c r="W132" s="74">
        <f t="shared" si="44"/>
        <v>23.298200000000001</v>
      </c>
      <c r="X132" s="74">
        <f t="shared" si="43"/>
        <v>0.1167</v>
      </c>
      <c r="Y132" s="74">
        <f t="shared" si="45"/>
        <v>23.1815</v>
      </c>
      <c r="Z132" s="75">
        <f>VLOOKUP(A132,Enforcements!$C$3:$J$12,8,0)</f>
        <v>156300</v>
      </c>
      <c r="AA132" s="75" t="str">
        <f>VLOOKUP(A132,Enforcements!$C$3:$J$12,3,0)</f>
        <v>EQUIPMENT RESTRICTION</v>
      </c>
    </row>
    <row r="133" spans="1:27" s="2" customFormat="1" x14ac:dyDescent="0.25">
      <c r="A133" s="61" t="s">
        <v>382</v>
      </c>
      <c r="B133" s="61">
        <v>4038</v>
      </c>
      <c r="C133" s="61" t="s">
        <v>64</v>
      </c>
      <c r="D133" s="61" t="s">
        <v>83</v>
      </c>
      <c r="E133" s="30">
        <v>42503.826481481483</v>
      </c>
      <c r="F133" s="30">
        <v>42503.82775462963</v>
      </c>
      <c r="G133" s="38">
        <v>1</v>
      </c>
      <c r="H133" s="30" t="s">
        <v>383</v>
      </c>
      <c r="I133" s="30">
        <v>42503.853842592594</v>
      </c>
      <c r="J133" s="61">
        <v>0</v>
      </c>
      <c r="K133" s="61" t="str">
        <f t="shared" si="46"/>
        <v>4037/4038</v>
      </c>
      <c r="L133" s="61" t="str">
        <f>VLOOKUP(A133,'Trips&amp;Operators'!$C$1:$E$9999,3,FALSE)</f>
        <v>BRUDER</v>
      </c>
      <c r="M133" s="12">
        <f t="shared" si="47"/>
        <v>2.6087962964083999E-2</v>
      </c>
      <c r="N133" s="13"/>
      <c r="O133" s="13"/>
      <c r="P133" s="13">
        <f>$M133*24*60</f>
        <v>37.566666668280959</v>
      </c>
      <c r="Q133" s="62" t="s">
        <v>429</v>
      </c>
      <c r="R133" s="62" t="s">
        <v>454</v>
      </c>
      <c r="T13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19:49:08-0600',mode:absolute,to:'2016-05-13 20:30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3" s="74" t="str">
        <f t="shared" si="49"/>
        <v>Y</v>
      </c>
      <c r="V133" s="74">
        <f t="shared" si="50"/>
        <v>1</v>
      </c>
      <c r="W133" s="74">
        <f t="shared" si="44"/>
        <v>4.5100000000000001E-2</v>
      </c>
      <c r="X133" s="74">
        <f t="shared" si="43"/>
        <v>15.5128</v>
      </c>
      <c r="Y133" s="74">
        <f t="shared" si="45"/>
        <v>15.467700000000001</v>
      </c>
      <c r="Z133" s="75" t="e">
        <f>VLOOKUP(A133,Enforcements!$C$3:$J$12,8,0)</f>
        <v>#N/A</v>
      </c>
      <c r="AA133" s="75" t="e">
        <f>VLOOKUP(A133,Enforcements!$C$3:$J$12,3,0)</f>
        <v>#N/A</v>
      </c>
    </row>
    <row r="134" spans="1:27" s="2" customFormat="1" x14ac:dyDescent="0.25">
      <c r="A134" s="61" t="s">
        <v>384</v>
      </c>
      <c r="B134" s="61">
        <v>4037</v>
      </c>
      <c r="C134" s="61" t="s">
        <v>64</v>
      </c>
      <c r="D134" s="61" t="s">
        <v>333</v>
      </c>
      <c r="E134" s="30">
        <v>42503.867592592593</v>
      </c>
      <c r="F134" s="30">
        <v>42503.868761574071</v>
      </c>
      <c r="G134" s="38">
        <v>1</v>
      </c>
      <c r="H134" s="30" t="s">
        <v>361</v>
      </c>
      <c r="I134" s="30">
        <v>42503.897638888891</v>
      </c>
      <c r="J134" s="61">
        <v>0</v>
      </c>
      <c r="K134" s="61" t="str">
        <f t="shared" si="46"/>
        <v>4037/4038</v>
      </c>
      <c r="L134" s="61" t="str">
        <f>VLOOKUP(A134,'Trips&amp;Operators'!$C$1:$E$9999,3,FALSE)</f>
        <v>BRUDER</v>
      </c>
      <c r="M134" s="12">
        <f t="shared" si="47"/>
        <v>2.8877314820419997E-2</v>
      </c>
      <c r="N134" s="13">
        <f t="shared" ref="N134:N146" si="51">$M134*24*60</f>
        <v>41.583333341404796</v>
      </c>
      <c r="O134" s="13"/>
      <c r="P134" s="13"/>
      <c r="Q134" s="62"/>
      <c r="R134" s="62"/>
      <c r="T13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20:48:20-0600',mode:absolute,to:'2016-05-13 21:33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4" s="74" t="str">
        <f t="shared" si="49"/>
        <v>N</v>
      </c>
      <c r="V134" s="74">
        <f t="shared" si="50"/>
        <v>1</v>
      </c>
      <c r="W134" s="74">
        <f t="shared" si="44"/>
        <v>23.305700000000002</v>
      </c>
      <c r="X134" s="74">
        <f t="shared" si="43"/>
        <v>1.9199999999999998E-2</v>
      </c>
      <c r="Y134" s="74">
        <f t="shared" si="45"/>
        <v>23.2865</v>
      </c>
      <c r="Z134" s="75" t="e">
        <f>VLOOKUP(A134,Enforcements!$C$3:$J$12,8,0)</f>
        <v>#N/A</v>
      </c>
      <c r="AA134" s="75" t="e">
        <f>VLOOKUP(A134,Enforcements!$C$3:$J$12,3,0)</f>
        <v>#N/A</v>
      </c>
    </row>
    <row r="135" spans="1:27" s="2" customFormat="1" x14ac:dyDescent="0.25">
      <c r="A135" s="61" t="s">
        <v>385</v>
      </c>
      <c r="B135" s="61">
        <v>4020</v>
      </c>
      <c r="C135" s="61" t="s">
        <v>64</v>
      </c>
      <c r="D135" s="61" t="s">
        <v>82</v>
      </c>
      <c r="E135" s="30">
        <v>42503.849780092591</v>
      </c>
      <c r="F135" s="30">
        <v>42503.851122685184</v>
      </c>
      <c r="G135" s="38">
        <v>1</v>
      </c>
      <c r="H135" s="30" t="s">
        <v>371</v>
      </c>
      <c r="I135" s="30">
        <v>42503.879166666666</v>
      </c>
      <c r="J135" s="61">
        <v>0</v>
      </c>
      <c r="K135" s="61" t="str">
        <f t="shared" si="46"/>
        <v>4019/4020</v>
      </c>
      <c r="L135" s="61" t="str">
        <f>VLOOKUP(A135,'Trips&amp;Operators'!$C$1:$E$9999,3,FALSE)</f>
        <v>DE LA ROSA</v>
      </c>
      <c r="M135" s="12">
        <f t="shared" si="47"/>
        <v>2.8043981481459923E-2</v>
      </c>
      <c r="N135" s="13">
        <f t="shared" si="51"/>
        <v>40.383333333302289</v>
      </c>
      <c r="O135" s="13"/>
      <c r="P135" s="13"/>
      <c r="Q135" s="62"/>
      <c r="R135" s="62"/>
      <c r="T13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20:22:41-0600',mode:absolute,to:'2016-05-13 21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5" s="74" t="str">
        <f t="shared" si="49"/>
        <v>N</v>
      </c>
      <c r="V135" s="74">
        <f t="shared" si="50"/>
        <v>1</v>
      </c>
      <c r="W135" s="74">
        <f t="shared" si="44"/>
        <v>4.5499999999999999E-2</v>
      </c>
      <c r="X135" s="74">
        <f t="shared" si="43"/>
        <v>23.328800000000001</v>
      </c>
      <c r="Y135" s="74">
        <f t="shared" si="45"/>
        <v>23.283300000000001</v>
      </c>
      <c r="Z135" s="75" t="e">
        <f>VLOOKUP(A135,Enforcements!$C$3:$J$12,8,0)</f>
        <v>#N/A</v>
      </c>
      <c r="AA135" s="75" t="e">
        <f>VLOOKUP(A135,Enforcements!$C$3:$J$12,3,0)</f>
        <v>#N/A</v>
      </c>
    </row>
    <row r="136" spans="1:27" s="2" customFormat="1" x14ac:dyDescent="0.25">
      <c r="A136" s="61" t="s">
        <v>386</v>
      </c>
      <c r="B136" s="61">
        <v>4019</v>
      </c>
      <c r="C136" s="61" t="s">
        <v>64</v>
      </c>
      <c r="D136" s="61" t="s">
        <v>170</v>
      </c>
      <c r="E136" s="30">
        <v>42503.891469907408</v>
      </c>
      <c r="F136" s="30">
        <v>42503.892476851855</v>
      </c>
      <c r="G136" s="38">
        <v>1</v>
      </c>
      <c r="H136" s="30" t="s">
        <v>71</v>
      </c>
      <c r="I136" s="30">
        <v>42503.919374999998</v>
      </c>
      <c r="J136" s="61">
        <v>0</v>
      </c>
      <c r="K136" s="61" t="str">
        <f t="shared" si="46"/>
        <v>4019/4020</v>
      </c>
      <c r="L136" s="61" t="str">
        <f>VLOOKUP(A136,'Trips&amp;Operators'!$C$1:$E$9999,3,FALSE)</f>
        <v>DE LA ROSA</v>
      </c>
      <c r="M136" s="12">
        <f t="shared" si="47"/>
        <v>2.6898148142208811E-2</v>
      </c>
      <c r="N136" s="13">
        <f t="shared" si="51"/>
        <v>38.733333324780688</v>
      </c>
      <c r="O136" s="13"/>
      <c r="P136" s="13"/>
      <c r="Q136" s="62"/>
      <c r="R136" s="62"/>
      <c r="T13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21:22:43-0600',mode:absolute,to:'2016-05-13 22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6" s="74" t="str">
        <f t="shared" si="49"/>
        <v>N</v>
      </c>
      <c r="V136" s="74">
        <f t="shared" si="50"/>
        <v>1</v>
      </c>
      <c r="W136" s="74">
        <f t="shared" si="44"/>
        <v>23.296299999999999</v>
      </c>
      <c r="X136" s="74">
        <f t="shared" si="43"/>
        <v>1.49E-2</v>
      </c>
      <c r="Y136" s="74">
        <f t="shared" si="45"/>
        <v>23.281399999999998</v>
      </c>
      <c r="Z136" s="75" t="e">
        <f>VLOOKUP(A136,Enforcements!$C$3:$J$12,8,0)</f>
        <v>#N/A</v>
      </c>
      <c r="AA136" s="75" t="e">
        <f>VLOOKUP(A136,Enforcements!$C$3:$J$12,3,0)</f>
        <v>#N/A</v>
      </c>
    </row>
    <row r="137" spans="1:27" s="2" customFormat="1" x14ac:dyDescent="0.25">
      <c r="A137" s="61" t="s">
        <v>387</v>
      </c>
      <c r="B137" s="61">
        <v>4044</v>
      </c>
      <c r="C137" s="61" t="s">
        <v>64</v>
      </c>
      <c r="D137" s="61" t="s">
        <v>85</v>
      </c>
      <c r="E137" s="30">
        <v>42503.864710648151</v>
      </c>
      <c r="F137" s="30">
        <v>42503.865578703706</v>
      </c>
      <c r="G137" s="38">
        <v>1</v>
      </c>
      <c r="H137" s="30" t="s">
        <v>87</v>
      </c>
      <c r="I137" s="30">
        <v>42503.900023148148</v>
      </c>
      <c r="J137" s="61">
        <v>0</v>
      </c>
      <c r="K137" s="61" t="str">
        <f t="shared" si="46"/>
        <v>4043/4044</v>
      </c>
      <c r="L137" s="61" t="str">
        <f>VLOOKUP(A137,'Trips&amp;Operators'!$C$1:$E$9999,3,FALSE)</f>
        <v>REBOLETTI</v>
      </c>
      <c r="M137" s="12">
        <f t="shared" si="47"/>
        <v>3.4444444441760425E-2</v>
      </c>
      <c r="N137" s="13">
        <f t="shared" si="51"/>
        <v>49.599999996135011</v>
      </c>
      <c r="O137" s="13"/>
      <c r="P137" s="13"/>
      <c r="Q137" s="62"/>
      <c r="R137" s="62"/>
      <c r="T13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20:44:11-0600',mode:absolute,to:'2016-05-13 21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7" s="74" t="str">
        <f t="shared" si="49"/>
        <v>N</v>
      </c>
      <c r="V137" s="74">
        <f t="shared" si="50"/>
        <v>1</v>
      </c>
      <c r="W137" s="74">
        <f t="shared" si="44"/>
        <v>4.53E-2</v>
      </c>
      <c r="X137" s="74">
        <f t="shared" si="43"/>
        <v>23.329899999999999</v>
      </c>
      <c r="Y137" s="74">
        <f t="shared" si="45"/>
        <v>23.284599999999998</v>
      </c>
      <c r="Z137" s="75" t="e">
        <f>VLOOKUP(A137,Enforcements!$C$3:$J$12,8,0)</f>
        <v>#N/A</v>
      </c>
      <c r="AA137" s="75" t="e">
        <f>VLOOKUP(A137,Enforcements!$C$3:$J$12,3,0)</f>
        <v>#N/A</v>
      </c>
    </row>
    <row r="138" spans="1:27" s="2" customFormat="1" x14ac:dyDescent="0.25">
      <c r="A138" s="61" t="s">
        <v>388</v>
      </c>
      <c r="B138" s="61">
        <v>4043</v>
      </c>
      <c r="C138" s="61" t="s">
        <v>64</v>
      </c>
      <c r="D138" s="61" t="s">
        <v>117</v>
      </c>
      <c r="E138" s="30">
        <v>42503.902986111112</v>
      </c>
      <c r="F138" s="30">
        <v>42503.903969907406</v>
      </c>
      <c r="G138" s="38">
        <v>1</v>
      </c>
      <c r="H138" s="30" t="s">
        <v>76</v>
      </c>
      <c r="I138" s="30">
        <v>42503.941770833335</v>
      </c>
      <c r="J138" s="61">
        <v>0</v>
      </c>
      <c r="K138" s="61" t="str">
        <f t="shared" si="46"/>
        <v>4043/4044</v>
      </c>
      <c r="L138" s="61" t="str">
        <f>VLOOKUP(A138,'Trips&amp;Operators'!$C$1:$E$9999,3,FALSE)</f>
        <v>REBOLETTI</v>
      </c>
      <c r="M138" s="12">
        <f t="shared" si="47"/>
        <v>3.7800925929332152E-2</v>
      </c>
      <c r="N138" s="13">
        <f t="shared" si="51"/>
        <v>54.433333338238299</v>
      </c>
      <c r="O138" s="13"/>
      <c r="P138" s="13"/>
      <c r="Q138" s="62"/>
      <c r="R138" s="62"/>
      <c r="T138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21:39:18-0600',mode:absolute,to:'2016-05-13 22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8" s="74" t="str">
        <f t="shared" si="49"/>
        <v>N</v>
      </c>
      <c r="V138" s="74">
        <f t="shared" si="50"/>
        <v>1</v>
      </c>
      <c r="W138" s="74">
        <f t="shared" si="44"/>
        <v>23.298200000000001</v>
      </c>
      <c r="X138" s="74">
        <f t="shared" si="43"/>
        <v>1.54E-2</v>
      </c>
      <c r="Y138" s="74">
        <f t="shared" si="45"/>
        <v>23.282800000000002</v>
      </c>
      <c r="Z138" s="75" t="e">
        <f>VLOOKUP(A138,Enforcements!$C$3:$J$12,8,0)</f>
        <v>#N/A</v>
      </c>
      <c r="AA138" s="75" t="e">
        <f>VLOOKUP(A138,Enforcements!$C$3:$J$12,3,0)</f>
        <v>#N/A</v>
      </c>
    </row>
    <row r="139" spans="1:27" s="2" customFormat="1" x14ac:dyDescent="0.25">
      <c r="A139" s="61" t="s">
        <v>389</v>
      </c>
      <c r="B139" s="61">
        <v>4014</v>
      </c>
      <c r="C139" s="61" t="s">
        <v>64</v>
      </c>
      <c r="D139" s="61" t="s">
        <v>390</v>
      </c>
      <c r="E139" s="30">
        <v>42503.888182870367</v>
      </c>
      <c r="F139" s="30">
        <v>42503.889675925922</v>
      </c>
      <c r="G139" s="38">
        <v>2</v>
      </c>
      <c r="H139" s="30" t="s">
        <v>391</v>
      </c>
      <c r="I139" s="30">
        <v>42503.922754629632</v>
      </c>
      <c r="J139" s="61">
        <v>2</v>
      </c>
      <c r="K139" s="61" t="str">
        <f t="shared" si="46"/>
        <v>4013/4014</v>
      </c>
      <c r="L139" s="61" t="str">
        <f>VLOOKUP(A139,'Trips&amp;Operators'!$C$1:$E$9999,3,FALSE)</f>
        <v>MAYBERRY</v>
      </c>
      <c r="M139" s="12">
        <f t="shared" si="47"/>
        <v>3.3078703709179536E-2</v>
      </c>
      <c r="N139" s="13">
        <f t="shared" si="51"/>
        <v>47.633333341218531</v>
      </c>
      <c r="O139" s="13"/>
      <c r="P139" s="13"/>
      <c r="Q139" s="62"/>
      <c r="R139" s="62"/>
      <c r="T139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21:17:59-0600',mode:absolute,to:'2016-05-13 22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9" s="74" t="str">
        <f t="shared" si="49"/>
        <v>N</v>
      </c>
      <c r="V139" s="74">
        <f t="shared" si="50"/>
        <v>1</v>
      </c>
      <c r="W139" s="74">
        <f t="shared" si="44"/>
        <v>4.8399999999999999E-2</v>
      </c>
      <c r="X139" s="74">
        <v>23.3293</v>
      </c>
      <c r="Y139" s="74">
        <f t="shared" si="45"/>
        <v>23.280899999999999</v>
      </c>
      <c r="Z139" s="75" t="e">
        <f>VLOOKUP(A139,Enforcements!$C$3:$J$12,8,0)</f>
        <v>#N/A</v>
      </c>
      <c r="AA139" s="75" t="e">
        <f>VLOOKUP(A139,Enforcements!$C$3:$J$12,3,0)</f>
        <v>#N/A</v>
      </c>
    </row>
    <row r="140" spans="1:27" s="2" customFormat="1" x14ac:dyDescent="0.25">
      <c r="A140" s="61" t="s">
        <v>392</v>
      </c>
      <c r="B140" s="61">
        <v>4013</v>
      </c>
      <c r="C140" s="61" t="s">
        <v>64</v>
      </c>
      <c r="D140" s="61" t="s">
        <v>105</v>
      </c>
      <c r="E140" s="30">
        <v>42503.92527777778</v>
      </c>
      <c r="F140" s="30">
        <v>42503.926539351851</v>
      </c>
      <c r="G140" s="38">
        <v>1</v>
      </c>
      <c r="H140" s="30" t="s">
        <v>393</v>
      </c>
      <c r="I140" s="30">
        <v>42503.964004629626</v>
      </c>
      <c r="J140" s="61">
        <v>2</v>
      </c>
      <c r="K140" s="61" t="str">
        <f t="shared" si="46"/>
        <v>4013/4014</v>
      </c>
      <c r="L140" s="61" t="str">
        <f>VLOOKUP(A140,'Trips&amp;Operators'!$C$1:$E$9999,3,FALSE)</f>
        <v>MAYBERRY</v>
      </c>
      <c r="M140" s="12">
        <f t="shared" si="47"/>
        <v>3.7465277775481809E-2</v>
      </c>
      <c r="N140" s="13">
        <f t="shared" si="51"/>
        <v>53.949999996693805</v>
      </c>
      <c r="O140" s="13"/>
      <c r="P140" s="13"/>
      <c r="Q140" s="62"/>
      <c r="R140" s="62"/>
      <c r="T140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22:11:24-0600',mode:absolute,to:'2016-05-13 23:09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0" s="74" t="str">
        <f t="shared" si="49"/>
        <v>N</v>
      </c>
      <c r="V140" s="74">
        <f t="shared" si="50"/>
        <v>1</v>
      </c>
      <c r="W140" s="74">
        <f t="shared" si="44"/>
        <v>23.297499999999999</v>
      </c>
      <c r="X140" s="74">
        <f t="shared" ref="X140:X147" si="52">RIGHT(H140,LEN(H140)-4)/10000</f>
        <v>3.1099999999999999E-2</v>
      </c>
      <c r="Y140" s="74">
        <f t="shared" si="45"/>
        <v>23.266400000000001</v>
      </c>
      <c r="Z140" s="75" t="e">
        <f>VLOOKUP(A140,Enforcements!$C$3:$J$12,8,0)</f>
        <v>#N/A</v>
      </c>
      <c r="AA140" s="75" t="e">
        <f>VLOOKUP(A140,Enforcements!$C$3:$J$12,3,0)</f>
        <v>#N/A</v>
      </c>
    </row>
    <row r="141" spans="1:27" s="2" customFormat="1" x14ac:dyDescent="0.25">
      <c r="A141" s="61" t="s">
        <v>394</v>
      </c>
      <c r="B141" s="61">
        <v>4038</v>
      </c>
      <c r="C141" s="61" t="s">
        <v>64</v>
      </c>
      <c r="D141" s="61" t="s">
        <v>148</v>
      </c>
      <c r="E141" s="30">
        <v>42503.899340277778</v>
      </c>
      <c r="F141" s="30">
        <v>42503.900763888887</v>
      </c>
      <c r="G141" s="38">
        <v>2</v>
      </c>
      <c r="H141" s="30" t="s">
        <v>395</v>
      </c>
      <c r="I141" s="30">
        <v>42503.942615740743</v>
      </c>
      <c r="J141" s="61">
        <v>1</v>
      </c>
      <c r="K141" s="61" t="str">
        <f t="shared" si="46"/>
        <v>4037/4038</v>
      </c>
      <c r="L141" s="61" t="str">
        <f>VLOOKUP(A141,'Trips&amp;Operators'!$C$1:$E$9999,3,FALSE)</f>
        <v>BRUDER</v>
      </c>
      <c r="M141" s="12">
        <f t="shared" si="47"/>
        <v>4.1851851856335998E-2</v>
      </c>
      <c r="N141" s="13">
        <f t="shared" si="51"/>
        <v>60.266666673123837</v>
      </c>
      <c r="O141" s="13"/>
      <c r="P141" s="13"/>
      <c r="Q141" s="62"/>
      <c r="R141" s="62"/>
      <c r="T141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21:34:03-0600',mode:absolute,to:'2016-05-13 22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1" s="74" t="str">
        <f t="shared" si="49"/>
        <v>N</v>
      </c>
      <c r="V141" s="74">
        <f t="shared" si="50"/>
        <v>1</v>
      </c>
      <c r="W141" s="74">
        <f t="shared" si="44"/>
        <v>5.11E-2</v>
      </c>
      <c r="X141" s="74">
        <f t="shared" si="52"/>
        <v>23.332100000000001</v>
      </c>
      <c r="Y141" s="74">
        <f t="shared" si="45"/>
        <v>23.280999999999999</v>
      </c>
      <c r="Z141" s="75" t="e">
        <f>VLOOKUP(A141,Enforcements!$C$3:$J$12,8,0)</f>
        <v>#N/A</v>
      </c>
      <c r="AA141" s="75" t="e">
        <f>VLOOKUP(A141,Enforcements!$C$3:$J$12,3,0)</f>
        <v>#N/A</v>
      </c>
    </row>
    <row r="142" spans="1:27" s="2" customFormat="1" x14ac:dyDescent="0.25">
      <c r="A142" s="61" t="s">
        <v>396</v>
      </c>
      <c r="B142" s="61">
        <v>4037</v>
      </c>
      <c r="C142" s="61" t="s">
        <v>64</v>
      </c>
      <c r="D142" s="61" t="s">
        <v>237</v>
      </c>
      <c r="E142" s="30">
        <v>42503.943993055553</v>
      </c>
      <c r="F142" s="30">
        <v>42503.946006944447</v>
      </c>
      <c r="G142" s="38">
        <v>2</v>
      </c>
      <c r="H142" s="30" t="s">
        <v>69</v>
      </c>
      <c r="I142" s="30">
        <v>42503.981481481482</v>
      </c>
      <c r="J142" s="61">
        <v>0</v>
      </c>
      <c r="K142" s="61" t="str">
        <f t="shared" si="46"/>
        <v>4037/4038</v>
      </c>
      <c r="L142" s="61" t="str">
        <f>VLOOKUP(A142,'Trips&amp;Operators'!$C$1:$E$9999,3,FALSE)</f>
        <v>BRUDER</v>
      </c>
      <c r="M142" s="12">
        <f t="shared" si="47"/>
        <v>3.5474537035042886E-2</v>
      </c>
      <c r="N142" s="13">
        <f t="shared" si="51"/>
        <v>51.083333330461755</v>
      </c>
      <c r="O142" s="13"/>
      <c r="P142" s="13"/>
      <c r="Q142" s="62"/>
      <c r="R142" s="62"/>
      <c r="T142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22:38:21-0600',mode:absolute,to:'2016-05-13 23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2" s="74" t="str">
        <f t="shared" si="49"/>
        <v>N</v>
      </c>
      <c r="V142" s="74">
        <f t="shared" si="50"/>
        <v>1</v>
      </c>
      <c r="W142" s="74">
        <f t="shared" si="44"/>
        <v>23.2987</v>
      </c>
      <c r="X142" s="74">
        <f t="shared" si="52"/>
        <v>1.5599999999999999E-2</v>
      </c>
      <c r="Y142" s="74">
        <f t="shared" si="45"/>
        <v>23.283100000000001</v>
      </c>
      <c r="Z142" s="75" t="e">
        <f>VLOOKUP(A142,Enforcements!$C$3:$J$12,8,0)</f>
        <v>#N/A</v>
      </c>
      <c r="AA142" s="75" t="e">
        <f>VLOOKUP(A142,Enforcements!$C$3:$J$12,3,0)</f>
        <v>#N/A</v>
      </c>
    </row>
    <row r="143" spans="1:27" s="2" customFormat="1" x14ac:dyDescent="0.25">
      <c r="A143" s="61" t="s">
        <v>397</v>
      </c>
      <c r="B143" s="61">
        <v>4020</v>
      </c>
      <c r="C143" s="61" t="s">
        <v>64</v>
      </c>
      <c r="D143" s="61" t="s">
        <v>261</v>
      </c>
      <c r="E143" s="30">
        <v>42503.933541666665</v>
      </c>
      <c r="F143" s="30">
        <v>42503.935011574074</v>
      </c>
      <c r="G143" s="38">
        <v>2</v>
      </c>
      <c r="H143" s="30" t="s">
        <v>77</v>
      </c>
      <c r="I143" s="30">
        <v>42503.962962962964</v>
      </c>
      <c r="J143" s="61">
        <v>1</v>
      </c>
      <c r="K143" s="61" t="str">
        <f t="shared" si="46"/>
        <v>4019/4020</v>
      </c>
      <c r="L143" s="61" t="str">
        <f>VLOOKUP(A143,'Trips&amp;Operators'!$C$1:$E$9999,3,FALSE)</f>
        <v>DE LA ROSA</v>
      </c>
      <c r="M143" s="12">
        <f t="shared" si="47"/>
        <v>2.7951388889050577E-2</v>
      </c>
      <c r="N143" s="13">
        <f t="shared" si="51"/>
        <v>40.250000000232831</v>
      </c>
      <c r="O143" s="13"/>
      <c r="P143" s="13"/>
      <c r="Q143" s="62"/>
      <c r="R143" s="62"/>
      <c r="T14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22:23:18-0600',mode:absolute,to:'2016-05-13 23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3" s="74" t="str">
        <f t="shared" si="49"/>
        <v>N</v>
      </c>
      <c r="V143" s="74">
        <f t="shared" si="50"/>
        <v>1</v>
      </c>
      <c r="W143" s="74">
        <f t="shared" si="44"/>
        <v>4.5999999999999999E-2</v>
      </c>
      <c r="X143" s="74">
        <f t="shared" si="52"/>
        <v>23.330400000000001</v>
      </c>
      <c r="Y143" s="74">
        <f t="shared" si="45"/>
        <v>23.284400000000002</v>
      </c>
      <c r="Z143" s="75" t="e">
        <f>VLOOKUP(A143,Enforcements!$C$3:$J$12,8,0)</f>
        <v>#N/A</v>
      </c>
      <c r="AA143" s="75" t="e">
        <f>VLOOKUP(A143,Enforcements!$C$3:$J$12,3,0)</f>
        <v>#N/A</v>
      </c>
    </row>
    <row r="144" spans="1:27" s="2" customFormat="1" x14ac:dyDescent="0.25">
      <c r="A144" s="61" t="s">
        <v>398</v>
      </c>
      <c r="B144" s="61">
        <v>4019</v>
      </c>
      <c r="C144" s="61" t="s">
        <v>64</v>
      </c>
      <c r="D144" s="61" t="s">
        <v>70</v>
      </c>
      <c r="E144" s="30">
        <v>42503.973738425928</v>
      </c>
      <c r="F144" s="30">
        <v>42503.974826388891</v>
      </c>
      <c r="G144" s="38">
        <v>1</v>
      </c>
      <c r="H144" s="30" t="s">
        <v>89</v>
      </c>
      <c r="I144" s="30">
        <v>42504.003634259258</v>
      </c>
      <c r="J144" s="61">
        <v>0</v>
      </c>
      <c r="K144" s="61" t="str">
        <f t="shared" si="46"/>
        <v>4019/4020</v>
      </c>
      <c r="L144" s="61" t="str">
        <f>VLOOKUP(A144,'Trips&amp;Operators'!$C$1:$E$9999,3,FALSE)</f>
        <v>DE LA ROSA</v>
      </c>
      <c r="M144" s="12">
        <f t="shared" si="47"/>
        <v>2.880787036701804E-2</v>
      </c>
      <c r="N144" s="13">
        <f t="shared" si="51"/>
        <v>41.483333328505978</v>
      </c>
      <c r="O144" s="13"/>
      <c r="P144" s="13"/>
      <c r="Q144" s="62"/>
      <c r="R144" s="62"/>
      <c r="T14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23:21:11-0600',mode:absolute,to:'2016-05-14 00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4" s="74" t="str">
        <f t="shared" si="49"/>
        <v>N</v>
      </c>
      <c r="V144" s="74">
        <f t="shared" si="50"/>
        <v>1</v>
      </c>
      <c r="W144" s="74">
        <f t="shared" si="44"/>
        <v>23.298500000000001</v>
      </c>
      <c r="X144" s="74">
        <f t="shared" si="52"/>
        <v>1.6299999999999999E-2</v>
      </c>
      <c r="Y144" s="74">
        <f t="shared" si="45"/>
        <v>23.2822</v>
      </c>
      <c r="Z144" s="75" t="e">
        <f>VLOOKUP(A144,Enforcements!$C$3:$J$12,8,0)</f>
        <v>#N/A</v>
      </c>
      <c r="AA144" s="75" t="e">
        <f>VLOOKUP(A144,Enforcements!$C$3:$J$12,3,0)</f>
        <v>#N/A</v>
      </c>
    </row>
    <row r="145" spans="1:27" s="2" customFormat="1" x14ac:dyDescent="0.25">
      <c r="A145" s="61" t="s">
        <v>399</v>
      </c>
      <c r="B145" s="61">
        <v>4044</v>
      </c>
      <c r="C145" s="61" t="s">
        <v>64</v>
      </c>
      <c r="D145" s="61" t="s">
        <v>80</v>
      </c>
      <c r="E145" s="30">
        <v>42503.946886574071</v>
      </c>
      <c r="F145" s="30">
        <v>42503.948125000003</v>
      </c>
      <c r="G145" s="38">
        <v>1</v>
      </c>
      <c r="H145" s="30" t="s">
        <v>172</v>
      </c>
      <c r="I145" s="30">
        <v>42503.985891203702</v>
      </c>
      <c r="J145" s="61">
        <v>0</v>
      </c>
      <c r="K145" s="61" t="str">
        <f t="shared" si="46"/>
        <v>4043/4044</v>
      </c>
      <c r="L145" s="61" t="str">
        <f>VLOOKUP(A145,'Trips&amp;Operators'!$C$1:$E$9999,3,FALSE)</f>
        <v>REBOLETTI</v>
      </c>
      <c r="M145" s="12">
        <f t="shared" si="47"/>
        <v>3.7766203698993195E-2</v>
      </c>
      <c r="N145" s="13">
        <f t="shared" si="51"/>
        <v>54.383333326550201</v>
      </c>
      <c r="O145" s="13"/>
      <c r="P145" s="13"/>
      <c r="Q145" s="62"/>
      <c r="R145" s="62"/>
      <c r="T14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22:42:31-0600',mode:absolute,to:'2016-05-13 23:40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5" s="74" t="str">
        <f t="shared" si="49"/>
        <v>N</v>
      </c>
      <c r="V145" s="74">
        <f t="shared" si="50"/>
        <v>1</v>
      </c>
      <c r="W145" s="74">
        <f t="shared" si="44"/>
        <v>4.4699999999999997E-2</v>
      </c>
      <c r="X145" s="74">
        <f t="shared" si="52"/>
        <v>23.329799999999999</v>
      </c>
      <c r="Y145" s="74">
        <f t="shared" si="45"/>
        <v>23.2851</v>
      </c>
      <c r="Z145" s="75" t="e">
        <f>VLOOKUP(A145,Enforcements!$C$3:$J$12,8,0)</f>
        <v>#N/A</v>
      </c>
      <c r="AA145" s="75" t="e">
        <f>VLOOKUP(A145,Enforcements!$C$3:$J$12,3,0)</f>
        <v>#N/A</v>
      </c>
    </row>
    <row r="146" spans="1:27" s="2" customFormat="1" x14ac:dyDescent="0.25">
      <c r="A146" s="61" t="s">
        <v>400</v>
      </c>
      <c r="B146" s="61">
        <v>4043</v>
      </c>
      <c r="C146" s="61" t="s">
        <v>64</v>
      </c>
      <c r="D146" s="61" t="s">
        <v>204</v>
      </c>
      <c r="E146" s="30">
        <v>42503.992800925924</v>
      </c>
      <c r="F146" s="30">
        <v>42503.993831018517</v>
      </c>
      <c r="G146" s="38">
        <v>1</v>
      </c>
      <c r="H146" s="30" t="s">
        <v>136</v>
      </c>
      <c r="I146" s="30">
        <v>42504.023761574077</v>
      </c>
      <c r="J146" s="61">
        <v>1</v>
      </c>
      <c r="K146" s="61" t="str">
        <f t="shared" si="46"/>
        <v>4043/4044</v>
      </c>
      <c r="L146" s="61" t="str">
        <f>VLOOKUP(A146,'Trips&amp;Operators'!$C$1:$E$9999,3,FALSE)</f>
        <v>REBOLETTI</v>
      </c>
      <c r="M146" s="12">
        <f t="shared" si="47"/>
        <v>2.9930555559985805E-2</v>
      </c>
      <c r="N146" s="13">
        <f t="shared" si="51"/>
        <v>43.10000000637956</v>
      </c>
      <c r="O146" s="13"/>
      <c r="P146" s="13"/>
      <c r="Q146" s="62"/>
      <c r="R146" s="62"/>
      <c r="T14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23:48:38-0600',mode:absolute,to:'2016-05-14 00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6" s="74" t="str">
        <f t="shared" si="49"/>
        <v>N</v>
      </c>
      <c r="V146" s="74">
        <f t="shared" si="50"/>
        <v>1</v>
      </c>
      <c r="W146" s="74">
        <f t="shared" si="44"/>
        <v>23.297699999999999</v>
      </c>
      <c r="X146" s="74">
        <f t="shared" si="52"/>
        <v>1.5800000000000002E-2</v>
      </c>
      <c r="Y146" s="74">
        <f t="shared" si="45"/>
        <v>23.2819</v>
      </c>
      <c r="Z146" s="75" t="e">
        <f>VLOOKUP(A146,Enforcements!$C$3:$J$12,8,0)</f>
        <v>#N/A</v>
      </c>
      <c r="AA146" s="75" t="e">
        <f>VLOOKUP(A146,Enforcements!$C$3:$J$12,3,0)</f>
        <v>#N/A</v>
      </c>
    </row>
    <row r="147" spans="1:27" s="2" customFormat="1" x14ac:dyDescent="0.25">
      <c r="A147" s="61" t="s">
        <v>401</v>
      </c>
      <c r="B147" s="61">
        <v>4014</v>
      </c>
      <c r="C147" s="61" t="s">
        <v>64</v>
      </c>
      <c r="D147" s="61" t="s">
        <v>402</v>
      </c>
      <c r="E147" s="30">
        <v>42503.967719907407</v>
      </c>
      <c r="F147" s="30">
        <v>42503.969386574077</v>
      </c>
      <c r="G147" s="38">
        <v>2</v>
      </c>
      <c r="H147" s="30" t="s">
        <v>403</v>
      </c>
      <c r="I147" s="30">
        <v>42503.979386574072</v>
      </c>
      <c r="J147" s="61">
        <v>0</v>
      </c>
      <c r="K147" s="61" t="str">
        <f t="shared" si="46"/>
        <v>4013/4014</v>
      </c>
      <c r="L147" s="61" t="str">
        <f>VLOOKUP(A147,'Trips&amp;Operators'!$C$1:$E$9999,3,FALSE)</f>
        <v>STRICKLAND</v>
      </c>
      <c r="M147" s="12">
        <f t="shared" si="47"/>
        <v>9.9999999947613105E-3</v>
      </c>
      <c r="N147" s="13"/>
      <c r="O147" s="13"/>
      <c r="P147" s="13">
        <f>$M147*24*60</f>
        <v>14.399999992456287</v>
      </c>
      <c r="Q147" s="62" t="s">
        <v>142</v>
      </c>
      <c r="R147" s="62" t="s">
        <v>434</v>
      </c>
      <c r="T14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23:12:31-0600',mode:absolute,to:'2016-05-13 23:31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7" s="74" t="str">
        <f t="shared" si="49"/>
        <v>Y</v>
      </c>
      <c r="V147" s="74">
        <f t="shared" si="50"/>
        <v>1</v>
      </c>
      <c r="W147" s="74">
        <f t="shared" si="44"/>
        <v>6.0600000000000001E-2</v>
      </c>
      <c r="X147" s="74">
        <f t="shared" si="52"/>
        <v>6.3E-2</v>
      </c>
      <c r="Y147" s="74">
        <f t="shared" si="45"/>
        <v>2.3999999999999994E-3</v>
      </c>
      <c r="Z147" s="75" t="e">
        <f>VLOOKUP(A147,Enforcements!$C$3:$J$12,8,0)</f>
        <v>#N/A</v>
      </c>
      <c r="AA147" s="75" t="e">
        <f>VLOOKUP(A147,Enforcements!$C$3:$J$12,3,0)</f>
        <v>#N/A</v>
      </c>
    </row>
    <row r="148" spans="1:27" s="2" customFormat="1" x14ac:dyDescent="0.25">
      <c r="A148" s="61" t="s">
        <v>404</v>
      </c>
      <c r="B148" s="61">
        <v>4013</v>
      </c>
      <c r="C148" s="61" t="s">
        <v>64</v>
      </c>
      <c r="D148" s="61" t="s">
        <v>405</v>
      </c>
      <c r="E148" s="30">
        <v>42504.017523148148</v>
      </c>
      <c r="F148" s="30">
        <v>42504.018321759257</v>
      </c>
      <c r="G148" s="38">
        <v>1</v>
      </c>
      <c r="H148" s="30" t="s">
        <v>76</v>
      </c>
      <c r="I148" s="30">
        <v>42504.044791666667</v>
      </c>
      <c r="J148" s="61">
        <v>0</v>
      </c>
      <c r="K148" s="61" t="str">
        <f t="shared" ref="K148:K154" si="53">IF(ISEVEN(B148),(B148-1)&amp;"/"&amp;B148,B148&amp;"/"&amp;(B148+1))</f>
        <v>4013/4014</v>
      </c>
      <c r="L148" s="61" t="str">
        <f>VLOOKUP(A148,'Trips&amp;Operators'!$C$1:$E$9999,3,FALSE)</f>
        <v>MAYBERRY</v>
      </c>
      <c r="M148" s="12">
        <f t="shared" ref="M148:M154" si="54">I148-F148</f>
        <v>2.6469907410501037E-2</v>
      </c>
      <c r="N148" s="13">
        <f t="shared" ref="N148:N154" si="55">$M148*24*60</f>
        <v>38.116666671121493</v>
      </c>
      <c r="O148" s="13"/>
      <c r="P148" s="13"/>
      <c r="Q148" s="62"/>
      <c r="R148" s="62"/>
      <c r="T148" s="74" t="str">
        <f t="shared" ref="T148:T154" si="56"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https://search-rtdc-monitor-bjffxe2xuh6vdkpspy63sjmuny.us-east-1.es.amazonaws.com/_plugin/kibana/#/discover/Steve-Slow-Train-Analysis-(2080s-and-2083s)?_g=(refreshInterval:(display:Off,section:0,value:0),time:(from:'2016-05-14 00:24:14-0600',mode:absolute,to:'2016-05-14 01:05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8" s="74" t="str">
        <f t="shared" ref="U148:U154" si="57">IF(Y148&lt;23,"Y","N")</f>
        <v>N</v>
      </c>
      <c r="V148" s="74">
        <f t="shared" ref="V148:V154" si="58">VALUE(LEFT(A148,3))-VALUE(LEFT(A147,3))</f>
        <v>1</v>
      </c>
      <c r="W148" s="74">
        <f t="shared" ref="W148:W154" si="59">RIGHT(D148,LEN(D148)-4)/10000</f>
        <v>23.296199999999999</v>
      </c>
      <c r="X148" s="74">
        <f t="shared" ref="X148:X154" si="60">RIGHT(H148,LEN(H148)-4)/10000</f>
        <v>1.54E-2</v>
      </c>
      <c r="Y148" s="74">
        <f t="shared" ref="Y148:Y154" si="61">ABS(X148-W148)</f>
        <v>23.280799999999999</v>
      </c>
      <c r="Z148" s="75" t="e">
        <f>VLOOKUP(A148,Enforcements!$C$3:$J$12,8,0)</f>
        <v>#N/A</v>
      </c>
      <c r="AA148" s="75" t="e">
        <f>VLOOKUP(A148,Enforcements!$C$3:$J$12,3,0)</f>
        <v>#N/A</v>
      </c>
    </row>
    <row r="149" spans="1:27" s="2" customFormat="1" x14ac:dyDescent="0.25">
      <c r="A149" s="61" t="s">
        <v>406</v>
      </c>
      <c r="B149" s="61">
        <v>4038</v>
      </c>
      <c r="C149" s="61" t="s">
        <v>64</v>
      </c>
      <c r="D149" s="61" t="s">
        <v>83</v>
      </c>
      <c r="E149" s="30">
        <v>42503.988009259258</v>
      </c>
      <c r="F149" s="30">
        <v>42503.988946759258</v>
      </c>
      <c r="G149" s="38">
        <v>1</v>
      </c>
      <c r="H149" s="30" t="s">
        <v>169</v>
      </c>
      <c r="I149" s="30">
        <v>42504.026134259257</v>
      </c>
      <c r="J149" s="61">
        <v>1</v>
      </c>
      <c r="K149" s="61" t="str">
        <f t="shared" si="53"/>
        <v>4037/4038</v>
      </c>
      <c r="L149" s="61" t="str">
        <f>VLOOKUP(A149,'Trips&amp;Operators'!$C$1:$E$9999,3,FALSE)</f>
        <v>BRUDER</v>
      </c>
      <c r="M149" s="12">
        <f t="shared" si="54"/>
        <v>3.718749999825377E-2</v>
      </c>
      <c r="N149" s="13">
        <f t="shared" si="55"/>
        <v>53.549999997485429</v>
      </c>
      <c r="O149" s="13"/>
      <c r="P149" s="13"/>
      <c r="Q149" s="62"/>
      <c r="R149" s="62"/>
      <c r="T149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https://search-rtdc-monitor-bjffxe2xuh6vdkpspy63sjmuny.us-east-1.es.amazonaws.com/_plugin/kibana/#/discover/Steve-Slow-Train-Analysis-(2080s-and-2083s)?_g=(refreshInterval:(display:Off,section:0,value:0),time:(from:'2016-05-13 23:41:44-0600',mode:absolute,to:'2016-05-14 00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9" s="74" t="str">
        <f t="shared" si="57"/>
        <v>N</v>
      </c>
      <c r="V149" s="74">
        <f t="shared" si="58"/>
        <v>1</v>
      </c>
      <c r="W149" s="74">
        <f t="shared" si="59"/>
        <v>4.5100000000000001E-2</v>
      </c>
      <c r="X149" s="74">
        <f t="shared" si="60"/>
        <v>23.3276</v>
      </c>
      <c r="Y149" s="74">
        <f t="shared" si="61"/>
        <v>23.282499999999999</v>
      </c>
      <c r="Z149" s="75" t="e">
        <f>VLOOKUP(A149,Enforcements!$C$3:$J$12,8,0)</f>
        <v>#N/A</v>
      </c>
      <c r="AA149" s="75" t="e">
        <f>VLOOKUP(A149,Enforcements!$C$3:$J$12,3,0)</f>
        <v>#N/A</v>
      </c>
    </row>
    <row r="150" spans="1:27" s="2" customFormat="1" x14ac:dyDescent="0.25">
      <c r="A150" s="61" t="s">
        <v>407</v>
      </c>
      <c r="B150" s="61">
        <v>4037</v>
      </c>
      <c r="C150" s="61" t="s">
        <v>64</v>
      </c>
      <c r="D150" s="61" t="s">
        <v>405</v>
      </c>
      <c r="E150" s="30">
        <v>42504.030601851853</v>
      </c>
      <c r="F150" s="30">
        <v>42504.031354166669</v>
      </c>
      <c r="G150" s="38">
        <v>1</v>
      </c>
      <c r="H150" s="30" t="s">
        <v>408</v>
      </c>
      <c r="I150" s="30">
        <v>42504.064097222225</v>
      </c>
      <c r="J150" s="61">
        <v>0</v>
      </c>
      <c r="K150" s="61" t="str">
        <f t="shared" si="53"/>
        <v>4037/4038</v>
      </c>
      <c r="L150" s="61" t="str">
        <f>VLOOKUP(A150,'Trips&amp;Operators'!$C$1:$E$9999,3,FALSE)</f>
        <v>BRUDER</v>
      </c>
      <c r="M150" s="12">
        <f t="shared" si="54"/>
        <v>3.2743055555329192E-2</v>
      </c>
      <c r="N150" s="13">
        <f t="shared" si="55"/>
        <v>47.149999999674037</v>
      </c>
      <c r="O150" s="13"/>
      <c r="P150" s="13"/>
      <c r="Q150" s="62"/>
      <c r="R150" s="62"/>
      <c r="T150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00:43:04-0600',mode:absolute,to:'2016-05-14 01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50" s="74" t="str">
        <f t="shared" si="57"/>
        <v>N</v>
      </c>
      <c r="V150" s="74">
        <f t="shared" si="58"/>
        <v>1</v>
      </c>
      <c r="W150" s="74">
        <f t="shared" si="59"/>
        <v>23.296199999999999</v>
      </c>
      <c r="X150" s="74">
        <f t="shared" si="60"/>
        <v>1.72E-2</v>
      </c>
      <c r="Y150" s="74">
        <f t="shared" si="61"/>
        <v>23.279</v>
      </c>
      <c r="Z150" s="75" t="e">
        <f>VLOOKUP(A150,Enforcements!$C$3:$J$12,8,0)</f>
        <v>#N/A</v>
      </c>
      <c r="AA150" s="75" t="e">
        <f>VLOOKUP(A150,Enforcements!$C$3:$J$12,3,0)</f>
        <v>#N/A</v>
      </c>
    </row>
    <row r="151" spans="1:27" s="2" customFormat="1" x14ac:dyDescent="0.25">
      <c r="A151" s="61" t="s">
        <v>409</v>
      </c>
      <c r="B151" s="61">
        <v>4020</v>
      </c>
      <c r="C151" s="61" t="s">
        <v>64</v>
      </c>
      <c r="D151" s="61" t="s">
        <v>133</v>
      </c>
      <c r="E151" s="30">
        <v>42504.016145833331</v>
      </c>
      <c r="F151" s="30">
        <v>42504.017256944448</v>
      </c>
      <c r="G151" s="38">
        <v>1</v>
      </c>
      <c r="H151" s="30" t="s">
        <v>116</v>
      </c>
      <c r="I151" s="30">
        <v>42504.046365740738</v>
      </c>
      <c r="J151" s="61">
        <v>0</v>
      </c>
      <c r="K151" s="61" t="str">
        <f t="shared" si="53"/>
        <v>4019/4020</v>
      </c>
      <c r="L151" s="61" t="str">
        <f>VLOOKUP(A151,'Trips&amp;Operators'!$C$1:$E$9999,3,FALSE)</f>
        <v>DE LA ROSA</v>
      </c>
      <c r="M151" s="12">
        <f t="shared" si="54"/>
        <v>2.9108796290529426E-2</v>
      </c>
      <c r="N151" s="13">
        <f t="shared" si="55"/>
        <v>41.916666658362374</v>
      </c>
      <c r="O151" s="13"/>
      <c r="P151" s="13"/>
      <c r="Q151" s="62"/>
      <c r="R151" s="62"/>
      <c r="T151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00:22:15-0600',mode:absolute,to:'2016-05-14 01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51" s="74" t="str">
        <f t="shared" si="57"/>
        <v>N</v>
      </c>
      <c r="V151" s="74">
        <f t="shared" si="58"/>
        <v>1</v>
      </c>
      <c r="W151" s="74">
        <f t="shared" si="59"/>
        <v>4.3999999999999997E-2</v>
      </c>
      <c r="X151" s="74">
        <f t="shared" si="60"/>
        <v>23.3293</v>
      </c>
      <c r="Y151" s="74">
        <f t="shared" si="61"/>
        <v>23.285299999999999</v>
      </c>
      <c r="Z151" s="75" t="e">
        <f>VLOOKUP(A151,Enforcements!$C$3:$J$12,8,0)</f>
        <v>#N/A</v>
      </c>
      <c r="AA151" s="75" t="e">
        <f>VLOOKUP(A151,Enforcements!$C$3:$J$12,3,0)</f>
        <v>#N/A</v>
      </c>
    </row>
    <row r="152" spans="1:27" s="2" customFormat="1" x14ac:dyDescent="0.25">
      <c r="A152" s="61" t="s">
        <v>410</v>
      </c>
      <c r="B152" s="61">
        <v>4019</v>
      </c>
      <c r="C152" s="61" t="s">
        <v>64</v>
      </c>
      <c r="D152" s="61" t="s">
        <v>411</v>
      </c>
      <c r="E152" s="30">
        <v>42504.057974537034</v>
      </c>
      <c r="F152" s="30">
        <v>42504.058877314812</v>
      </c>
      <c r="G152" s="38">
        <v>1</v>
      </c>
      <c r="H152" s="30" t="s">
        <v>79</v>
      </c>
      <c r="I152" s="30">
        <v>42504.086284722223</v>
      </c>
      <c r="J152" s="61">
        <v>0</v>
      </c>
      <c r="K152" s="61" t="str">
        <f t="shared" si="53"/>
        <v>4019/4020</v>
      </c>
      <c r="L152" s="61" t="str">
        <f>VLOOKUP(A152,'Trips&amp;Operators'!$C$1:$E$9999,3,FALSE)</f>
        <v>DE LA ROSA</v>
      </c>
      <c r="M152" s="12">
        <f t="shared" si="54"/>
        <v>2.7407407411374152E-2</v>
      </c>
      <c r="N152" s="13">
        <f t="shared" si="55"/>
        <v>39.466666672378778</v>
      </c>
      <c r="O152" s="13"/>
      <c r="P152" s="13"/>
      <c r="Q152" s="62"/>
      <c r="R152" s="62"/>
      <c r="T152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01:22:29-0600',mode:absolute,to:'2016-05-14 02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52" s="74" t="str">
        <f t="shared" si="57"/>
        <v>N</v>
      </c>
      <c r="V152" s="74">
        <f t="shared" si="58"/>
        <v>1</v>
      </c>
      <c r="W152" s="74">
        <f t="shared" si="59"/>
        <v>23.2974</v>
      </c>
      <c r="X152" s="74">
        <f t="shared" si="60"/>
        <v>1.4500000000000001E-2</v>
      </c>
      <c r="Y152" s="74">
        <f t="shared" si="61"/>
        <v>23.282899999999998</v>
      </c>
      <c r="Z152" s="75" t="e">
        <f>VLOOKUP(A152,Enforcements!$C$3:$J$12,8,0)</f>
        <v>#N/A</v>
      </c>
      <c r="AA152" s="75" t="e">
        <f>VLOOKUP(A152,Enforcements!$C$3:$J$12,3,0)</f>
        <v>#N/A</v>
      </c>
    </row>
    <row r="153" spans="1:27" s="2" customFormat="1" x14ac:dyDescent="0.25">
      <c r="A153" s="61" t="s">
        <v>412</v>
      </c>
      <c r="B153" s="61">
        <v>4044</v>
      </c>
      <c r="C153" s="61" t="s">
        <v>64</v>
      </c>
      <c r="D153" s="61" t="s">
        <v>261</v>
      </c>
      <c r="E153" s="30">
        <v>42504.030497685184</v>
      </c>
      <c r="F153" s="30">
        <v>42504.031539351854</v>
      </c>
      <c r="G153" s="38">
        <v>1</v>
      </c>
      <c r="H153" s="30" t="s">
        <v>158</v>
      </c>
      <c r="I153" s="30">
        <v>42504.066724537035</v>
      </c>
      <c r="J153" s="61">
        <v>0</v>
      </c>
      <c r="K153" s="61" t="str">
        <f t="shared" si="53"/>
        <v>4043/4044</v>
      </c>
      <c r="L153" s="61" t="str">
        <f>VLOOKUP(A153,'Trips&amp;Operators'!$C$1:$E$9999,3,FALSE)</f>
        <v>REBOLETTI</v>
      </c>
      <c r="M153" s="12">
        <f t="shared" si="54"/>
        <v>3.5185185181035195E-2</v>
      </c>
      <c r="N153" s="13">
        <f t="shared" si="55"/>
        <v>50.66666666069068</v>
      </c>
      <c r="O153" s="13"/>
      <c r="P153" s="13"/>
      <c r="Q153" s="62"/>
      <c r="R153" s="62"/>
      <c r="T153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00:42:55-0600',mode:absolute,to:'2016-05-14 01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53" s="74" t="str">
        <f t="shared" si="57"/>
        <v>N</v>
      </c>
      <c r="V153" s="74">
        <f t="shared" si="58"/>
        <v>1</v>
      </c>
      <c r="W153" s="74">
        <f t="shared" si="59"/>
        <v>4.5999999999999999E-2</v>
      </c>
      <c r="X153" s="74">
        <f t="shared" si="60"/>
        <v>23.3306</v>
      </c>
      <c r="Y153" s="74">
        <f t="shared" si="61"/>
        <v>23.284600000000001</v>
      </c>
      <c r="Z153" s="75" t="e">
        <f>VLOOKUP(A153,Enforcements!$C$3:$J$12,8,0)</f>
        <v>#N/A</v>
      </c>
      <c r="AA153" s="75" t="e">
        <f>VLOOKUP(A153,Enforcements!$C$3:$J$12,3,0)</f>
        <v>#N/A</v>
      </c>
    </row>
    <row r="154" spans="1:27" s="2" customFormat="1" x14ac:dyDescent="0.25">
      <c r="A154" s="61" t="s">
        <v>413</v>
      </c>
      <c r="B154" s="61">
        <v>4043</v>
      </c>
      <c r="C154" s="61" t="s">
        <v>64</v>
      </c>
      <c r="D154" s="61" t="s">
        <v>266</v>
      </c>
      <c r="E154" s="30">
        <v>42504.07</v>
      </c>
      <c r="F154" s="30">
        <v>42504.071793981479</v>
      </c>
      <c r="G154" s="38">
        <v>2</v>
      </c>
      <c r="H154" s="30" t="s">
        <v>414</v>
      </c>
      <c r="I154" s="30">
        <v>42504.10701388889</v>
      </c>
      <c r="J154" s="61">
        <v>0</v>
      </c>
      <c r="K154" s="61" t="str">
        <f t="shared" si="53"/>
        <v>4043/4044</v>
      </c>
      <c r="L154" s="61" t="str">
        <f>VLOOKUP(A154,'Trips&amp;Operators'!$C$1:$E$9999,3,FALSE)</f>
        <v>REBOLETTI</v>
      </c>
      <c r="M154" s="12">
        <f t="shared" si="54"/>
        <v>3.5219907411374152E-2</v>
      </c>
      <c r="N154" s="13">
        <f t="shared" si="55"/>
        <v>50.716666672378778</v>
      </c>
      <c r="O154" s="13"/>
      <c r="P154" s="13"/>
      <c r="Q154" s="62"/>
      <c r="R154" s="62"/>
      <c r="T154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01:39:48-0600',mode:absolute,to:'2016-05-14 02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54" s="74" t="str">
        <f t="shared" si="57"/>
        <v>N</v>
      </c>
      <c r="V154" s="74">
        <f t="shared" si="58"/>
        <v>1</v>
      </c>
      <c r="W154" s="74">
        <f t="shared" si="59"/>
        <v>23.299600000000002</v>
      </c>
      <c r="X154" s="74">
        <f t="shared" si="60"/>
        <v>0.1186</v>
      </c>
      <c r="Y154" s="74">
        <f t="shared" si="61"/>
        <v>23.181000000000001</v>
      </c>
      <c r="Z154" s="75" t="e">
        <f>VLOOKUP(A154,Enforcements!$C$3:$J$12,8,0)</f>
        <v>#N/A</v>
      </c>
      <c r="AA154" s="75" t="e">
        <f>VLOOKUP(A154,Enforcements!$C$3:$J$12,3,0)</f>
        <v>#N/A</v>
      </c>
    </row>
    <row r="155" spans="1:27" s="2" customFormat="1" ht="15.75" thickBot="1" x14ac:dyDescent="0.3">
      <c r="A155" s="63"/>
      <c r="B155" s="63"/>
      <c r="C155" s="63"/>
      <c r="D155" s="63"/>
      <c r="E155" s="64"/>
      <c r="F155" s="64"/>
      <c r="G155" s="65"/>
      <c r="H155" s="64"/>
      <c r="I155" s="64"/>
      <c r="J155" s="63"/>
      <c r="K155" s="63"/>
      <c r="L155" s="63"/>
      <c r="M155" s="66"/>
      <c r="N155" s="67"/>
      <c r="O155" s="67"/>
      <c r="P155" s="67"/>
      <c r="Q155" s="68"/>
      <c r="R155" s="68"/>
      <c r="T155" s="69"/>
      <c r="U155" s="69"/>
      <c r="V155" s="69"/>
      <c r="W155" s="69"/>
      <c r="X155" s="69"/>
      <c r="Y155" s="69"/>
      <c r="Z155" s="70"/>
      <c r="AA155" s="70"/>
    </row>
    <row r="156" spans="1:27" s="2" customFormat="1" ht="15.75" thickBot="1" x14ac:dyDescent="0.3">
      <c r="E156" s="31"/>
      <c r="F156" s="31"/>
      <c r="G156" s="39"/>
      <c r="H156" s="31"/>
      <c r="I156" s="79">
        <f>Variables!A2</f>
        <v>42503</v>
      </c>
      <c r="J156" s="80"/>
      <c r="K156" s="76"/>
      <c r="L156" s="76"/>
      <c r="M156" s="81" t="s">
        <v>8</v>
      </c>
      <c r="N156" s="82"/>
      <c r="O156" s="83"/>
      <c r="P156" s="5"/>
      <c r="T156" s="57"/>
      <c r="U156" s="57"/>
      <c r="V156" s="57"/>
      <c r="W156" s="57"/>
      <c r="X156" s="57"/>
      <c r="Y156" s="57"/>
      <c r="Z156" s="58"/>
      <c r="AA156" s="58"/>
    </row>
    <row r="157" spans="1:27" s="2" customFormat="1" ht="15.75" thickBot="1" x14ac:dyDescent="0.3">
      <c r="E157" s="31"/>
      <c r="F157" s="31"/>
      <c r="G157" s="39"/>
      <c r="H157" s="31"/>
      <c r="I157" s="84" t="s">
        <v>10</v>
      </c>
      <c r="J157" s="85"/>
      <c r="K157" s="35"/>
      <c r="L157" s="59"/>
      <c r="M157" s="9" t="s">
        <v>11</v>
      </c>
      <c r="N157" s="6" t="s">
        <v>12</v>
      </c>
      <c r="O157" s="7" t="s">
        <v>13</v>
      </c>
      <c r="P157" s="5"/>
      <c r="T157" s="57"/>
      <c r="U157" s="57"/>
      <c r="V157" s="57"/>
      <c r="W157" s="57"/>
      <c r="X157" s="57"/>
      <c r="Y157" s="57"/>
      <c r="Z157" s="58"/>
      <c r="AA157" s="58"/>
    </row>
    <row r="158" spans="1:27" s="2" customFormat="1" ht="15.75" thickBot="1" x14ac:dyDescent="0.3">
      <c r="E158" s="31"/>
      <c r="F158" s="31"/>
      <c r="G158" s="39"/>
      <c r="H158" s="31"/>
      <c r="I158" s="32" t="s">
        <v>14</v>
      </c>
      <c r="J158" s="3">
        <f>COUNT(N3:P154)</f>
        <v>143</v>
      </c>
      <c r="K158" s="3"/>
      <c r="L158" s="3"/>
      <c r="M158" s="71" t="s">
        <v>15</v>
      </c>
      <c r="N158" s="6" t="s">
        <v>15</v>
      </c>
      <c r="O158" s="7" t="s">
        <v>15</v>
      </c>
      <c r="P158" s="5"/>
      <c r="T158" s="57"/>
      <c r="U158" s="57"/>
      <c r="V158" s="57"/>
      <c r="W158" s="57"/>
      <c r="X158" s="57"/>
      <c r="Y158" s="57"/>
      <c r="Z158" s="58"/>
      <c r="AA158" s="58"/>
    </row>
    <row r="159" spans="1:27" s="2" customFormat="1" ht="15.75" thickBot="1" x14ac:dyDescent="0.3">
      <c r="E159" s="31"/>
      <c r="F159" s="31"/>
      <c r="G159" s="39"/>
      <c r="H159" s="31"/>
      <c r="I159" s="32" t="s">
        <v>17</v>
      </c>
      <c r="J159" s="3">
        <f>COUNT(N3:N154)</f>
        <v>127</v>
      </c>
      <c r="K159" s="3"/>
      <c r="L159" s="3"/>
      <c r="M159" s="71">
        <f>AVERAGE(N3:N154)</f>
        <v>42.500656167738228</v>
      </c>
      <c r="N159" s="6">
        <f>MIN(N3:N154)</f>
        <v>35.100000001257285</v>
      </c>
      <c r="O159" s="7">
        <f>MAX(N3:N154)</f>
        <v>60.266666673123837</v>
      </c>
      <c r="P159" s="5"/>
      <c r="T159" s="57"/>
      <c r="U159" s="57"/>
      <c r="V159" s="57"/>
      <c r="W159" s="57"/>
      <c r="X159" s="57"/>
      <c r="Y159" s="57"/>
      <c r="Z159" s="58"/>
      <c r="AA159" s="58"/>
    </row>
    <row r="160" spans="1:27" s="2" customFormat="1" ht="15.75" thickBot="1" x14ac:dyDescent="0.3">
      <c r="B160" s="60"/>
      <c r="C160" s="60"/>
      <c r="D160" s="60"/>
      <c r="E160" s="14"/>
      <c r="F160" s="14"/>
      <c r="G160" s="40"/>
      <c r="H160" s="14"/>
      <c r="I160" s="33" t="s">
        <v>45</v>
      </c>
      <c r="J160" s="3">
        <f>COUNT(O3:O154)</f>
        <v>0</v>
      </c>
      <c r="K160" s="3"/>
      <c r="L160" s="3"/>
      <c r="M160" s="71">
        <f>IFERROR(AVERAGE(O3:O154),0)</f>
        <v>0</v>
      </c>
      <c r="N160" s="6">
        <f>MIN(O3:O154)</f>
        <v>0</v>
      </c>
      <c r="O160" s="7">
        <f>MAX(O3:O154)</f>
        <v>0</v>
      </c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ht="15.75" thickBot="1" x14ac:dyDescent="0.3">
      <c r="B161" s="60"/>
      <c r="C161" s="60"/>
      <c r="D161" s="60"/>
      <c r="E161" s="14"/>
      <c r="F161" s="14"/>
      <c r="G161" s="40"/>
      <c r="H161" s="14"/>
      <c r="I161" s="34" t="s">
        <v>9</v>
      </c>
      <c r="J161" s="3">
        <f>COUNT(P3:P154)</f>
        <v>16</v>
      </c>
      <c r="K161" s="3"/>
      <c r="L161" s="3"/>
      <c r="M161" s="71" t="s">
        <v>15</v>
      </c>
      <c r="N161" s="6" t="s">
        <v>15</v>
      </c>
      <c r="O161" s="7" t="s">
        <v>15</v>
      </c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ht="30.75" thickBot="1" x14ac:dyDescent="0.3">
      <c r="E162" s="31"/>
      <c r="F162" s="31"/>
      <c r="G162" s="39"/>
      <c r="H162" s="31"/>
      <c r="I162" s="32" t="s">
        <v>16</v>
      </c>
      <c r="J162" s="3">
        <f>COUNT(N3:O154)</f>
        <v>127</v>
      </c>
      <c r="K162" s="3"/>
      <c r="L162" s="3"/>
      <c r="M162" s="71">
        <f>AVERAGE(N3:P154)</f>
        <v>42.152214452051197</v>
      </c>
      <c r="N162" s="6">
        <f>MIN(N3:O154)</f>
        <v>35.100000001257285</v>
      </c>
      <c r="O162" s="7">
        <f>MAX(N3:O154)</f>
        <v>60.266666673123837</v>
      </c>
      <c r="P162" s="5"/>
      <c r="T162" s="57"/>
      <c r="U162" s="57"/>
      <c r="V162" s="57"/>
      <c r="W162" s="57"/>
      <c r="X162" s="57"/>
      <c r="Y162" s="57"/>
      <c r="Z162" s="58"/>
      <c r="AA162" s="58"/>
    </row>
    <row r="163" spans="2:27" s="2" customFormat="1" ht="30.75" thickBot="1" x14ac:dyDescent="0.3">
      <c r="B163" s="60"/>
      <c r="C163" s="60"/>
      <c r="D163" s="60"/>
      <c r="E163" s="14"/>
      <c r="F163" s="14"/>
      <c r="G163" s="40"/>
      <c r="H163" s="14"/>
      <c r="I163" s="32" t="s">
        <v>19</v>
      </c>
      <c r="J163" s="8">
        <f>J162/J158</f>
        <v>0.88811188811188813</v>
      </c>
      <c r="K163" s="8"/>
      <c r="L163" s="8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4" spans="2:27" s="2" customFormat="1" x14ac:dyDescent="0.25">
      <c r="B164" s="60"/>
      <c r="C164" s="60"/>
      <c r="D164" s="60"/>
      <c r="E164" s="14"/>
      <c r="F164" s="14"/>
      <c r="G164" s="40"/>
      <c r="H164" s="14"/>
      <c r="I164" s="14"/>
      <c r="J164" s="60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  <row r="165" spans="2:27" s="2" customFormat="1" x14ac:dyDescent="0.25">
      <c r="B165" s="60"/>
      <c r="C165" s="60"/>
      <c r="D165" s="60"/>
      <c r="E165" s="14"/>
      <c r="F165" s="14"/>
      <c r="G165" s="40"/>
      <c r="H165" s="14"/>
      <c r="I165" s="14"/>
      <c r="J165" s="60"/>
      <c r="K165"/>
      <c r="L165" s="60"/>
      <c r="M165" s="1"/>
      <c r="N165" s="4"/>
      <c r="O165" s="4"/>
      <c r="P165" s="4"/>
      <c r="Q165"/>
      <c r="R165"/>
      <c r="S165"/>
      <c r="T165" s="55"/>
      <c r="U165" s="55"/>
      <c r="V165" s="55"/>
      <c r="W165" s="55"/>
      <c r="X165" s="55"/>
      <c r="Y165" s="55"/>
      <c r="Z165" s="56"/>
      <c r="AA165" s="56"/>
    </row>
    <row r="166" spans="2:27" s="2" customFormat="1" x14ac:dyDescent="0.25">
      <c r="B166"/>
      <c r="C166"/>
      <c r="D166"/>
      <c r="E166" s="14"/>
      <c r="F166" s="14"/>
      <c r="G166" s="40"/>
      <c r="H166" s="14"/>
      <c r="I166" s="14"/>
      <c r="J166"/>
      <c r="K166"/>
      <c r="L166" s="60"/>
      <c r="M166" s="1"/>
      <c r="N166" s="4"/>
      <c r="O166" s="4"/>
      <c r="P166" s="4"/>
      <c r="Q166"/>
      <c r="R166"/>
      <c r="S166"/>
      <c r="T166" s="55"/>
      <c r="U166" s="55"/>
      <c r="V166" s="55"/>
      <c r="W166" s="55"/>
      <c r="X166" s="55"/>
      <c r="Y166" s="55"/>
      <c r="Z166" s="56"/>
      <c r="AA166" s="56"/>
    </row>
    <row r="167" spans="2:27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/>
      <c r="T167" s="55"/>
      <c r="U167" s="55"/>
      <c r="V167" s="55"/>
      <c r="W167" s="55"/>
      <c r="X167" s="55"/>
      <c r="Y167" s="55"/>
      <c r="Z167" s="56"/>
      <c r="AA167" s="56"/>
    </row>
    <row r="168" spans="2:27" s="2" customFormat="1" x14ac:dyDescent="0.25">
      <c r="B168"/>
      <c r="C168"/>
      <c r="D168"/>
      <c r="E168" s="14"/>
      <c r="F168" s="14"/>
      <c r="G168" s="40"/>
      <c r="H168" s="14"/>
      <c r="I168" s="14"/>
      <c r="J168"/>
      <c r="K168"/>
      <c r="L168" s="60"/>
      <c r="M168" s="1"/>
      <c r="N168" s="4"/>
      <c r="O168" s="4"/>
      <c r="P168" s="4"/>
      <c r="Q168"/>
      <c r="R168"/>
      <c r="S168"/>
      <c r="T168" s="55"/>
      <c r="U168" s="55"/>
      <c r="V168" s="55"/>
      <c r="W168" s="55"/>
      <c r="X168" s="55"/>
      <c r="Y168" s="55"/>
      <c r="Z168" s="56"/>
      <c r="AA168" s="56"/>
    </row>
    <row r="171" spans="2:27" s="2" customFormat="1" x14ac:dyDescent="0.25">
      <c r="B171"/>
      <c r="C171"/>
      <c r="D171"/>
      <c r="E171" s="14"/>
      <c r="F171" s="14"/>
      <c r="G171" s="40"/>
      <c r="H171" s="14"/>
      <c r="I171" s="14"/>
      <c r="J171"/>
      <c r="K171"/>
      <c r="L171" s="60"/>
      <c r="M171" s="1"/>
      <c r="N171" s="4"/>
      <c r="O171" s="4"/>
      <c r="P171" s="4"/>
      <c r="Q171"/>
      <c r="R171"/>
      <c r="S171"/>
      <c r="T171" s="55"/>
      <c r="U171" s="55"/>
      <c r="V171" s="55"/>
      <c r="W171" s="55"/>
      <c r="X171" s="55"/>
      <c r="Y171" s="55"/>
      <c r="Z171" s="56"/>
      <c r="AA171" s="56"/>
    </row>
  </sheetData>
  <autoFilter ref="A2:AA154"/>
  <sortState ref="A3:Y144">
    <sortCondition ref="A3:A144"/>
  </sortState>
  <mergeCells count="4">
    <mergeCell ref="I156:J156"/>
    <mergeCell ref="M156:O156"/>
    <mergeCell ref="I157:J157"/>
    <mergeCell ref="A1:P1"/>
  </mergeCells>
  <conditionalFormatting sqref="U1:V1 U2 U3:V1048576">
    <cfRule type="cellIs" dxfId="15" priority="20" operator="equal">
      <formula>"Y"</formula>
    </cfRule>
  </conditionalFormatting>
  <conditionalFormatting sqref="V1 V3:V1048576">
    <cfRule type="cellIs" dxfId="14" priority="3" operator="greaterThan">
      <formula>1</formula>
    </cfRule>
  </conditionalFormatting>
  <conditionalFormatting sqref="A155:P155 A3:R154">
    <cfRule type="expression" dxfId="13" priority="34">
      <formula>$P3&gt;0</formula>
    </cfRule>
    <cfRule type="expression" dxfId="12" priority="35">
      <formula>$O3&gt;0</formula>
    </cfRule>
  </conditionalFormatting>
  <conditionalFormatting sqref="Q155:R155">
    <cfRule type="expression" dxfId="11" priority="76">
      <formula>$P155&gt;0</formula>
    </cfRule>
    <cfRule type="expression" dxfId="10" priority="77">
      <formula>$O174&gt;0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showGridLines="0" topLeftCell="A31" zoomScaleNormal="100" workbookViewId="0">
      <selection activeCell="G62" sqref="G62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7" t="str">
        <f>"Eagle P3 Braking Events - "&amp;TEXT(Variables!$A$2,"YYYY-mm-dd")</f>
        <v>Eagle P3 Braking Events - 2016-05-13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42503.327696759261</v>
      </c>
      <c r="B3" s="22" t="s">
        <v>151</v>
      </c>
      <c r="C3" s="22" t="s">
        <v>216</v>
      </c>
      <c r="D3" s="22" t="s">
        <v>57</v>
      </c>
      <c r="E3" s="22" t="s">
        <v>165</v>
      </c>
      <c r="F3" s="22">
        <v>790</v>
      </c>
      <c r="G3" s="22">
        <v>842</v>
      </c>
      <c r="H3" s="22">
        <v>50666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MALAVE</v>
      </c>
      <c r="M3" s="20" t="s">
        <v>96</v>
      </c>
      <c r="N3" s="21" t="s">
        <v>435</v>
      </c>
    </row>
    <row r="4" spans="1:14" s="19" customFormat="1" x14ac:dyDescent="0.25">
      <c r="A4" s="23">
        <v>42503.616712962961</v>
      </c>
      <c r="B4" s="22" t="s">
        <v>151</v>
      </c>
      <c r="C4" s="22" t="s">
        <v>296</v>
      </c>
      <c r="D4" s="22" t="s">
        <v>57</v>
      </c>
      <c r="E4" s="22" t="s">
        <v>165</v>
      </c>
      <c r="F4" s="22">
        <v>790</v>
      </c>
      <c r="G4" s="22">
        <v>852</v>
      </c>
      <c r="H4" s="22">
        <v>73247</v>
      </c>
      <c r="I4" s="22" t="s">
        <v>61</v>
      </c>
      <c r="J4" s="22">
        <v>103864</v>
      </c>
      <c r="K4" s="21" t="s">
        <v>56</v>
      </c>
      <c r="L4" s="21" t="str">
        <f>VLOOKUP(C4,'Trips&amp;Operators'!$C$1:$E$9999,3,FALSE)</f>
        <v>LOCKLEAR</v>
      </c>
      <c r="M4" s="20" t="s">
        <v>96</v>
      </c>
      <c r="N4" s="21" t="s">
        <v>435</v>
      </c>
    </row>
    <row r="5" spans="1:14" s="19" customFormat="1" x14ac:dyDescent="0.25">
      <c r="A5" s="23">
        <v>42503.852939814817</v>
      </c>
      <c r="B5" s="22" t="s">
        <v>130</v>
      </c>
      <c r="C5" s="22" t="s">
        <v>379</v>
      </c>
      <c r="D5" s="22" t="s">
        <v>52</v>
      </c>
      <c r="E5" s="22" t="s">
        <v>165</v>
      </c>
      <c r="F5" s="22">
        <v>790</v>
      </c>
      <c r="G5" s="22">
        <v>397</v>
      </c>
      <c r="H5" s="22">
        <v>118075</v>
      </c>
      <c r="I5" s="22" t="s">
        <v>61</v>
      </c>
      <c r="J5" s="22">
        <v>156300</v>
      </c>
      <c r="K5" s="21" t="s">
        <v>56</v>
      </c>
      <c r="L5" s="21" t="str">
        <f>VLOOKUP(C5,'Trips&amp;Operators'!$C$1:$E$9999,3,FALSE)</f>
        <v>STRICKLAND</v>
      </c>
      <c r="M5" s="20" t="s">
        <v>166</v>
      </c>
      <c r="N5" s="21" t="s">
        <v>432</v>
      </c>
    </row>
    <row r="6" spans="1:14" s="19" customFormat="1" x14ac:dyDescent="0.25">
      <c r="A6" s="23">
        <v>42503.288206018522</v>
      </c>
      <c r="B6" s="22" t="s">
        <v>149</v>
      </c>
      <c r="C6" s="22" t="s">
        <v>215</v>
      </c>
      <c r="D6" s="22" t="s">
        <v>52</v>
      </c>
      <c r="E6" s="22" t="s">
        <v>101</v>
      </c>
      <c r="F6" s="22">
        <v>200</v>
      </c>
      <c r="G6" s="22">
        <v>462</v>
      </c>
      <c r="H6" s="22">
        <v>152536</v>
      </c>
      <c r="I6" s="22" t="s">
        <v>102</v>
      </c>
      <c r="J6" s="22">
        <v>153800</v>
      </c>
      <c r="K6" s="21" t="s">
        <v>55</v>
      </c>
      <c r="L6" s="21" t="str">
        <f>VLOOKUP(C6,'Trips&amp;Operators'!$C$1:$E$9999,3,FALSE)</f>
        <v>MALAVE</v>
      </c>
      <c r="M6" s="20" t="s">
        <v>96</v>
      </c>
      <c r="N6" s="21" t="s">
        <v>446</v>
      </c>
    </row>
    <row r="7" spans="1:14" s="19" customFormat="1" x14ac:dyDescent="0.25">
      <c r="A7" s="23">
        <v>42503.516180555554</v>
      </c>
      <c r="B7" s="22" t="s">
        <v>418</v>
      </c>
      <c r="C7" s="22" t="s">
        <v>259</v>
      </c>
      <c r="D7" s="22" t="s">
        <v>52</v>
      </c>
      <c r="E7" s="22" t="s">
        <v>101</v>
      </c>
      <c r="F7" s="22">
        <v>300</v>
      </c>
      <c r="G7" s="22">
        <v>359</v>
      </c>
      <c r="H7" s="22">
        <v>127540</v>
      </c>
      <c r="I7" s="22" t="s">
        <v>102</v>
      </c>
      <c r="J7" s="22">
        <v>127562</v>
      </c>
      <c r="K7" s="21" t="s">
        <v>55</v>
      </c>
      <c r="L7" s="21" t="str">
        <f>VLOOKUP(C7,'Trips&amp;Operators'!$C$1:$E$9999,3,FALSE)</f>
        <v>CANFIELD</v>
      </c>
      <c r="M7" s="20" t="s">
        <v>96</v>
      </c>
      <c r="N7" s="21" t="s">
        <v>446</v>
      </c>
    </row>
    <row r="8" spans="1:14" s="19" customFormat="1" x14ac:dyDescent="0.25">
      <c r="A8" s="23">
        <v>42503.63653935185</v>
      </c>
      <c r="B8" s="22" t="s">
        <v>62</v>
      </c>
      <c r="C8" s="22" t="s">
        <v>316</v>
      </c>
      <c r="D8" s="22" t="s">
        <v>57</v>
      </c>
      <c r="E8" s="22" t="s">
        <v>58</v>
      </c>
      <c r="F8" s="22">
        <v>0</v>
      </c>
      <c r="G8" s="22">
        <v>348</v>
      </c>
      <c r="H8" s="22">
        <v>51221</v>
      </c>
      <c r="I8" s="22" t="s">
        <v>59</v>
      </c>
      <c r="J8" s="22">
        <v>50746</v>
      </c>
      <c r="K8" s="21" t="s">
        <v>55</v>
      </c>
      <c r="L8" s="21" t="str">
        <f>VLOOKUP(C8,'Trips&amp;Operators'!$C$1:$E$9999,3,FALSE)</f>
        <v>STORY</v>
      </c>
      <c r="M8" s="20" t="s">
        <v>166</v>
      </c>
      <c r="N8" s="21" t="s">
        <v>430</v>
      </c>
    </row>
    <row r="9" spans="1:14" s="19" customFormat="1" x14ac:dyDescent="0.25">
      <c r="A9" s="23">
        <v>42503.671851851854</v>
      </c>
      <c r="B9" s="22" t="s">
        <v>420</v>
      </c>
      <c r="C9" s="22" t="s">
        <v>312</v>
      </c>
      <c r="D9" s="22" t="s">
        <v>52</v>
      </c>
      <c r="E9" s="22" t="s">
        <v>58</v>
      </c>
      <c r="F9" s="22">
        <v>0</v>
      </c>
      <c r="G9" s="22">
        <v>45</v>
      </c>
      <c r="H9" s="22">
        <v>64117</v>
      </c>
      <c r="I9" s="22" t="s">
        <v>59</v>
      </c>
      <c r="J9" s="22">
        <v>64008</v>
      </c>
      <c r="K9" s="21" t="s">
        <v>56</v>
      </c>
      <c r="L9" s="21" t="str">
        <f>VLOOKUP(C9,'Trips&amp;Operators'!$C$1:$E$9999,3,FALSE)</f>
        <v>SPECTOR</v>
      </c>
      <c r="M9" s="20" t="s">
        <v>166</v>
      </c>
      <c r="N9" s="21" t="s">
        <v>428</v>
      </c>
    </row>
    <row r="10" spans="1:14" s="19" customFormat="1" x14ac:dyDescent="0.25">
      <c r="A10" s="23">
        <v>42503.78056712963</v>
      </c>
      <c r="B10" s="22" t="s">
        <v>130</v>
      </c>
      <c r="C10" s="22" t="s">
        <v>359</v>
      </c>
      <c r="D10" s="22" t="s">
        <v>52</v>
      </c>
      <c r="E10" s="22" t="s">
        <v>58</v>
      </c>
      <c r="F10" s="22">
        <v>0</v>
      </c>
      <c r="G10" s="22">
        <v>585</v>
      </c>
      <c r="H10" s="22">
        <v>220566</v>
      </c>
      <c r="I10" s="22" t="s">
        <v>59</v>
      </c>
      <c r="J10" s="22">
        <v>219875</v>
      </c>
      <c r="K10" s="21" t="s">
        <v>56</v>
      </c>
      <c r="L10" s="21" t="str">
        <f>VLOOKUP(C10,'Trips&amp;Operators'!$C$1:$E$9999,3,FALSE)</f>
        <v>STRICKLAND</v>
      </c>
      <c r="M10" s="20" t="s">
        <v>166</v>
      </c>
      <c r="N10" s="21" t="s">
        <v>431</v>
      </c>
    </row>
    <row r="11" spans="1:14" s="19" customFormat="1" x14ac:dyDescent="0.25">
      <c r="A11" s="23">
        <v>42503.780648148146</v>
      </c>
      <c r="B11" s="22" t="s">
        <v>419</v>
      </c>
      <c r="C11" s="22" t="s">
        <v>366</v>
      </c>
      <c r="D11" s="22" t="s">
        <v>52</v>
      </c>
      <c r="E11" s="22" t="s">
        <v>58</v>
      </c>
      <c r="F11" s="22">
        <v>0</v>
      </c>
      <c r="G11" s="22">
        <v>687</v>
      </c>
      <c r="H11" s="22">
        <v>169274</v>
      </c>
      <c r="I11" s="22" t="s">
        <v>59</v>
      </c>
      <c r="J11" s="22">
        <v>175383</v>
      </c>
      <c r="K11" s="21" t="s">
        <v>55</v>
      </c>
      <c r="L11" s="21" t="str">
        <f>VLOOKUP(C11,'Trips&amp;Operators'!$C$1:$E$9999,3,FALSE)</f>
        <v>BRUDER</v>
      </c>
      <c r="M11" s="20" t="s">
        <v>166</v>
      </c>
      <c r="N11" s="21" t="s">
        <v>447</v>
      </c>
    </row>
    <row r="12" spans="1:14" s="19" customFormat="1" x14ac:dyDescent="0.25">
      <c r="A12" s="23">
        <v>42503.221666666665</v>
      </c>
      <c r="B12" s="22" t="s">
        <v>415</v>
      </c>
      <c r="C12" s="22" t="s">
        <v>198</v>
      </c>
      <c r="D12" s="22" t="s">
        <v>52</v>
      </c>
      <c r="E12" s="22" t="s">
        <v>416</v>
      </c>
      <c r="F12" s="22">
        <v>0</v>
      </c>
      <c r="G12" s="22">
        <v>617</v>
      </c>
      <c r="H12" s="22">
        <v>99349</v>
      </c>
      <c r="I12" s="22" t="s">
        <v>417</v>
      </c>
      <c r="J12" s="22">
        <v>103445</v>
      </c>
      <c r="K12" s="21" t="s">
        <v>55</v>
      </c>
      <c r="L12" s="21" t="str">
        <f>VLOOKUP(C12,'Trips&amp;Operators'!$C$1:$E$9999,3,FALSE)</f>
        <v>YORK</v>
      </c>
      <c r="M12" s="20" t="s">
        <v>166</v>
      </c>
      <c r="N12" s="21" t="s">
        <v>448</v>
      </c>
    </row>
    <row r="13" spans="1:14" s="19" customFormat="1" x14ac:dyDescent="0.25">
      <c r="A13" s="23">
        <v>42503.16064814815</v>
      </c>
      <c r="B13" s="22" t="s">
        <v>415</v>
      </c>
      <c r="C13" s="22" t="s">
        <v>181</v>
      </c>
      <c r="D13" s="22" t="s">
        <v>52</v>
      </c>
      <c r="E13" s="22" t="s">
        <v>60</v>
      </c>
      <c r="F13" s="22">
        <v>150</v>
      </c>
      <c r="G13" s="22">
        <v>166</v>
      </c>
      <c r="H13" s="22">
        <v>230166</v>
      </c>
      <c r="I13" s="22" t="s">
        <v>61</v>
      </c>
      <c r="J13" s="22">
        <v>230436</v>
      </c>
      <c r="K13" s="21" t="s">
        <v>55</v>
      </c>
      <c r="L13" s="21" t="str">
        <f>VLOOKUP(C13,'Trips&amp;Operators'!$C$1:$E$9999,3,FALSE)</f>
        <v>LEDERHAUSE</v>
      </c>
      <c r="M13" s="20" t="s">
        <v>96</v>
      </c>
      <c r="N13" s="21"/>
    </row>
    <row r="14" spans="1:14" s="19" customFormat="1" x14ac:dyDescent="0.25">
      <c r="A14" s="23">
        <v>42503.228229166663</v>
      </c>
      <c r="B14" s="22" t="s">
        <v>63</v>
      </c>
      <c r="C14" s="22" t="s">
        <v>194</v>
      </c>
      <c r="D14" s="22" t="s">
        <v>52</v>
      </c>
      <c r="E14" s="22" t="s">
        <v>60</v>
      </c>
      <c r="F14" s="22">
        <v>150</v>
      </c>
      <c r="G14" s="22">
        <v>153</v>
      </c>
      <c r="H14" s="22">
        <v>229243</v>
      </c>
      <c r="I14" s="22" t="s">
        <v>61</v>
      </c>
      <c r="J14" s="22">
        <v>229055</v>
      </c>
      <c r="K14" s="21" t="s">
        <v>56</v>
      </c>
      <c r="L14" s="21" t="str">
        <f>VLOOKUP(C14,'Trips&amp;Operators'!$C$1:$E$9999,3,FALSE)</f>
        <v>STARKS</v>
      </c>
      <c r="M14" s="20" t="s">
        <v>96</v>
      </c>
      <c r="N14" s="21"/>
    </row>
    <row r="15" spans="1:14" s="19" customFormat="1" x14ac:dyDescent="0.25">
      <c r="A15" s="23">
        <v>42503.315289351849</v>
      </c>
      <c r="B15" s="22" t="s">
        <v>151</v>
      </c>
      <c r="C15" s="22" t="s">
        <v>216</v>
      </c>
      <c r="D15" s="22" t="s">
        <v>57</v>
      </c>
      <c r="E15" s="22" t="s">
        <v>60</v>
      </c>
      <c r="F15" s="22">
        <v>700</v>
      </c>
      <c r="G15" s="22">
        <v>755</v>
      </c>
      <c r="H15" s="22">
        <v>175344</v>
      </c>
      <c r="I15" s="22" t="s">
        <v>61</v>
      </c>
      <c r="J15" s="22">
        <v>183829</v>
      </c>
      <c r="K15" s="21" t="s">
        <v>56</v>
      </c>
      <c r="L15" s="21" t="str">
        <f>VLOOKUP(C15,'Trips&amp;Operators'!$C$1:$E$9999,3,FALSE)</f>
        <v>MALAVE</v>
      </c>
      <c r="M15" s="20" t="s">
        <v>96</v>
      </c>
      <c r="N15" s="21"/>
    </row>
    <row r="16" spans="1:14" s="19" customFormat="1" x14ac:dyDescent="0.25">
      <c r="A16" s="23">
        <v>42503.44976851852</v>
      </c>
      <c r="B16" s="22" t="s">
        <v>63</v>
      </c>
      <c r="C16" s="22" t="s">
        <v>253</v>
      </c>
      <c r="D16" s="22" t="s">
        <v>57</v>
      </c>
      <c r="E16" s="22" t="s">
        <v>60</v>
      </c>
      <c r="F16" s="22">
        <v>600</v>
      </c>
      <c r="G16" s="22">
        <v>652</v>
      </c>
      <c r="H16" s="22">
        <v>184714</v>
      </c>
      <c r="I16" s="22" t="s">
        <v>61</v>
      </c>
      <c r="J16" s="22">
        <v>190834</v>
      </c>
      <c r="K16" s="21" t="s">
        <v>56</v>
      </c>
      <c r="L16" s="21" t="str">
        <f>VLOOKUP(C16,'Trips&amp;Operators'!$C$1:$E$9999,3,FALSE)</f>
        <v>STARKS</v>
      </c>
      <c r="M16" s="20" t="s">
        <v>96</v>
      </c>
      <c r="N16" s="21"/>
    </row>
    <row r="17" spans="1:14" s="19" customFormat="1" x14ac:dyDescent="0.25">
      <c r="A17" s="23">
        <v>42503.477627314816</v>
      </c>
      <c r="B17" s="22" t="s">
        <v>421</v>
      </c>
      <c r="C17" s="22" t="s">
        <v>262</v>
      </c>
      <c r="D17" s="22" t="s">
        <v>52</v>
      </c>
      <c r="E17" s="22" t="s">
        <v>60</v>
      </c>
      <c r="F17" s="22">
        <v>150</v>
      </c>
      <c r="G17" s="22">
        <v>175</v>
      </c>
      <c r="H17" s="22">
        <v>229246</v>
      </c>
      <c r="I17" s="22" t="s">
        <v>61</v>
      </c>
      <c r="J17" s="22">
        <v>229055</v>
      </c>
      <c r="K17" s="21" t="s">
        <v>56</v>
      </c>
      <c r="L17" s="21" t="str">
        <f>VLOOKUP(C17,'Trips&amp;Operators'!$C$1:$E$9999,3,FALSE)</f>
        <v>YORK</v>
      </c>
      <c r="M17" s="20" t="s">
        <v>96</v>
      </c>
      <c r="N17" s="21"/>
    </row>
    <row r="18" spans="1:14" s="19" customFormat="1" x14ac:dyDescent="0.25">
      <c r="A18" s="23">
        <v>42503.524768518517</v>
      </c>
      <c r="B18" s="22" t="s">
        <v>415</v>
      </c>
      <c r="C18" s="22" t="s">
        <v>277</v>
      </c>
      <c r="D18" s="22" t="s">
        <v>52</v>
      </c>
      <c r="E18" s="22" t="s">
        <v>60</v>
      </c>
      <c r="F18" s="22">
        <v>150</v>
      </c>
      <c r="G18" s="22">
        <v>137</v>
      </c>
      <c r="H18" s="22">
        <v>231602</v>
      </c>
      <c r="I18" s="22" t="s">
        <v>61</v>
      </c>
      <c r="J18" s="22">
        <v>232080</v>
      </c>
      <c r="K18" s="21" t="s">
        <v>55</v>
      </c>
      <c r="L18" s="21" t="str">
        <f>VLOOKUP(C18,'Trips&amp;Operators'!$C$1:$E$9999,3,FALSE)</f>
        <v>CANFIELD</v>
      </c>
      <c r="M18" s="20" t="s">
        <v>96</v>
      </c>
      <c r="N18" s="21"/>
    </row>
    <row r="19" spans="1:14" s="19" customFormat="1" x14ac:dyDescent="0.25">
      <c r="A19" s="23">
        <v>42503.524768518517</v>
      </c>
      <c r="B19" s="22" t="s">
        <v>418</v>
      </c>
      <c r="C19" s="22" t="s">
        <v>259</v>
      </c>
      <c r="D19" s="22" t="s">
        <v>52</v>
      </c>
      <c r="E19" s="22" t="s">
        <v>60</v>
      </c>
      <c r="F19" s="22">
        <v>150</v>
      </c>
      <c r="G19" s="22">
        <v>129</v>
      </c>
      <c r="H19" s="22">
        <v>231575</v>
      </c>
      <c r="I19" s="22" t="s">
        <v>61</v>
      </c>
      <c r="J19" s="22">
        <v>232080</v>
      </c>
      <c r="K19" s="21" t="s">
        <v>55</v>
      </c>
      <c r="L19" s="21" t="str">
        <f>VLOOKUP(C19,'Trips&amp;Operators'!$C$1:$E$9999,3,FALSE)</f>
        <v>CANFIELD</v>
      </c>
      <c r="M19" s="20" t="s">
        <v>96</v>
      </c>
      <c r="N19" s="21"/>
    </row>
    <row r="20" spans="1:14" s="19" customFormat="1" x14ac:dyDescent="0.25">
      <c r="A20" s="23">
        <v>42503.61577546296</v>
      </c>
      <c r="B20" s="22" t="s">
        <v>419</v>
      </c>
      <c r="C20" s="22" t="s">
        <v>310</v>
      </c>
      <c r="D20" s="22" t="s">
        <v>57</v>
      </c>
      <c r="E20" s="22" t="s">
        <v>60</v>
      </c>
      <c r="F20" s="22">
        <v>150</v>
      </c>
      <c r="G20" s="22">
        <v>204</v>
      </c>
      <c r="H20" s="22">
        <v>3102</v>
      </c>
      <c r="I20" s="22" t="s">
        <v>61</v>
      </c>
      <c r="J20" s="22">
        <v>0</v>
      </c>
      <c r="K20" s="21" t="s">
        <v>55</v>
      </c>
      <c r="L20" s="21" t="str">
        <f>VLOOKUP(C20,'Trips&amp;Operators'!$C$1:$E$9999,3,FALSE)</f>
        <v>SPECTOR</v>
      </c>
      <c r="M20" s="20" t="s">
        <v>96</v>
      </c>
      <c r="N20" s="21"/>
    </row>
    <row r="21" spans="1:14" s="19" customFormat="1" x14ac:dyDescent="0.25">
      <c r="A21" s="23">
        <v>42503.618090277778</v>
      </c>
      <c r="B21" s="22" t="s">
        <v>127</v>
      </c>
      <c r="C21" s="22" t="s">
        <v>304</v>
      </c>
      <c r="D21" s="22" t="s">
        <v>52</v>
      </c>
      <c r="E21" s="22" t="s">
        <v>60</v>
      </c>
      <c r="F21" s="22">
        <v>150</v>
      </c>
      <c r="G21" s="22">
        <v>143</v>
      </c>
      <c r="H21" s="22">
        <v>231555</v>
      </c>
      <c r="I21" s="22" t="s">
        <v>61</v>
      </c>
      <c r="J21" s="22">
        <v>232107</v>
      </c>
      <c r="K21" s="21" t="s">
        <v>55</v>
      </c>
      <c r="L21" s="21" t="str">
        <f>VLOOKUP(C21,'Trips&amp;Operators'!$C$1:$E$9999,3,FALSE)</f>
        <v>ADANE</v>
      </c>
      <c r="M21" s="20" t="s">
        <v>96</v>
      </c>
      <c r="N21" s="21"/>
    </row>
    <row r="22" spans="1:14" s="19" customFormat="1" x14ac:dyDescent="0.25">
      <c r="A22" s="23">
        <v>42503.642430555556</v>
      </c>
      <c r="B22" s="22" t="s">
        <v>421</v>
      </c>
      <c r="C22" s="22" t="s">
        <v>302</v>
      </c>
      <c r="D22" s="22" t="s">
        <v>52</v>
      </c>
      <c r="E22" s="22" t="s">
        <v>60</v>
      </c>
      <c r="F22" s="22">
        <v>200</v>
      </c>
      <c r="G22" s="22">
        <v>323</v>
      </c>
      <c r="H22" s="22">
        <v>35923</v>
      </c>
      <c r="I22" s="22" t="s">
        <v>61</v>
      </c>
      <c r="J22" s="22">
        <v>30562</v>
      </c>
      <c r="K22" s="21" t="s">
        <v>56</v>
      </c>
      <c r="L22" s="21" t="str">
        <f>VLOOKUP(C22,'Trips&amp;Operators'!$C$1:$E$9999,3,FALSE)</f>
        <v>STEWART</v>
      </c>
      <c r="M22" s="20" t="s">
        <v>96</v>
      </c>
      <c r="N22" s="21"/>
    </row>
    <row r="23" spans="1:14" s="19" customFormat="1" x14ac:dyDescent="0.25">
      <c r="A23" s="23">
        <v>42503.672002314815</v>
      </c>
      <c r="B23" s="22" t="s">
        <v>63</v>
      </c>
      <c r="C23" s="22" t="s">
        <v>320</v>
      </c>
      <c r="D23" s="22" t="s">
        <v>57</v>
      </c>
      <c r="E23" s="22" t="s">
        <v>60</v>
      </c>
      <c r="F23" s="22">
        <v>700</v>
      </c>
      <c r="G23" s="22">
        <v>750</v>
      </c>
      <c r="H23" s="22">
        <v>180145</v>
      </c>
      <c r="I23" s="22" t="s">
        <v>61</v>
      </c>
      <c r="J23" s="22">
        <v>183829</v>
      </c>
      <c r="K23" s="21" t="s">
        <v>56</v>
      </c>
      <c r="L23" s="21" t="str">
        <f>VLOOKUP(C23,'Trips&amp;Operators'!$C$1:$E$9999,3,FALSE)</f>
        <v>STORY</v>
      </c>
      <c r="M23" s="20" t="s">
        <v>96</v>
      </c>
      <c r="N23" s="21"/>
    </row>
    <row r="24" spans="1:14" s="19" customFormat="1" x14ac:dyDescent="0.25">
      <c r="A24" s="23">
        <v>42503.937395833331</v>
      </c>
      <c r="B24" s="22" t="s">
        <v>152</v>
      </c>
      <c r="C24" s="22" t="s">
        <v>389</v>
      </c>
      <c r="D24" s="22" t="s">
        <v>57</v>
      </c>
      <c r="E24" s="22" t="s">
        <v>60</v>
      </c>
      <c r="F24" s="22">
        <v>350</v>
      </c>
      <c r="G24" s="22">
        <v>401</v>
      </c>
      <c r="H24" s="22">
        <v>225604</v>
      </c>
      <c r="I24" s="22" t="s">
        <v>61</v>
      </c>
      <c r="J24" s="22">
        <v>228668</v>
      </c>
      <c r="K24" s="21" t="s">
        <v>56</v>
      </c>
      <c r="L24" s="21" t="str">
        <f>VLOOKUP(C24,'Trips&amp;Operators'!$C$1:$E$9999,3,FALSE)</f>
        <v>MAYBERRY</v>
      </c>
      <c r="M24" s="20" t="s">
        <v>96</v>
      </c>
      <c r="N24" s="21"/>
    </row>
    <row r="25" spans="1:14" s="19" customFormat="1" x14ac:dyDescent="0.25">
      <c r="A25" s="23">
        <v>42503.937407407408</v>
      </c>
      <c r="B25" s="22" t="s">
        <v>150</v>
      </c>
      <c r="C25" s="22" t="s">
        <v>392</v>
      </c>
      <c r="D25" s="22" t="s">
        <v>57</v>
      </c>
      <c r="E25" s="22" t="s">
        <v>60</v>
      </c>
      <c r="F25" s="22">
        <v>350</v>
      </c>
      <c r="G25" s="22">
        <v>409</v>
      </c>
      <c r="H25" s="22">
        <v>225470</v>
      </c>
      <c r="I25" s="22" t="s">
        <v>61</v>
      </c>
      <c r="J25" s="22">
        <v>228668</v>
      </c>
      <c r="K25" s="21" t="s">
        <v>56</v>
      </c>
      <c r="L25" s="21" t="str">
        <f>VLOOKUP(C25,'Trips&amp;Operators'!$C$1:$E$9999,3,FALSE)</f>
        <v>MAYBERRY</v>
      </c>
      <c r="M25" s="20" t="s">
        <v>96</v>
      </c>
      <c r="N25" s="21"/>
    </row>
    <row r="26" spans="1:14" s="19" customFormat="1" x14ac:dyDescent="0.25">
      <c r="A26" s="23">
        <v>42503.958680555559</v>
      </c>
      <c r="B26" s="22" t="s">
        <v>152</v>
      </c>
      <c r="C26" s="22" t="s">
        <v>389</v>
      </c>
      <c r="D26" s="22" t="s">
        <v>52</v>
      </c>
      <c r="E26" s="22" t="s">
        <v>60</v>
      </c>
      <c r="F26" s="22">
        <v>300</v>
      </c>
      <c r="G26" s="22">
        <v>330</v>
      </c>
      <c r="H26" s="22">
        <v>22115</v>
      </c>
      <c r="I26" s="22" t="s">
        <v>61</v>
      </c>
      <c r="J26" s="22">
        <v>21848</v>
      </c>
      <c r="K26" s="21" t="s">
        <v>56</v>
      </c>
      <c r="L26" s="21" t="str">
        <f>VLOOKUP(C26,'Trips&amp;Operators'!$C$1:$E$9999,3,FALSE)</f>
        <v>MAYBERRY</v>
      </c>
      <c r="M26" s="20" t="s">
        <v>96</v>
      </c>
      <c r="N26" s="21"/>
    </row>
    <row r="27" spans="1:14" s="19" customFormat="1" x14ac:dyDescent="0.25">
      <c r="A27" s="23">
        <v>42503.958680555559</v>
      </c>
      <c r="B27" s="22" t="s">
        <v>150</v>
      </c>
      <c r="C27" s="22" t="s">
        <v>392</v>
      </c>
      <c r="D27" s="22" t="s">
        <v>52</v>
      </c>
      <c r="E27" s="22" t="s">
        <v>60</v>
      </c>
      <c r="F27" s="22">
        <v>300</v>
      </c>
      <c r="G27" s="22">
        <v>330</v>
      </c>
      <c r="H27" s="22">
        <v>22094</v>
      </c>
      <c r="I27" s="22" t="s">
        <v>61</v>
      </c>
      <c r="J27" s="22">
        <v>21848</v>
      </c>
      <c r="K27" s="21" t="s">
        <v>56</v>
      </c>
      <c r="L27" s="21" t="str">
        <f>VLOOKUP(C27,'Trips&amp;Operators'!$C$1:$E$9999,3,FALSE)</f>
        <v>MAYBERRY</v>
      </c>
      <c r="M27" s="20" t="s">
        <v>96</v>
      </c>
      <c r="N27" s="21"/>
    </row>
    <row r="28" spans="1:14" s="19" customFormat="1" x14ac:dyDescent="0.25">
      <c r="A28" s="23">
        <v>42504.02484953704</v>
      </c>
      <c r="B28" s="22" t="s">
        <v>419</v>
      </c>
      <c r="C28" s="22" t="s">
        <v>406</v>
      </c>
      <c r="D28" s="22" t="s">
        <v>52</v>
      </c>
      <c r="E28" s="22" t="s">
        <v>60</v>
      </c>
      <c r="F28" s="22">
        <v>150</v>
      </c>
      <c r="G28" s="22">
        <v>122</v>
      </c>
      <c r="H28" s="22">
        <v>231448</v>
      </c>
      <c r="I28" s="22" t="s">
        <v>61</v>
      </c>
      <c r="J28" s="22">
        <v>232107</v>
      </c>
      <c r="K28" s="21" t="s">
        <v>55</v>
      </c>
      <c r="L28" s="21" t="str">
        <f>VLOOKUP(C28,'Trips&amp;Operators'!$C$1:$E$9999,3,FALSE)</f>
        <v>BRUDER</v>
      </c>
      <c r="M28" s="20" t="s">
        <v>96</v>
      </c>
      <c r="N28" s="21"/>
    </row>
    <row r="29" spans="1:14" s="19" customFormat="1" x14ac:dyDescent="0.25">
      <c r="A29" s="23">
        <v>42503.182673611111</v>
      </c>
      <c r="B29" s="22" t="s">
        <v>127</v>
      </c>
      <c r="C29" s="22" t="s">
        <v>187</v>
      </c>
      <c r="D29" s="22" t="s">
        <v>52</v>
      </c>
      <c r="E29" s="22" t="s">
        <v>53</v>
      </c>
      <c r="F29" s="22">
        <v>0</v>
      </c>
      <c r="G29" s="22">
        <v>3</v>
      </c>
      <c r="H29" s="22">
        <v>233317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CHANDLER</v>
      </c>
      <c r="M29" s="20" t="s">
        <v>96</v>
      </c>
      <c r="N29" s="21"/>
    </row>
    <row r="30" spans="1:14" s="19" customFormat="1" x14ac:dyDescent="0.25">
      <c r="A30" s="23">
        <v>42503.261990740742</v>
      </c>
      <c r="B30" s="22" t="s">
        <v>151</v>
      </c>
      <c r="C30" s="22" t="s">
        <v>197</v>
      </c>
      <c r="D30" s="22" t="s">
        <v>52</v>
      </c>
      <c r="E30" s="22" t="s">
        <v>53</v>
      </c>
      <c r="F30" s="22">
        <v>0</v>
      </c>
      <c r="G30" s="22">
        <v>8</v>
      </c>
      <c r="H30" s="22">
        <v>121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MALAVE</v>
      </c>
      <c r="M30" s="20" t="s">
        <v>96</v>
      </c>
      <c r="N30" s="21"/>
    </row>
    <row r="31" spans="1:14" s="19" customFormat="1" x14ac:dyDescent="0.25">
      <c r="A31" s="23">
        <v>42503.264351851853</v>
      </c>
      <c r="B31" s="22" t="s">
        <v>162</v>
      </c>
      <c r="C31" s="22" t="s">
        <v>208</v>
      </c>
      <c r="D31" s="22" t="s">
        <v>52</v>
      </c>
      <c r="E31" s="22" t="s">
        <v>53</v>
      </c>
      <c r="F31" s="22">
        <v>0</v>
      </c>
      <c r="G31" s="22">
        <v>4</v>
      </c>
      <c r="H31" s="22">
        <v>233325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CHANDLER</v>
      </c>
      <c r="M31" s="20" t="s">
        <v>96</v>
      </c>
      <c r="N31" s="21"/>
    </row>
    <row r="32" spans="1:14" s="19" customFormat="1" x14ac:dyDescent="0.25">
      <c r="A32" s="23">
        <v>42503.295949074076</v>
      </c>
      <c r="B32" s="22" t="s">
        <v>149</v>
      </c>
      <c r="C32" s="22" t="s">
        <v>215</v>
      </c>
      <c r="D32" s="22" t="s">
        <v>52</v>
      </c>
      <c r="E32" s="22" t="s">
        <v>53</v>
      </c>
      <c r="F32" s="22">
        <v>0</v>
      </c>
      <c r="G32" s="22">
        <v>5</v>
      </c>
      <c r="H32" s="22">
        <v>233330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MALAVE</v>
      </c>
      <c r="M32" s="20" t="s">
        <v>96</v>
      </c>
      <c r="N32" s="21"/>
    </row>
    <row r="33" spans="1:14" s="19" customFormat="1" x14ac:dyDescent="0.25">
      <c r="A33" s="23">
        <v>42503.317928240744</v>
      </c>
      <c r="B33" s="22" t="s">
        <v>150</v>
      </c>
      <c r="C33" s="22" t="s">
        <v>211</v>
      </c>
      <c r="D33" s="22" t="s">
        <v>52</v>
      </c>
      <c r="E33" s="22" t="s">
        <v>53</v>
      </c>
      <c r="F33" s="22">
        <v>0</v>
      </c>
      <c r="G33" s="22">
        <v>6</v>
      </c>
      <c r="H33" s="22">
        <v>116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NEWELL</v>
      </c>
      <c r="M33" s="20" t="s">
        <v>96</v>
      </c>
      <c r="N33" s="21"/>
    </row>
    <row r="34" spans="1:14" s="19" customFormat="1" x14ac:dyDescent="0.25">
      <c r="A34" s="23">
        <v>42503.327615740738</v>
      </c>
      <c r="B34" s="22" t="s">
        <v>63</v>
      </c>
      <c r="C34" s="22" t="s">
        <v>213</v>
      </c>
      <c r="D34" s="22" t="s">
        <v>52</v>
      </c>
      <c r="E34" s="22" t="s">
        <v>53</v>
      </c>
      <c r="F34" s="22">
        <v>0</v>
      </c>
      <c r="G34" s="22">
        <v>47</v>
      </c>
      <c r="H34" s="22">
        <v>134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STARKS</v>
      </c>
      <c r="M34" s="20" t="s">
        <v>96</v>
      </c>
      <c r="N34" s="21"/>
    </row>
    <row r="35" spans="1:14" s="19" customFormat="1" x14ac:dyDescent="0.25">
      <c r="A35" s="23">
        <v>42503.336111111108</v>
      </c>
      <c r="B35" s="22" t="s">
        <v>151</v>
      </c>
      <c r="C35" s="22" t="s">
        <v>216</v>
      </c>
      <c r="D35" s="22" t="s">
        <v>52</v>
      </c>
      <c r="E35" s="22" t="s">
        <v>53</v>
      </c>
      <c r="F35" s="22">
        <v>0</v>
      </c>
      <c r="G35" s="22">
        <v>9</v>
      </c>
      <c r="H35" s="22">
        <v>127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MALAVE</v>
      </c>
      <c r="M35" s="20" t="s">
        <v>96</v>
      </c>
      <c r="N35" s="21"/>
    </row>
    <row r="36" spans="1:14" s="19" customFormat="1" x14ac:dyDescent="0.25">
      <c r="A36" s="23">
        <v>42503.337708333333</v>
      </c>
      <c r="B36" s="22" t="s">
        <v>162</v>
      </c>
      <c r="C36" s="22" t="s">
        <v>226</v>
      </c>
      <c r="D36" s="22" t="s">
        <v>52</v>
      </c>
      <c r="E36" s="22" t="s">
        <v>53</v>
      </c>
      <c r="F36" s="22">
        <v>0</v>
      </c>
      <c r="G36" s="22">
        <v>8</v>
      </c>
      <c r="H36" s="22">
        <v>233320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CHANDLER</v>
      </c>
      <c r="M36" s="20" t="s">
        <v>96</v>
      </c>
      <c r="N36" s="21"/>
    </row>
    <row r="37" spans="1:14" s="19" customFormat="1" x14ac:dyDescent="0.25">
      <c r="A37" s="23">
        <v>42503.345972222225</v>
      </c>
      <c r="B37" s="22" t="s">
        <v>418</v>
      </c>
      <c r="C37" s="22" t="s">
        <v>219</v>
      </c>
      <c r="D37" s="22" t="s">
        <v>52</v>
      </c>
      <c r="E37" s="22" t="s">
        <v>53</v>
      </c>
      <c r="F37" s="22">
        <v>0</v>
      </c>
      <c r="G37" s="22">
        <v>3</v>
      </c>
      <c r="H37" s="22">
        <v>125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YORK</v>
      </c>
      <c r="M37" s="20" t="s">
        <v>96</v>
      </c>
      <c r="N37" s="21"/>
    </row>
    <row r="38" spans="1:14" s="19" customFormat="1" x14ac:dyDescent="0.25">
      <c r="A38" s="23">
        <v>42503.34784722222</v>
      </c>
      <c r="B38" s="22" t="s">
        <v>419</v>
      </c>
      <c r="C38" s="22" t="s">
        <v>228</v>
      </c>
      <c r="D38" s="22" t="s">
        <v>52</v>
      </c>
      <c r="E38" s="22" t="s">
        <v>53</v>
      </c>
      <c r="F38" s="22">
        <v>0</v>
      </c>
      <c r="G38" s="22">
        <v>9</v>
      </c>
      <c r="H38" s="22">
        <v>233338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NEWELL</v>
      </c>
      <c r="M38" s="20" t="s">
        <v>96</v>
      </c>
      <c r="N38" s="21"/>
    </row>
    <row r="39" spans="1:14" s="19" customFormat="1" x14ac:dyDescent="0.25">
      <c r="A39" s="23">
        <v>42503.366319444445</v>
      </c>
      <c r="B39" s="22" t="s">
        <v>130</v>
      </c>
      <c r="C39" s="22" t="s">
        <v>224</v>
      </c>
      <c r="D39" s="22" t="s">
        <v>52</v>
      </c>
      <c r="E39" s="22" t="s">
        <v>53</v>
      </c>
      <c r="F39" s="22">
        <v>0</v>
      </c>
      <c r="G39" s="22">
        <v>78</v>
      </c>
      <c r="H39" s="22">
        <v>249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SANTIZO</v>
      </c>
      <c r="M39" s="20" t="s">
        <v>96</v>
      </c>
      <c r="N39" s="21"/>
    </row>
    <row r="40" spans="1:14" s="19" customFormat="1" x14ac:dyDescent="0.25">
      <c r="A40" s="23">
        <v>42503.368356481478</v>
      </c>
      <c r="B40" s="22" t="s">
        <v>149</v>
      </c>
      <c r="C40" s="22" t="s">
        <v>234</v>
      </c>
      <c r="D40" s="22" t="s">
        <v>52</v>
      </c>
      <c r="E40" s="22" t="s">
        <v>53</v>
      </c>
      <c r="F40" s="22">
        <v>0</v>
      </c>
      <c r="G40" s="22">
        <v>6</v>
      </c>
      <c r="H40" s="22">
        <v>233344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MALAVE</v>
      </c>
      <c r="M40" s="20" t="s">
        <v>96</v>
      </c>
      <c r="N40" s="21"/>
    </row>
    <row r="41" spans="1:14" s="19" customFormat="1" x14ac:dyDescent="0.25">
      <c r="A41" s="23">
        <v>42503.387048611112</v>
      </c>
      <c r="B41" s="22" t="s">
        <v>420</v>
      </c>
      <c r="C41" s="22" t="s">
        <v>229</v>
      </c>
      <c r="D41" s="22" t="s">
        <v>52</v>
      </c>
      <c r="E41" s="22" t="s">
        <v>53</v>
      </c>
      <c r="F41" s="22">
        <v>0</v>
      </c>
      <c r="G41" s="22">
        <v>4</v>
      </c>
      <c r="H41" s="22">
        <v>123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NEWELL</v>
      </c>
      <c r="M41" s="20" t="s">
        <v>96</v>
      </c>
      <c r="N41" s="21"/>
    </row>
    <row r="42" spans="1:14" s="19" customFormat="1" x14ac:dyDescent="0.25">
      <c r="A42" s="23">
        <v>42503.421249999999</v>
      </c>
      <c r="B42" s="22" t="s">
        <v>419</v>
      </c>
      <c r="C42" s="22" t="s">
        <v>249</v>
      </c>
      <c r="D42" s="22" t="s">
        <v>52</v>
      </c>
      <c r="E42" s="22" t="s">
        <v>53</v>
      </c>
      <c r="F42" s="22">
        <v>0</v>
      </c>
      <c r="G42" s="22">
        <v>6</v>
      </c>
      <c r="H42" s="22">
        <v>233322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NEWELL</v>
      </c>
      <c r="M42" s="20" t="s">
        <v>96</v>
      </c>
      <c r="N42" s="21"/>
    </row>
    <row r="43" spans="1:14" s="19" customFormat="1" x14ac:dyDescent="0.25">
      <c r="A43" s="23">
        <v>42503.431111111109</v>
      </c>
      <c r="B43" s="22" t="s">
        <v>62</v>
      </c>
      <c r="C43" s="22" t="s">
        <v>251</v>
      </c>
      <c r="D43" s="22" t="s">
        <v>52</v>
      </c>
      <c r="E43" s="22" t="s">
        <v>53</v>
      </c>
      <c r="F43" s="22">
        <v>0</v>
      </c>
      <c r="G43" s="22">
        <v>9</v>
      </c>
      <c r="H43" s="22">
        <v>233370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STARKS</v>
      </c>
      <c r="M43" s="20" t="s">
        <v>96</v>
      </c>
      <c r="N43" s="21"/>
    </row>
    <row r="44" spans="1:14" s="19" customFormat="1" x14ac:dyDescent="0.25">
      <c r="A44" s="23">
        <v>42503.441145833334</v>
      </c>
      <c r="B44" s="22" t="s">
        <v>149</v>
      </c>
      <c r="C44" s="22" t="s">
        <v>255</v>
      </c>
      <c r="D44" s="22" t="s">
        <v>52</v>
      </c>
      <c r="E44" s="22" t="s">
        <v>53</v>
      </c>
      <c r="F44" s="22">
        <v>0</v>
      </c>
      <c r="G44" s="22">
        <v>6</v>
      </c>
      <c r="H44" s="22">
        <v>233332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MALAVE</v>
      </c>
      <c r="M44" s="20" t="s">
        <v>96</v>
      </c>
      <c r="N44" s="21"/>
    </row>
    <row r="45" spans="1:14" s="19" customFormat="1" x14ac:dyDescent="0.25">
      <c r="A45" s="23">
        <v>42503.471631944441</v>
      </c>
      <c r="B45" s="22" t="s">
        <v>63</v>
      </c>
      <c r="C45" s="22" t="s">
        <v>253</v>
      </c>
      <c r="D45" s="22" t="s">
        <v>52</v>
      </c>
      <c r="E45" s="22" t="s">
        <v>53</v>
      </c>
      <c r="F45" s="22">
        <v>0</v>
      </c>
      <c r="G45" s="22">
        <v>5</v>
      </c>
      <c r="H45" s="22">
        <v>101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STARKS</v>
      </c>
      <c r="M45" s="20" t="s">
        <v>96</v>
      </c>
      <c r="N45" s="21"/>
    </row>
    <row r="46" spans="1:14" s="19" customFormat="1" x14ac:dyDescent="0.25">
      <c r="A46" s="23">
        <v>42503.494259259256</v>
      </c>
      <c r="B46" s="22" t="s">
        <v>419</v>
      </c>
      <c r="C46" s="22" t="s">
        <v>269</v>
      </c>
      <c r="D46" s="22" t="s">
        <v>52</v>
      </c>
      <c r="E46" s="22" t="s">
        <v>53</v>
      </c>
      <c r="F46" s="22">
        <v>0</v>
      </c>
      <c r="G46" s="22">
        <v>4</v>
      </c>
      <c r="H46" s="22">
        <v>233338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SPECTOR</v>
      </c>
      <c r="M46" s="20" t="s">
        <v>96</v>
      </c>
      <c r="N46" s="21"/>
    </row>
    <row r="47" spans="1:14" s="19" customFormat="1" x14ac:dyDescent="0.25">
      <c r="A47" s="23">
        <v>42503.53334490741</v>
      </c>
      <c r="B47" s="22" t="s">
        <v>420</v>
      </c>
      <c r="C47" s="22" t="s">
        <v>270</v>
      </c>
      <c r="D47" s="22" t="s">
        <v>52</v>
      </c>
      <c r="E47" s="22" t="s">
        <v>53</v>
      </c>
      <c r="F47" s="22">
        <v>0</v>
      </c>
      <c r="G47" s="22">
        <v>5</v>
      </c>
      <c r="H47" s="22">
        <v>112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SPECTOR</v>
      </c>
      <c r="M47" s="20" t="s">
        <v>96</v>
      </c>
      <c r="N47" s="21"/>
    </row>
    <row r="48" spans="1:14" s="19" customFormat="1" x14ac:dyDescent="0.25">
      <c r="A48" s="23">
        <v>42503.546365740738</v>
      </c>
      <c r="B48" s="22" t="s">
        <v>127</v>
      </c>
      <c r="C48" s="22" t="s">
        <v>282</v>
      </c>
      <c r="D48" s="22" t="s">
        <v>52</v>
      </c>
      <c r="E48" s="22" t="s">
        <v>53</v>
      </c>
      <c r="F48" s="22">
        <v>0</v>
      </c>
      <c r="G48" s="22">
        <v>6</v>
      </c>
      <c r="H48" s="22">
        <v>233324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NELSON</v>
      </c>
      <c r="M48" s="20" t="s">
        <v>96</v>
      </c>
      <c r="N48" s="21"/>
    </row>
    <row r="49" spans="1:14" s="19" customFormat="1" x14ac:dyDescent="0.25">
      <c r="A49" s="23">
        <v>42503.577349537038</v>
      </c>
      <c r="B49" s="22" t="s">
        <v>62</v>
      </c>
      <c r="C49" s="22" t="s">
        <v>290</v>
      </c>
      <c r="D49" s="22" t="s">
        <v>52</v>
      </c>
      <c r="E49" s="22" t="s">
        <v>53</v>
      </c>
      <c r="F49" s="22">
        <v>0</v>
      </c>
      <c r="G49" s="22">
        <v>58</v>
      </c>
      <c r="H49" s="22">
        <v>233270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STORY</v>
      </c>
      <c r="M49" s="20" t="s">
        <v>96</v>
      </c>
      <c r="N49" s="21"/>
    </row>
    <row r="50" spans="1:14" s="19" customFormat="1" x14ac:dyDescent="0.25">
      <c r="A50" s="23">
        <v>42503.596400462964</v>
      </c>
      <c r="B50" s="22" t="s">
        <v>156</v>
      </c>
      <c r="C50" s="22" t="s">
        <v>286</v>
      </c>
      <c r="D50" s="22" t="s">
        <v>52</v>
      </c>
      <c r="E50" s="22" t="s">
        <v>53</v>
      </c>
      <c r="F50" s="22">
        <v>0</v>
      </c>
      <c r="G50" s="22">
        <v>8</v>
      </c>
      <c r="H50" s="22">
        <v>119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WEBSTER</v>
      </c>
      <c r="M50" s="20" t="s">
        <v>96</v>
      </c>
      <c r="N50" s="21"/>
    </row>
    <row r="51" spans="1:14" s="19" customFormat="1" x14ac:dyDescent="0.25">
      <c r="A51" s="23">
        <v>42503.629178240742</v>
      </c>
      <c r="B51" s="22" t="s">
        <v>162</v>
      </c>
      <c r="C51" s="22" t="s">
        <v>308</v>
      </c>
      <c r="D51" s="22" t="s">
        <v>52</v>
      </c>
      <c r="E51" s="22" t="s">
        <v>53</v>
      </c>
      <c r="F51" s="22">
        <v>0</v>
      </c>
      <c r="G51" s="22">
        <v>8</v>
      </c>
      <c r="H51" s="22">
        <v>233328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WEBSTER</v>
      </c>
      <c r="M51" s="20" t="s">
        <v>96</v>
      </c>
      <c r="N51" s="21"/>
    </row>
    <row r="52" spans="1:14" s="19" customFormat="1" x14ac:dyDescent="0.25">
      <c r="A52" s="23">
        <v>42503.639618055553</v>
      </c>
      <c r="B52" s="22" t="s">
        <v>419</v>
      </c>
      <c r="C52" s="22" t="s">
        <v>310</v>
      </c>
      <c r="D52" s="22" t="s">
        <v>52</v>
      </c>
      <c r="E52" s="22" t="s">
        <v>53</v>
      </c>
      <c r="F52" s="22">
        <v>0</v>
      </c>
      <c r="G52" s="22">
        <v>70</v>
      </c>
      <c r="H52" s="22">
        <v>233230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SPECTOR</v>
      </c>
      <c r="M52" s="20" t="s">
        <v>96</v>
      </c>
      <c r="N52" s="21"/>
    </row>
    <row r="53" spans="1:14" s="19" customFormat="1" x14ac:dyDescent="0.25">
      <c r="A53" s="23">
        <v>42503.660555555558</v>
      </c>
      <c r="B53" s="22" t="s">
        <v>149</v>
      </c>
      <c r="C53" s="22" t="s">
        <v>322</v>
      </c>
      <c r="D53" s="22" t="s">
        <v>52</v>
      </c>
      <c r="E53" s="22" t="s">
        <v>53</v>
      </c>
      <c r="F53" s="22">
        <v>0</v>
      </c>
      <c r="G53" s="22">
        <v>42</v>
      </c>
      <c r="H53" s="22">
        <v>233400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LOCKLEAR</v>
      </c>
      <c r="M53" s="20" t="s">
        <v>96</v>
      </c>
      <c r="N53" s="21"/>
    </row>
    <row r="54" spans="1:14" s="19" customFormat="1" x14ac:dyDescent="0.25">
      <c r="A54" s="23">
        <v>42503.671284722222</v>
      </c>
      <c r="B54" s="22" t="s">
        <v>156</v>
      </c>
      <c r="C54" s="22" t="s">
        <v>309</v>
      </c>
      <c r="D54" s="22" t="s">
        <v>52</v>
      </c>
      <c r="E54" s="22" t="s">
        <v>53</v>
      </c>
      <c r="F54" s="22">
        <v>0</v>
      </c>
      <c r="G54" s="22">
        <v>4</v>
      </c>
      <c r="H54" s="22">
        <v>129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WEBSTER</v>
      </c>
      <c r="M54" s="20" t="s">
        <v>96</v>
      </c>
      <c r="N54" s="21"/>
    </row>
    <row r="55" spans="1:14" s="19" customFormat="1" x14ac:dyDescent="0.25">
      <c r="A55" s="23">
        <v>42503.691134259258</v>
      </c>
      <c r="B55" s="22" t="s">
        <v>127</v>
      </c>
      <c r="C55" s="22" t="s">
        <v>335</v>
      </c>
      <c r="D55" s="22" t="s">
        <v>52</v>
      </c>
      <c r="E55" s="22" t="s">
        <v>53</v>
      </c>
      <c r="F55" s="22">
        <v>0</v>
      </c>
      <c r="G55" s="22">
        <v>8</v>
      </c>
      <c r="H55" s="22">
        <v>233326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ROCHA</v>
      </c>
      <c r="M55" s="20" t="s">
        <v>96</v>
      </c>
      <c r="N55" s="21"/>
    </row>
    <row r="56" spans="1:14" s="19" customFormat="1" x14ac:dyDescent="0.25">
      <c r="A56" s="23">
        <v>42503.694548611114</v>
      </c>
      <c r="B56" s="22" t="s">
        <v>63</v>
      </c>
      <c r="C56" s="22" t="s">
        <v>320</v>
      </c>
      <c r="D56" s="22" t="s">
        <v>52</v>
      </c>
      <c r="E56" s="22" t="s">
        <v>53</v>
      </c>
      <c r="F56" s="22">
        <v>0</v>
      </c>
      <c r="G56" s="22">
        <v>103</v>
      </c>
      <c r="H56" s="22">
        <v>378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STORY</v>
      </c>
      <c r="M56" s="20" t="s">
        <v>96</v>
      </c>
      <c r="N56" s="21"/>
    </row>
    <row r="57" spans="1:14" s="19" customFormat="1" x14ac:dyDescent="0.25">
      <c r="A57" s="23">
        <v>42503.695185185185</v>
      </c>
      <c r="B57" s="22" t="s">
        <v>63</v>
      </c>
      <c r="C57" s="22" t="s">
        <v>320</v>
      </c>
      <c r="D57" s="22" t="s">
        <v>52</v>
      </c>
      <c r="E57" s="22" t="s">
        <v>53</v>
      </c>
      <c r="F57" s="22">
        <v>0</v>
      </c>
      <c r="G57" s="22">
        <v>4</v>
      </c>
      <c r="H57" s="22">
        <v>107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STORY</v>
      </c>
      <c r="M57" s="20" t="s">
        <v>96</v>
      </c>
      <c r="N57" s="21"/>
    </row>
    <row r="58" spans="1:14" s="19" customFormat="1" x14ac:dyDescent="0.25">
      <c r="A58" s="23">
        <v>42503.702407407407</v>
      </c>
      <c r="B58" s="22" t="s">
        <v>162</v>
      </c>
      <c r="C58" s="22" t="s">
        <v>338</v>
      </c>
      <c r="D58" s="22" t="s">
        <v>52</v>
      </c>
      <c r="E58" s="22" t="s">
        <v>53</v>
      </c>
      <c r="F58" s="22">
        <v>0</v>
      </c>
      <c r="G58" s="22">
        <v>9</v>
      </c>
      <c r="H58" s="22">
        <v>233332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WEBSTER</v>
      </c>
      <c r="M58" s="20" t="s">
        <v>96</v>
      </c>
      <c r="N58" s="21"/>
    </row>
    <row r="59" spans="1:14" s="19" customFormat="1" x14ac:dyDescent="0.25">
      <c r="A59" s="23">
        <v>42503.732777777775</v>
      </c>
      <c r="B59" s="22" t="s">
        <v>149</v>
      </c>
      <c r="C59" s="22" t="s">
        <v>348</v>
      </c>
      <c r="D59" s="22" t="s">
        <v>52</v>
      </c>
      <c r="E59" s="22" t="s">
        <v>53</v>
      </c>
      <c r="F59" s="22">
        <v>0</v>
      </c>
      <c r="G59" s="22">
        <v>55</v>
      </c>
      <c r="H59" s="22">
        <v>233312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LOCKLEAR</v>
      </c>
      <c r="M59" s="20" t="s">
        <v>96</v>
      </c>
      <c r="N59" s="21"/>
    </row>
    <row r="60" spans="1:14" s="19" customFormat="1" x14ac:dyDescent="0.25">
      <c r="A60" s="23">
        <v>42503.742604166669</v>
      </c>
      <c r="B60" s="22" t="s">
        <v>156</v>
      </c>
      <c r="C60" s="22" t="s">
        <v>339</v>
      </c>
      <c r="D60" s="22" t="s">
        <v>52</v>
      </c>
      <c r="E60" s="22" t="s">
        <v>53</v>
      </c>
      <c r="F60" s="22">
        <v>0</v>
      </c>
      <c r="G60" s="22">
        <v>9</v>
      </c>
      <c r="H60" s="22">
        <v>107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WEBSTER</v>
      </c>
      <c r="M60" s="20" t="s">
        <v>96</v>
      </c>
      <c r="N60" s="21"/>
    </row>
    <row r="61" spans="1:14" s="19" customFormat="1" x14ac:dyDescent="0.25">
      <c r="A61" s="23">
        <v>42503.745185185187</v>
      </c>
      <c r="B61" s="22" t="s">
        <v>415</v>
      </c>
      <c r="C61" s="22" t="s">
        <v>353</v>
      </c>
      <c r="D61" s="22" t="s">
        <v>52</v>
      </c>
      <c r="E61" s="22" t="s">
        <v>53</v>
      </c>
      <c r="F61" s="22">
        <v>0</v>
      </c>
      <c r="G61" s="22">
        <v>8</v>
      </c>
      <c r="H61" s="22">
        <v>233329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CANFIELD</v>
      </c>
      <c r="M61" s="20" t="s">
        <v>96</v>
      </c>
      <c r="N61" s="21"/>
    </row>
    <row r="62" spans="1:14" s="19" customFormat="1" x14ac:dyDescent="0.25">
      <c r="A62" s="23">
        <v>42503.77244212963</v>
      </c>
      <c r="B62" s="22" t="s">
        <v>151</v>
      </c>
      <c r="C62" s="22" t="s">
        <v>350</v>
      </c>
      <c r="D62" s="22" t="s">
        <v>52</v>
      </c>
      <c r="E62" s="22" t="s">
        <v>53</v>
      </c>
      <c r="F62" s="22">
        <v>0</v>
      </c>
      <c r="G62" s="22">
        <v>75</v>
      </c>
      <c r="H62" s="22">
        <v>258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LOCKLEAR</v>
      </c>
      <c r="M62" s="20" t="s">
        <v>96</v>
      </c>
      <c r="N62" s="21"/>
    </row>
    <row r="63" spans="1:14" s="19" customFormat="1" x14ac:dyDescent="0.25">
      <c r="A63" s="23">
        <v>42503.790763888886</v>
      </c>
      <c r="B63" s="22" t="s">
        <v>419</v>
      </c>
      <c r="C63" s="22" t="s">
        <v>366</v>
      </c>
      <c r="D63" s="22" t="s">
        <v>52</v>
      </c>
      <c r="E63" s="22" t="s">
        <v>53</v>
      </c>
      <c r="F63" s="22">
        <v>0</v>
      </c>
      <c r="G63" s="22">
        <v>9</v>
      </c>
      <c r="H63" s="22">
        <v>233332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BRUDER</v>
      </c>
      <c r="M63" s="20" t="s">
        <v>96</v>
      </c>
      <c r="N63" s="21"/>
    </row>
    <row r="64" spans="1:14" s="19" customFormat="1" x14ac:dyDescent="0.25">
      <c r="A64" s="23">
        <v>42503.800011574072</v>
      </c>
      <c r="B64" s="22" t="s">
        <v>62</v>
      </c>
      <c r="C64" s="22" t="s">
        <v>368</v>
      </c>
      <c r="D64" s="22" t="s">
        <v>52</v>
      </c>
      <c r="E64" s="22" t="s">
        <v>53</v>
      </c>
      <c r="F64" s="22">
        <v>0</v>
      </c>
      <c r="G64" s="22">
        <v>6</v>
      </c>
      <c r="H64" s="22">
        <v>233332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DE LA ROSA</v>
      </c>
      <c r="M64" s="20" t="s">
        <v>96</v>
      </c>
      <c r="N64" s="21"/>
    </row>
    <row r="65" spans="1:14" s="19" customFormat="1" x14ac:dyDescent="0.25">
      <c r="A65" s="23">
        <v>42503.899976851855</v>
      </c>
      <c r="B65" s="22" t="s">
        <v>415</v>
      </c>
      <c r="C65" s="22" t="s">
        <v>387</v>
      </c>
      <c r="D65" s="22" t="s">
        <v>52</v>
      </c>
      <c r="E65" s="22" t="s">
        <v>53</v>
      </c>
      <c r="F65" s="22">
        <v>0</v>
      </c>
      <c r="G65" s="22">
        <v>9</v>
      </c>
      <c r="H65" s="22">
        <v>233324</v>
      </c>
      <c r="I65" s="22" t="s">
        <v>54</v>
      </c>
      <c r="J65" s="22">
        <v>233491</v>
      </c>
      <c r="K65" s="21" t="s">
        <v>55</v>
      </c>
      <c r="L65" s="21" t="str">
        <f>VLOOKUP(C65,'Trips&amp;Operators'!$C$1:$E$9999,3,FALSE)</f>
        <v>REBOLETTI</v>
      </c>
      <c r="M65" s="20" t="s">
        <v>96</v>
      </c>
      <c r="N65" s="21"/>
    </row>
    <row r="66" spans="1:14" s="19" customFormat="1" x14ac:dyDescent="0.25">
      <c r="A66" s="23">
        <v>42503.942523148151</v>
      </c>
      <c r="B66" s="22" t="s">
        <v>419</v>
      </c>
      <c r="C66" s="22" t="s">
        <v>394</v>
      </c>
      <c r="D66" s="22" t="s">
        <v>52</v>
      </c>
      <c r="E66" s="22" t="s">
        <v>53</v>
      </c>
      <c r="F66" s="22">
        <v>0</v>
      </c>
      <c r="G66" s="22">
        <v>5</v>
      </c>
      <c r="H66" s="22">
        <v>233342</v>
      </c>
      <c r="I66" s="22" t="s">
        <v>54</v>
      </c>
      <c r="J66" s="22">
        <v>233491</v>
      </c>
      <c r="K66" s="21" t="s">
        <v>55</v>
      </c>
      <c r="L66" s="21" t="str">
        <f>VLOOKUP(C66,'Trips&amp;Operators'!$C$1:$E$9999,3,FALSE)</f>
        <v>BRUDER</v>
      </c>
      <c r="M66" s="20" t="s">
        <v>96</v>
      </c>
      <c r="N66" s="21"/>
    </row>
    <row r="67" spans="1:14" s="19" customFormat="1" x14ac:dyDescent="0.25">
      <c r="A67" s="23">
        <v>42503.962870370371</v>
      </c>
      <c r="B67" s="22" t="s">
        <v>62</v>
      </c>
      <c r="C67" s="22" t="s">
        <v>397</v>
      </c>
      <c r="D67" s="22" t="s">
        <v>52</v>
      </c>
      <c r="E67" s="22" t="s">
        <v>53</v>
      </c>
      <c r="F67" s="22">
        <v>0</v>
      </c>
      <c r="G67" s="22">
        <v>9</v>
      </c>
      <c r="H67" s="22">
        <v>233336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DE LA ROSA</v>
      </c>
      <c r="M67" s="20" t="s">
        <v>96</v>
      </c>
      <c r="N67" s="21"/>
    </row>
    <row r="68" spans="1:14" s="19" customFormat="1" x14ac:dyDescent="0.25">
      <c r="A68" s="23">
        <v>42504.023657407408</v>
      </c>
      <c r="B68" s="22" t="s">
        <v>418</v>
      </c>
      <c r="C68" s="22" t="s">
        <v>400</v>
      </c>
      <c r="D68" s="22" t="s">
        <v>52</v>
      </c>
      <c r="E68" s="22" t="s">
        <v>53</v>
      </c>
      <c r="F68" s="22">
        <v>0</v>
      </c>
      <c r="G68" s="22">
        <v>9</v>
      </c>
      <c r="H68" s="22">
        <v>129</v>
      </c>
      <c r="I68" s="22" t="s">
        <v>54</v>
      </c>
      <c r="J68" s="22">
        <v>1</v>
      </c>
      <c r="K68" s="21" t="s">
        <v>56</v>
      </c>
      <c r="L68" s="21" t="str">
        <f>VLOOKUP(C68,'Trips&amp;Operators'!$C$1:$E$9999,3,FALSE)</f>
        <v>REBOLETTI</v>
      </c>
      <c r="M68" s="20" t="s">
        <v>96</v>
      </c>
      <c r="N68" s="21"/>
    </row>
    <row r="69" spans="1:14" s="19" customFormat="1" x14ac:dyDescent="0.25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3"/>
      <c r="L69" s="43"/>
      <c r="M69" s="44"/>
      <c r="N69" s="43"/>
    </row>
    <row r="70" spans="1:14" s="19" customFormat="1" ht="15.75" thickBot="1" x14ac:dyDescent="0.3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3"/>
      <c r="L70" s="43"/>
      <c r="M70" s="44"/>
      <c r="N70" s="43"/>
    </row>
    <row r="71" spans="1:14" ht="30" x14ac:dyDescent="0.25">
      <c r="B71" s="60"/>
      <c r="C71" s="60"/>
      <c r="D71" s="60"/>
      <c r="E71" s="60"/>
      <c r="F71" s="60"/>
      <c r="G71" s="60"/>
      <c r="H71" s="60"/>
      <c r="I71" s="60"/>
      <c r="J71" s="60"/>
      <c r="K71" s="18" t="s">
        <v>28</v>
      </c>
      <c r="L71" s="53"/>
      <c r="M71" s="17">
        <f>COUNTIF(M3:M68,"=Y")</f>
        <v>6</v>
      </c>
    </row>
    <row r="72" spans="1:14" ht="15.75" thickBot="1" x14ac:dyDescent="0.3">
      <c r="B72" s="60"/>
      <c r="C72" s="60"/>
      <c r="D72" s="60"/>
      <c r="E72" s="60"/>
      <c r="F72" s="60"/>
      <c r="G72" s="60"/>
      <c r="H72" s="60"/>
      <c r="I72" s="60"/>
      <c r="J72" s="60"/>
      <c r="K72" s="16" t="s">
        <v>27</v>
      </c>
      <c r="L72" s="54"/>
      <c r="M72" s="15">
        <f>COUNTA(M3:M68)-M71</f>
        <v>60</v>
      </c>
    </row>
  </sheetData>
  <autoFilter ref="A2:N68">
    <sortState ref="A3:N68">
      <sortCondition ref="E2:E68"/>
    </sortState>
  </autoFilter>
  <sortState ref="A3:N63">
    <sortCondition ref="E3:E63"/>
  </sortState>
  <mergeCells count="1">
    <mergeCell ref="A1:M1"/>
  </mergeCells>
  <conditionalFormatting sqref="N2 M2:M1048576">
    <cfRule type="cellIs" dxfId="8" priority="7" operator="equal">
      <formula>"Y"</formula>
    </cfRule>
  </conditionalFormatting>
  <conditionalFormatting sqref="N11:N12 B69:N70 B66:K68 N66:N68 L29:M68 M8:M12 M8:N10 M13:N28 B8:L28 B3:N7">
    <cfRule type="expression" dxfId="7" priority="6">
      <formula>$M3="Y"</formula>
    </cfRule>
  </conditionalFormatting>
  <conditionalFormatting sqref="B29:K65 N29:N65">
    <cfRule type="expression" dxfId="6" priority="3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2016-05-13</v>
      </c>
      <c r="B1" s="78"/>
    </row>
    <row r="2" spans="1:2" x14ac:dyDescent="0.25">
      <c r="A2" s="78" t="s">
        <v>422</v>
      </c>
      <c r="B2" s="78" t="s">
        <v>424</v>
      </c>
    </row>
    <row r="3" spans="1:2" x14ac:dyDescent="0.25">
      <c r="A3" s="78" t="s">
        <v>423</v>
      </c>
      <c r="B3" s="78" t="s">
        <v>424</v>
      </c>
    </row>
    <row r="4" spans="1:2" x14ac:dyDescent="0.25">
      <c r="A4" s="78" t="s">
        <v>425</v>
      </c>
      <c r="B4" s="78" t="s">
        <v>424</v>
      </c>
    </row>
    <row r="5" spans="1:2" x14ac:dyDescent="0.25">
      <c r="A5" s="78"/>
      <c r="B5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4"/>
  <sheetViews>
    <sheetView workbookViewId="0">
      <selection sqref="A1:E16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42503.030543981484</v>
      </c>
      <c r="B1" t="s">
        <v>63</v>
      </c>
      <c r="C1" t="s">
        <v>164</v>
      </c>
      <c r="D1">
        <v>1770000</v>
      </c>
      <c r="E1" t="s">
        <v>122</v>
      </c>
    </row>
    <row r="2" spans="1:5" x14ac:dyDescent="0.25">
      <c r="A2" s="14">
        <v>42503.193252314813</v>
      </c>
      <c r="B2" t="s">
        <v>156</v>
      </c>
      <c r="C2" t="s">
        <v>191</v>
      </c>
      <c r="D2">
        <v>1800000</v>
      </c>
      <c r="E2" t="s">
        <v>124</v>
      </c>
    </row>
    <row r="3" spans="1:5" x14ac:dyDescent="0.25">
      <c r="A3" s="14">
        <v>42503.226412037038</v>
      </c>
      <c r="B3" t="s">
        <v>127</v>
      </c>
      <c r="C3" t="s">
        <v>205</v>
      </c>
      <c r="D3">
        <v>1360000</v>
      </c>
      <c r="E3" t="s">
        <v>436</v>
      </c>
    </row>
    <row r="4" spans="1:5" x14ac:dyDescent="0.25">
      <c r="A4" s="14">
        <v>42503.443912037037</v>
      </c>
      <c r="B4" t="s">
        <v>127</v>
      </c>
      <c r="C4" t="s">
        <v>264</v>
      </c>
      <c r="D4">
        <v>1820000</v>
      </c>
      <c r="E4" t="s">
        <v>128</v>
      </c>
    </row>
    <row r="5" spans="1:5" x14ac:dyDescent="0.25">
      <c r="A5" s="14">
        <v>42503.484409722223</v>
      </c>
      <c r="B5" t="s">
        <v>130</v>
      </c>
      <c r="C5" t="s">
        <v>265</v>
      </c>
      <c r="D5">
        <v>1820000</v>
      </c>
      <c r="E5" t="s">
        <v>128</v>
      </c>
    </row>
    <row r="6" spans="1:5" x14ac:dyDescent="0.25">
      <c r="A6" s="14">
        <v>42503.171597222223</v>
      </c>
      <c r="B6" t="s">
        <v>421</v>
      </c>
      <c r="C6" t="s">
        <v>181</v>
      </c>
      <c r="D6">
        <v>1430000</v>
      </c>
      <c r="E6" t="s">
        <v>437</v>
      </c>
    </row>
    <row r="7" spans="1:5" x14ac:dyDescent="0.25">
      <c r="A7" s="14">
        <v>42503.584826388891</v>
      </c>
      <c r="B7" t="s">
        <v>63</v>
      </c>
      <c r="C7" t="s">
        <v>292</v>
      </c>
      <c r="D7">
        <v>1740000</v>
      </c>
      <c r="E7" t="s">
        <v>126</v>
      </c>
    </row>
    <row r="8" spans="1:5" x14ac:dyDescent="0.25">
      <c r="A8" s="14">
        <v>42503.640196759261</v>
      </c>
      <c r="B8" t="s">
        <v>62</v>
      </c>
      <c r="C8" t="s">
        <v>316</v>
      </c>
      <c r="D8">
        <v>1740000</v>
      </c>
      <c r="E8" t="s">
        <v>126</v>
      </c>
    </row>
    <row r="9" spans="1:5" x14ac:dyDescent="0.25">
      <c r="A9" s="14">
        <v>42503.234629629631</v>
      </c>
      <c r="B9" t="s">
        <v>151</v>
      </c>
      <c r="C9" t="s">
        <v>197</v>
      </c>
      <c r="D9">
        <v>1310000</v>
      </c>
      <c r="E9" t="s">
        <v>161</v>
      </c>
    </row>
    <row r="10" spans="1:5" x14ac:dyDescent="0.25">
      <c r="A10" s="14">
        <v>42503.267974537041</v>
      </c>
      <c r="B10" t="s">
        <v>149</v>
      </c>
      <c r="C10" t="s">
        <v>215</v>
      </c>
      <c r="D10">
        <v>1310000</v>
      </c>
      <c r="E10" t="s">
        <v>161</v>
      </c>
    </row>
    <row r="11" spans="1:5" x14ac:dyDescent="0.25">
      <c r="A11" s="14">
        <v>42503.380648148152</v>
      </c>
      <c r="B11" t="s">
        <v>151</v>
      </c>
      <c r="C11" t="s">
        <v>236</v>
      </c>
      <c r="D11">
        <v>1310000</v>
      </c>
      <c r="E11" t="s">
        <v>161</v>
      </c>
    </row>
    <row r="12" spans="1:5" x14ac:dyDescent="0.25">
      <c r="A12" s="14">
        <v>42504.016574074078</v>
      </c>
      <c r="B12" t="s">
        <v>62</v>
      </c>
      <c r="C12" t="s">
        <v>409</v>
      </c>
      <c r="D12">
        <v>1780000</v>
      </c>
      <c r="E12" t="s">
        <v>155</v>
      </c>
    </row>
    <row r="13" spans="1:5" x14ac:dyDescent="0.25">
      <c r="A13" s="14">
        <v>42503.516585648147</v>
      </c>
      <c r="B13" t="s">
        <v>63</v>
      </c>
      <c r="C13" t="s">
        <v>274</v>
      </c>
      <c r="D13">
        <v>1740000</v>
      </c>
      <c r="E13" t="s">
        <v>126</v>
      </c>
    </row>
    <row r="14" spans="1:5" x14ac:dyDescent="0.25">
      <c r="A14" s="14">
        <v>42503.770937499998</v>
      </c>
      <c r="B14" t="s">
        <v>130</v>
      </c>
      <c r="C14" t="s">
        <v>359</v>
      </c>
      <c r="D14">
        <v>1760000</v>
      </c>
      <c r="E14" t="s">
        <v>121</v>
      </c>
    </row>
    <row r="15" spans="1:5" x14ac:dyDescent="0.25">
      <c r="A15" s="14">
        <v>42503.641168981485</v>
      </c>
      <c r="B15" t="s">
        <v>415</v>
      </c>
      <c r="C15" t="s">
        <v>326</v>
      </c>
      <c r="D15">
        <v>1840000</v>
      </c>
      <c r="E15" t="s">
        <v>131</v>
      </c>
    </row>
    <row r="16" spans="1:5" x14ac:dyDescent="0.25">
      <c r="A16" s="14">
        <v>42503.744953703703</v>
      </c>
      <c r="B16" t="s">
        <v>151</v>
      </c>
      <c r="C16" t="s">
        <v>350</v>
      </c>
      <c r="D16">
        <v>1120000</v>
      </c>
      <c r="E16" t="s">
        <v>438</v>
      </c>
    </row>
    <row r="17" spans="1:5" x14ac:dyDescent="0.25">
      <c r="A17" s="14">
        <v>42503.515486111108</v>
      </c>
      <c r="B17" t="s">
        <v>127</v>
      </c>
      <c r="C17" t="s">
        <v>282</v>
      </c>
      <c r="D17">
        <v>1460000</v>
      </c>
      <c r="E17" t="s">
        <v>439</v>
      </c>
    </row>
    <row r="18" spans="1:5" x14ac:dyDescent="0.25">
      <c r="A18" s="14">
        <v>42503.355185185188</v>
      </c>
      <c r="B18" t="s">
        <v>420</v>
      </c>
      <c r="C18" t="s">
        <v>229</v>
      </c>
      <c r="D18">
        <v>1810000</v>
      </c>
      <c r="E18" t="s">
        <v>129</v>
      </c>
    </row>
    <row r="19" spans="1:5" x14ac:dyDescent="0.25">
      <c r="A19" s="14">
        <v>42503.671782407408</v>
      </c>
      <c r="B19" t="s">
        <v>151</v>
      </c>
      <c r="C19" t="s">
        <v>324</v>
      </c>
      <c r="D19">
        <v>1120000</v>
      </c>
      <c r="E19" t="s">
        <v>438</v>
      </c>
    </row>
    <row r="20" spans="1:5" x14ac:dyDescent="0.25">
      <c r="A20" s="14">
        <v>42503.546550925923</v>
      </c>
      <c r="B20" t="s">
        <v>421</v>
      </c>
      <c r="C20" t="s">
        <v>280</v>
      </c>
      <c r="D20">
        <v>880000</v>
      </c>
      <c r="E20" t="s">
        <v>154</v>
      </c>
    </row>
    <row r="21" spans="1:5" x14ac:dyDescent="0.25">
      <c r="A21" s="14">
        <v>42503.30840277778</v>
      </c>
      <c r="B21" t="s">
        <v>151</v>
      </c>
      <c r="C21" t="s">
        <v>216</v>
      </c>
      <c r="D21">
        <v>1310000</v>
      </c>
      <c r="E21" t="s">
        <v>161</v>
      </c>
    </row>
    <row r="22" spans="1:5" x14ac:dyDescent="0.25">
      <c r="A22" s="14">
        <v>42503.389374999999</v>
      </c>
      <c r="B22" t="s">
        <v>418</v>
      </c>
      <c r="C22" t="s">
        <v>239</v>
      </c>
      <c r="D22">
        <v>1830000</v>
      </c>
      <c r="E22" t="s">
        <v>125</v>
      </c>
    </row>
    <row r="23" spans="1:5" x14ac:dyDescent="0.25">
      <c r="A23" s="14">
        <v>42503.457048611112</v>
      </c>
      <c r="B23" t="s">
        <v>418</v>
      </c>
      <c r="C23" t="s">
        <v>259</v>
      </c>
      <c r="D23">
        <v>1840000</v>
      </c>
      <c r="E23" t="s">
        <v>131</v>
      </c>
    </row>
    <row r="24" spans="1:5" x14ac:dyDescent="0.25">
      <c r="A24" s="14">
        <v>42503.299791666665</v>
      </c>
      <c r="B24" t="s">
        <v>127</v>
      </c>
      <c r="C24" t="s">
        <v>222</v>
      </c>
      <c r="D24">
        <v>1360000</v>
      </c>
      <c r="E24" t="s">
        <v>436</v>
      </c>
    </row>
    <row r="25" spans="1:5" x14ac:dyDescent="0.25">
      <c r="A25" s="14">
        <v>42503.206238425926</v>
      </c>
      <c r="B25" t="s">
        <v>415</v>
      </c>
      <c r="C25" t="s">
        <v>198</v>
      </c>
      <c r="D25">
        <v>1830000</v>
      </c>
      <c r="E25" t="s">
        <v>125</v>
      </c>
    </row>
    <row r="26" spans="1:5" x14ac:dyDescent="0.25">
      <c r="A26" s="14">
        <v>42503.185381944444</v>
      </c>
      <c r="B26" t="s">
        <v>62</v>
      </c>
      <c r="C26" t="s">
        <v>193</v>
      </c>
      <c r="D26">
        <v>1110000</v>
      </c>
      <c r="E26" t="s">
        <v>440</v>
      </c>
    </row>
    <row r="27" spans="1:5" x14ac:dyDescent="0.25">
      <c r="A27" s="14">
        <v>42503.370393518519</v>
      </c>
      <c r="B27" t="s">
        <v>63</v>
      </c>
      <c r="C27" t="s">
        <v>232</v>
      </c>
      <c r="D27">
        <v>1110000</v>
      </c>
      <c r="E27" t="s">
        <v>440</v>
      </c>
    </row>
    <row r="28" spans="1:5" x14ac:dyDescent="0.25">
      <c r="A28" s="14">
        <v>42503.865104166667</v>
      </c>
      <c r="B28" t="s">
        <v>415</v>
      </c>
      <c r="C28" t="s">
        <v>387</v>
      </c>
      <c r="D28">
        <v>1750000</v>
      </c>
      <c r="E28" t="s">
        <v>141</v>
      </c>
    </row>
    <row r="29" spans="1:5" x14ac:dyDescent="0.25">
      <c r="A29" s="14">
        <v>42503.611770833333</v>
      </c>
      <c r="B29" t="s">
        <v>419</v>
      </c>
      <c r="C29" t="s">
        <v>310</v>
      </c>
      <c r="D29">
        <v>1090000</v>
      </c>
      <c r="E29" t="s">
        <v>123</v>
      </c>
    </row>
    <row r="30" spans="1:5" x14ac:dyDescent="0.25">
      <c r="A30" s="14">
        <v>42503.739131944443</v>
      </c>
      <c r="B30" t="s">
        <v>127</v>
      </c>
      <c r="C30" t="s">
        <v>358</v>
      </c>
      <c r="D30">
        <v>1760000</v>
      </c>
      <c r="E30" t="s">
        <v>121</v>
      </c>
    </row>
    <row r="31" spans="1:5" x14ac:dyDescent="0.25">
      <c r="A31" s="14">
        <v>42503.766562500001</v>
      </c>
      <c r="B31" t="s">
        <v>62</v>
      </c>
      <c r="C31" t="s">
        <v>368</v>
      </c>
      <c r="D31">
        <v>1780000</v>
      </c>
      <c r="E31" t="s">
        <v>155</v>
      </c>
    </row>
    <row r="32" spans="1:5" x14ac:dyDescent="0.25">
      <c r="A32" s="14">
        <v>42503.395601851851</v>
      </c>
      <c r="B32" t="s">
        <v>421</v>
      </c>
      <c r="C32" t="s">
        <v>241</v>
      </c>
      <c r="D32">
        <v>1430000</v>
      </c>
      <c r="E32" t="s">
        <v>437</v>
      </c>
    </row>
    <row r="33" spans="1:5" x14ac:dyDescent="0.25">
      <c r="A33" s="14">
        <v>42503.276030092595</v>
      </c>
      <c r="B33" t="s">
        <v>415</v>
      </c>
      <c r="C33" t="s">
        <v>217</v>
      </c>
      <c r="D33">
        <v>1830000</v>
      </c>
      <c r="E33" t="s">
        <v>125</v>
      </c>
    </row>
    <row r="34" spans="1:5" x14ac:dyDescent="0.25">
      <c r="A34" s="14">
        <v>42503.645474537036</v>
      </c>
      <c r="B34" t="s">
        <v>420</v>
      </c>
      <c r="C34" t="s">
        <v>312</v>
      </c>
      <c r="D34">
        <v>1090000</v>
      </c>
      <c r="E34" t="s">
        <v>123</v>
      </c>
    </row>
    <row r="35" spans="1:5" x14ac:dyDescent="0.25">
      <c r="A35" s="14">
        <v>42503.793900462966</v>
      </c>
      <c r="B35" t="s">
        <v>420</v>
      </c>
      <c r="C35" t="s">
        <v>367</v>
      </c>
      <c r="D35">
        <v>1770000</v>
      </c>
      <c r="E35" t="s">
        <v>122</v>
      </c>
    </row>
    <row r="36" spans="1:5" x14ac:dyDescent="0.25">
      <c r="A36" s="14">
        <v>42503.49417824074</v>
      </c>
      <c r="B36" t="s">
        <v>415</v>
      </c>
      <c r="C36" t="s">
        <v>277</v>
      </c>
      <c r="D36">
        <v>1840000</v>
      </c>
      <c r="E36" t="s">
        <v>131</v>
      </c>
    </row>
    <row r="37" spans="1:5" x14ac:dyDescent="0.25">
      <c r="A37" s="14">
        <v>42503.816365740742</v>
      </c>
      <c r="B37" t="s">
        <v>127</v>
      </c>
      <c r="C37" t="s">
        <v>376</v>
      </c>
      <c r="D37">
        <v>1760000</v>
      </c>
      <c r="E37" t="s">
        <v>121</v>
      </c>
    </row>
    <row r="38" spans="1:5" x14ac:dyDescent="0.25">
      <c r="A38" s="14">
        <v>42503.150509259256</v>
      </c>
      <c r="B38" t="s">
        <v>127</v>
      </c>
      <c r="C38" t="s">
        <v>187</v>
      </c>
      <c r="D38">
        <v>1800000</v>
      </c>
      <c r="E38" t="s">
        <v>124</v>
      </c>
    </row>
    <row r="39" spans="1:5" x14ac:dyDescent="0.25">
      <c r="A39" s="14">
        <v>42503.903402777774</v>
      </c>
      <c r="B39" t="s">
        <v>418</v>
      </c>
      <c r="C39" t="s">
        <v>388</v>
      </c>
      <c r="D39">
        <v>1750000</v>
      </c>
      <c r="E39" t="s">
        <v>141</v>
      </c>
    </row>
    <row r="40" spans="1:5" x14ac:dyDescent="0.25">
      <c r="A40" s="14">
        <v>42503.149247685185</v>
      </c>
      <c r="B40" t="s">
        <v>127</v>
      </c>
      <c r="C40" t="s">
        <v>187</v>
      </c>
      <c r="D40">
        <v>1800000</v>
      </c>
      <c r="E40" t="s">
        <v>124</v>
      </c>
    </row>
    <row r="41" spans="1:5" x14ac:dyDescent="0.25">
      <c r="A41" s="14">
        <v>42503.934247685182</v>
      </c>
      <c r="B41" t="s">
        <v>62</v>
      </c>
      <c r="C41" t="s">
        <v>397</v>
      </c>
      <c r="D41">
        <v>1780000</v>
      </c>
      <c r="E41" t="s">
        <v>155</v>
      </c>
    </row>
    <row r="42" spans="1:5" x14ac:dyDescent="0.25">
      <c r="A42" s="14">
        <v>42504.015717592592</v>
      </c>
      <c r="B42" t="s">
        <v>150</v>
      </c>
      <c r="C42" t="s">
        <v>404</v>
      </c>
      <c r="D42">
        <v>1520000</v>
      </c>
      <c r="E42" t="s">
        <v>441</v>
      </c>
    </row>
    <row r="43" spans="1:5" x14ac:dyDescent="0.25">
      <c r="A43" s="14">
        <v>42503.20952546296</v>
      </c>
      <c r="B43" t="s">
        <v>442</v>
      </c>
      <c r="C43" t="s">
        <v>202</v>
      </c>
      <c r="D43">
        <v>1430000</v>
      </c>
      <c r="E43" t="s">
        <v>437</v>
      </c>
    </row>
    <row r="44" spans="1:5" x14ac:dyDescent="0.25">
      <c r="A44" s="14">
        <v>42503.727569444447</v>
      </c>
      <c r="B44" t="s">
        <v>442</v>
      </c>
      <c r="C44" t="s">
        <v>355</v>
      </c>
      <c r="D44">
        <v>880000</v>
      </c>
      <c r="E44" t="s">
        <v>154</v>
      </c>
    </row>
    <row r="45" spans="1:5" x14ac:dyDescent="0.25">
      <c r="A45" s="14">
        <v>42503.306388888886</v>
      </c>
      <c r="B45" t="s">
        <v>162</v>
      </c>
      <c r="C45" t="s">
        <v>226</v>
      </c>
      <c r="D45">
        <v>1800000</v>
      </c>
      <c r="E45" t="s">
        <v>124</v>
      </c>
    </row>
    <row r="46" spans="1:5" x14ac:dyDescent="0.25">
      <c r="A46" s="14">
        <v>42503.56559027778</v>
      </c>
      <c r="B46" t="s">
        <v>156</v>
      </c>
      <c r="C46" t="s">
        <v>286</v>
      </c>
      <c r="D46">
        <v>950000</v>
      </c>
      <c r="E46" t="s">
        <v>443</v>
      </c>
    </row>
    <row r="47" spans="1:5" x14ac:dyDescent="0.25">
      <c r="A47" s="14">
        <v>42503.409791666665</v>
      </c>
      <c r="B47" t="s">
        <v>130</v>
      </c>
      <c r="C47" t="s">
        <v>244</v>
      </c>
      <c r="D47">
        <v>1360000</v>
      </c>
      <c r="E47" t="s">
        <v>436</v>
      </c>
    </row>
    <row r="48" spans="1:5" x14ac:dyDescent="0.25">
      <c r="A48" s="14">
        <v>42503.241701388892</v>
      </c>
      <c r="B48" t="s">
        <v>418</v>
      </c>
      <c r="C48" t="s">
        <v>201</v>
      </c>
      <c r="D48">
        <v>1830000</v>
      </c>
      <c r="E48" t="s">
        <v>125</v>
      </c>
    </row>
    <row r="49" spans="1:5" x14ac:dyDescent="0.25">
      <c r="A49" s="14">
        <v>42503.545312499999</v>
      </c>
      <c r="B49" t="s">
        <v>62</v>
      </c>
      <c r="C49" t="s">
        <v>290</v>
      </c>
      <c r="D49">
        <v>1740000</v>
      </c>
      <c r="E49" t="s">
        <v>126</v>
      </c>
    </row>
    <row r="50" spans="1:5" x14ac:dyDescent="0.25">
      <c r="A50" s="14">
        <v>42503.785879629628</v>
      </c>
      <c r="B50" t="s">
        <v>156</v>
      </c>
      <c r="C50" t="s">
        <v>365</v>
      </c>
      <c r="D50">
        <v>950000</v>
      </c>
      <c r="E50" t="s">
        <v>443</v>
      </c>
    </row>
    <row r="51" spans="1:5" x14ac:dyDescent="0.25">
      <c r="A51" s="14">
        <v>42503.723333333335</v>
      </c>
      <c r="B51" t="s">
        <v>420</v>
      </c>
      <c r="C51" t="s">
        <v>341</v>
      </c>
      <c r="D51">
        <v>1090000</v>
      </c>
      <c r="E51" t="s">
        <v>123</v>
      </c>
    </row>
    <row r="52" spans="1:5" x14ac:dyDescent="0.25">
      <c r="A52" s="14">
        <v>42503.532118055555</v>
      </c>
      <c r="B52" t="s">
        <v>418</v>
      </c>
      <c r="C52" t="s">
        <v>278</v>
      </c>
      <c r="D52">
        <v>1840000</v>
      </c>
      <c r="E52" t="s">
        <v>131</v>
      </c>
    </row>
    <row r="53" spans="1:5" x14ac:dyDescent="0.25">
      <c r="A53" s="14">
        <v>42503.285497685189</v>
      </c>
      <c r="B53" t="s">
        <v>442</v>
      </c>
      <c r="C53" t="s">
        <v>220</v>
      </c>
      <c r="D53">
        <v>1430000</v>
      </c>
      <c r="E53" t="s">
        <v>437</v>
      </c>
    </row>
    <row r="54" spans="1:5" x14ac:dyDescent="0.25">
      <c r="A54" s="14">
        <v>42503.745995370373</v>
      </c>
      <c r="B54" t="s">
        <v>162</v>
      </c>
      <c r="C54" t="s">
        <v>363</v>
      </c>
      <c r="D54">
        <v>950000</v>
      </c>
      <c r="E54" t="s">
        <v>443</v>
      </c>
    </row>
    <row r="55" spans="1:5" x14ac:dyDescent="0.25">
      <c r="A55" s="14">
        <v>42503.478761574072</v>
      </c>
      <c r="B55" t="s">
        <v>62</v>
      </c>
      <c r="C55" t="s">
        <v>272</v>
      </c>
      <c r="D55">
        <v>1740000</v>
      </c>
      <c r="E55" t="s">
        <v>126</v>
      </c>
    </row>
    <row r="56" spans="1:5" x14ac:dyDescent="0.25">
      <c r="A56" s="14">
        <v>42503.968807870369</v>
      </c>
      <c r="B56" t="s">
        <v>152</v>
      </c>
      <c r="C56" t="s">
        <v>401</v>
      </c>
      <c r="D56">
        <v>1760000</v>
      </c>
      <c r="E56" t="s">
        <v>121</v>
      </c>
    </row>
    <row r="57" spans="1:5" x14ac:dyDescent="0.25">
      <c r="A57" s="14">
        <v>42503.506724537037</v>
      </c>
      <c r="B57" t="s">
        <v>442</v>
      </c>
      <c r="C57" t="s">
        <v>279</v>
      </c>
      <c r="D57">
        <v>880000</v>
      </c>
      <c r="E57" t="s">
        <v>154</v>
      </c>
    </row>
    <row r="58" spans="1:5" x14ac:dyDescent="0.25">
      <c r="A58" s="14">
        <v>42503.925763888888</v>
      </c>
      <c r="B58" t="s">
        <v>150</v>
      </c>
      <c r="C58" t="s">
        <v>392</v>
      </c>
      <c r="D58">
        <v>1520000</v>
      </c>
      <c r="E58" t="s">
        <v>441</v>
      </c>
    </row>
    <row r="59" spans="1:5" x14ac:dyDescent="0.25">
      <c r="A59" s="14">
        <v>42503.765694444446</v>
      </c>
      <c r="B59" t="s">
        <v>421</v>
      </c>
      <c r="C59" t="s">
        <v>356</v>
      </c>
      <c r="D59">
        <v>880000</v>
      </c>
      <c r="E59" t="s">
        <v>154</v>
      </c>
    </row>
    <row r="60" spans="1:5" x14ac:dyDescent="0.25">
      <c r="A60" s="14">
        <v>42503.759756944448</v>
      </c>
      <c r="B60" t="s">
        <v>419</v>
      </c>
      <c r="C60" t="s">
        <v>366</v>
      </c>
      <c r="D60">
        <v>1770000</v>
      </c>
      <c r="E60" t="s">
        <v>122</v>
      </c>
    </row>
    <row r="61" spans="1:5" x14ac:dyDescent="0.25">
      <c r="A61" s="14">
        <v>42503.193402777775</v>
      </c>
      <c r="B61" t="s">
        <v>149</v>
      </c>
      <c r="C61" t="s">
        <v>196</v>
      </c>
      <c r="D61">
        <v>1310000</v>
      </c>
      <c r="E61" t="s">
        <v>161</v>
      </c>
    </row>
    <row r="62" spans="1:5" x14ac:dyDescent="0.25">
      <c r="A62" s="14">
        <v>42503.8516087963</v>
      </c>
      <c r="B62" t="s">
        <v>130</v>
      </c>
      <c r="C62" t="s">
        <v>379</v>
      </c>
      <c r="D62">
        <v>1760000</v>
      </c>
      <c r="E62" t="s">
        <v>121</v>
      </c>
    </row>
    <row r="63" spans="1:5" x14ac:dyDescent="0.25">
      <c r="A63" s="14">
        <v>42503.225243055553</v>
      </c>
      <c r="B63" t="s">
        <v>63</v>
      </c>
      <c r="C63" t="s">
        <v>194</v>
      </c>
      <c r="D63">
        <v>1110000</v>
      </c>
      <c r="E63" t="s">
        <v>440</v>
      </c>
    </row>
    <row r="64" spans="1:5" x14ac:dyDescent="0.25">
      <c r="A64" s="14">
        <v>42503.733831018515</v>
      </c>
      <c r="B64" t="s">
        <v>63</v>
      </c>
      <c r="C64" t="s">
        <v>346</v>
      </c>
      <c r="D64">
        <v>1740000</v>
      </c>
      <c r="E64" t="s">
        <v>126</v>
      </c>
    </row>
    <row r="65" spans="1:5" x14ac:dyDescent="0.25">
      <c r="A65" s="14">
        <v>42503.284988425927</v>
      </c>
      <c r="B65" t="s">
        <v>150</v>
      </c>
      <c r="C65" t="s">
        <v>211</v>
      </c>
      <c r="D65">
        <v>1810000</v>
      </c>
      <c r="E65" t="s">
        <v>129</v>
      </c>
    </row>
    <row r="66" spans="1:5" x14ac:dyDescent="0.25">
      <c r="A66" s="14">
        <v>42503.714803240742</v>
      </c>
      <c r="B66" t="s">
        <v>415</v>
      </c>
      <c r="C66" t="s">
        <v>353</v>
      </c>
      <c r="D66">
        <v>1840000</v>
      </c>
      <c r="E66" t="s">
        <v>131</v>
      </c>
    </row>
    <row r="67" spans="1:5" x14ac:dyDescent="0.25">
      <c r="A67" s="14">
        <v>42503.380752314813</v>
      </c>
      <c r="B67" t="s">
        <v>162</v>
      </c>
      <c r="C67" t="s">
        <v>245</v>
      </c>
      <c r="D67">
        <v>1800000</v>
      </c>
      <c r="E67" t="s">
        <v>124</v>
      </c>
    </row>
    <row r="68" spans="1:5" x14ac:dyDescent="0.25">
      <c r="A68" s="14">
        <v>42503.689039351855</v>
      </c>
      <c r="B68" t="s">
        <v>419</v>
      </c>
      <c r="C68" t="s">
        <v>340</v>
      </c>
      <c r="D68">
        <v>1090000</v>
      </c>
      <c r="E68" t="s">
        <v>123</v>
      </c>
    </row>
    <row r="69" spans="1:5" x14ac:dyDescent="0.25">
      <c r="A69" s="14">
        <v>42503.430335648147</v>
      </c>
      <c r="B69" t="s">
        <v>420</v>
      </c>
      <c r="C69" t="s">
        <v>250</v>
      </c>
      <c r="D69">
        <v>1810000</v>
      </c>
      <c r="E69" t="s">
        <v>129</v>
      </c>
    </row>
    <row r="70" spans="1:5" x14ac:dyDescent="0.25">
      <c r="A70" s="14">
        <v>42503.90011574074</v>
      </c>
      <c r="B70" t="s">
        <v>419</v>
      </c>
      <c r="C70" t="s">
        <v>394</v>
      </c>
      <c r="D70">
        <v>1770000</v>
      </c>
      <c r="E70" t="s">
        <v>122</v>
      </c>
    </row>
    <row r="71" spans="1:5" x14ac:dyDescent="0.25">
      <c r="A71" s="14">
        <v>42503.785960648151</v>
      </c>
      <c r="B71" t="s">
        <v>415</v>
      </c>
      <c r="C71" t="s">
        <v>370</v>
      </c>
      <c r="D71">
        <v>1750000</v>
      </c>
      <c r="E71" t="s">
        <v>141</v>
      </c>
    </row>
    <row r="72" spans="1:5" x14ac:dyDescent="0.25">
      <c r="A72" s="14">
        <v>42503.69190972222</v>
      </c>
      <c r="B72" t="s">
        <v>421</v>
      </c>
      <c r="C72" t="s">
        <v>332</v>
      </c>
      <c r="D72">
        <v>880000</v>
      </c>
      <c r="E72" t="s">
        <v>154</v>
      </c>
    </row>
    <row r="73" spans="1:5" x14ac:dyDescent="0.25">
      <c r="A73" s="14">
        <v>42503.993356481478</v>
      </c>
      <c r="B73" t="s">
        <v>418</v>
      </c>
      <c r="C73" t="s">
        <v>400</v>
      </c>
      <c r="D73">
        <v>1750000</v>
      </c>
      <c r="E73" t="s">
        <v>141</v>
      </c>
    </row>
    <row r="74" spans="1:5" x14ac:dyDescent="0.25">
      <c r="A74" s="14">
        <v>42503.712581018517</v>
      </c>
      <c r="B74" t="s">
        <v>156</v>
      </c>
      <c r="C74" t="s">
        <v>339</v>
      </c>
      <c r="D74">
        <v>950000</v>
      </c>
      <c r="E74" t="s">
        <v>443</v>
      </c>
    </row>
    <row r="75" spans="1:5" x14ac:dyDescent="0.25">
      <c r="A75" s="14">
        <v>42504.058287037034</v>
      </c>
      <c r="B75" t="s">
        <v>63</v>
      </c>
      <c r="C75" t="s">
        <v>410</v>
      </c>
      <c r="D75">
        <v>1780000</v>
      </c>
      <c r="E75" t="s">
        <v>155</v>
      </c>
    </row>
    <row r="76" spans="1:5" x14ac:dyDescent="0.25">
      <c r="A76" s="14">
        <v>42503.467187499999</v>
      </c>
      <c r="B76" t="s">
        <v>419</v>
      </c>
      <c r="C76" t="s">
        <v>269</v>
      </c>
      <c r="D76">
        <v>1090000</v>
      </c>
      <c r="E76" t="s">
        <v>123</v>
      </c>
    </row>
    <row r="77" spans="1:5" x14ac:dyDescent="0.25">
      <c r="A77" s="14">
        <v>42504.0309375</v>
      </c>
      <c r="B77" t="s">
        <v>420</v>
      </c>
      <c r="C77" t="s">
        <v>407</v>
      </c>
      <c r="D77">
        <v>1770000</v>
      </c>
      <c r="E77" t="s">
        <v>122</v>
      </c>
    </row>
    <row r="78" spans="1:5" x14ac:dyDescent="0.25">
      <c r="A78" s="14">
        <v>42503.403622685182</v>
      </c>
      <c r="B78" t="s">
        <v>62</v>
      </c>
      <c r="C78" t="s">
        <v>251</v>
      </c>
      <c r="D78">
        <v>1110000</v>
      </c>
      <c r="E78" t="s">
        <v>440</v>
      </c>
    </row>
    <row r="79" spans="1:5" x14ac:dyDescent="0.25">
      <c r="A79" s="14">
        <v>42503.947534722225</v>
      </c>
      <c r="B79" t="s">
        <v>415</v>
      </c>
      <c r="C79" t="s">
        <v>399</v>
      </c>
      <c r="D79">
        <v>1750000</v>
      </c>
      <c r="E79" t="s">
        <v>141</v>
      </c>
    </row>
    <row r="80" spans="1:5" x14ac:dyDescent="0.25">
      <c r="A80" s="14">
        <v>42503.058321759258</v>
      </c>
      <c r="B80" t="s">
        <v>100</v>
      </c>
      <c r="C80" t="s">
        <v>163</v>
      </c>
      <c r="D80">
        <v>1780000</v>
      </c>
      <c r="E80" t="s">
        <v>155</v>
      </c>
    </row>
    <row r="81" spans="1:5" x14ac:dyDescent="0.25">
      <c r="A81" s="14">
        <v>42503.139849537038</v>
      </c>
      <c r="B81" t="s">
        <v>415</v>
      </c>
      <c r="C81" t="s">
        <v>181</v>
      </c>
      <c r="D81">
        <v>1430000</v>
      </c>
      <c r="E81" t="s">
        <v>437</v>
      </c>
    </row>
    <row r="82" spans="1:5" x14ac:dyDescent="0.25">
      <c r="A82" s="14">
        <v>42503.297407407408</v>
      </c>
      <c r="B82" t="s">
        <v>63</v>
      </c>
      <c r="C82" t="s">
        <v>213</v>
      </c>
      <c r="D82">
        <v>1110000</v>
      </c>
      <c r="E82" t="s">
        <v>440</v>
      </c>
    </row>
    <row r="83" spans="1:5" x14ac:dyDescent="0.25">
      <c r="A83" s="14">
        <v>42503.153923611113</v>
      </c>
      <c r="B83" t="s">
        <v>127</v>
      </c>
      <c r="C83" t="s">
        <v>187</v>
      </c>
      <c r="D83">
        <v>1800000</v>
      </c>
      <c r="E83" t="s">
        <v>124</v>
      </c>
    </row>
    <row r="84" spans="1:5" x14ac:dyDescent="0.25">
      <c r="A84" s="14">
        <v>42503.552442129629</v>
      </c>
      <c r="B84" t="s">
        <v>130</v>
      </c>
      <c r="C84" t="s">
        <v>283</v>
      </c>
      <c r="D84">
        <v>1460000</v>
      </c>
      <c r="E84" t="s">
        <v>439</v>
      </c>
    </row>
    <row r="85" spans="1:5" x14ac:dyDescent="0.25">
      <c r="A85" s="14">
        <v>42503.172361111108</v>
      </c>
      <c r="B85" t="s">
        <v>421</v>
      </c>
      <c r="C85" t="s">
        <v>186</v>
      </c>
      <c r="D85">
        <v>1430000</v>
      </c>
      <c r="E85" t="s">
        <v>437</v>
      </c>
    </row>
    <row r="86" spans="1:5" x14ac:dyDescent="0.25">
      <c r="A86" s="14">
        <v>42503.433530092596</v>
      </c>
      <c r="B86" t="s">
        <v>442</v>
      </c>
      <c r="C86" t="s">
        <v>260</v>
      </c>
      <c r="D86">
        <v>1830000</v>
      </c>
      <c r="E86" t="s">
        <v>125</v>
      </c>
    </row>
    <row r="87" spans="1:5" x14ac:dyDescent="0.25">
      <c r="A87" s="14">
        <v>42503.258472222224</v>
      </c>
      <c r="B87" t="s">
        <v>62</v>
      </c>
      <c r="C87" t="s">
        <v>212</v>
      </c>
      <c r="D87">
        <v>1110000</v>
      </c>
      <c r="E87" t="s">
        <v>440</v>
      </c>
    </row>
    <row r="88" spans="1:5" x14ac:dyDescent="0.25">
      <c r="A88" s="14">
        <v>42503.422731481478</v>
      </c>
      <c r="B88" t="s">
        <v>415</v>
      </c>
      <c r="C88" t="s">
        <v>257</v>
      </c>
      <c r="D88">
        <v>1840000</v>
      </c>
      <c r="E88" t="s">
        <v>131</v>
      </c>
    </row>
    <row r="89" spans="1:5" x14ac:dyDescent="0.25">
      <c r="A89" s="14">
        <v>42503.264166666668</v>
      </c>
      <c r="B89" t="s">
        <v>130</v>
      </c>
      <c r="C89" t="s">
        <v>207</v>
      </c>
      <c r="D89">
        <v>1360000</v>
      </c>
      <c r="E89" t="s">
        <v>436</v>
      </c>
    </row>
    <row r="90" spans="1:5" x14ac:dyDescent="0.25">
      <c r="A90" s="14">
        <v>42503.599641203706</v>
      </c>
      <c r="B90" t="s">
        <v>162</v>
      </c>
      <c r="C90" t="s">
        <v>308</v>
      </c>
      <c r="D90">
        <v>950000</v>
      </c>
      <c r="E90" t="s">
        <v>443</v>
      </c>
    </row>
    <row r="91" spans="1:5" x14ac:dyDescent="0.25">
      <c r="A91" s="14">
        <v>42503.275439814817</v>
      </c>
      <c r="B91" t="s">
        <v>156</v>
      </c>
      <c r="C91" t="s">
        <v>209</v>
      </c>
      <c r="D91">
        <v>1800000</v>
      </c>
      <c r="E91" t="s">
        <v>124</v>
      </c>
    </row>
    <row r="92" spans="1:5" x14ac:dyDescent="0.25">
      <c r="A92" s="14">
        <v>42503.440995370373</v>
      </c>
      <c r="B92" t="s">
        <v>63</v>
      </c>
      <c r="C92" t="s">
        <v>253</v>
      </c>
      <c r="D92">
        <v>1110000</v>
      </c>
      <c r="E92" t="s">
        <v>440</v>
      </c>
    </row>
    <row r="93" spans="1:5" x14ac:dyDescent="0.25">
      <c r="A93" s="14">
        <v>42503.322731481479</v>
      </c>
      <c r="B93" t="s">
        <v>421</v>
      </c>
      <c r="C93" t="s">
        <v>221</v>
      </c>
      <c r="D93">
        <v>1430000</v>
      </c>
      <c r="E93" t="s">
        <v>437</v>
      </c>
    </row>
    <row r="94" spans="1:5" x14ac:dyDescent="0.25">
      <c r="A94" s="14">
        <v>42503.230405092596</v>
      </c>
      <c r="B94" t="s">
        <v>162</v>
      </c>
      <c r="C94" t="s">
        <v>208</v>
      </c>
      <c r="D94">
        <v>1800000</v>
      </c>
      <c r="E94" t="s">
        <v>124</v>
      </c>
    </row>
    <row r="95" spans="1:5" x14ac:dyDescent="0.25">
      <c r="A95" s="14">
        <v>42503.332442129627</v>
      </c>
      <c r="B95" t="s">
        <v>62</v>
      </c>
      <c r="C95" t="s">
        <v>230</v>
      </c>
      <c r="D95">
        <v>1110000</v>
      </c>
      <c r="E95" t="s">
        <v>440</v>
      </c>
    </row>
    <row r="96" spans="1:5" x14ac:dyDescent="0.25">
      <c r="A96" s="14">
        <v>42503.388831018521</v>
      </c>
      <c r="B96" t="s">
        <v>419</v>
      </c>
      <c r="C96" t="s">
        <v>249</v>
      </c>
      <c r="D96">
        <v>1810000</v>
      </c>
      <c r="E96" t="s">
        <v>129</v>
      </c>
    </row>
    <row r="97" spans="1:5" x14ac:dyDescent="0.25">
      <c r="A97" s="14">
        <v>42503.335925925923</v>
      </c>
      <c r="B97" t="s">
        <v>130</v>
      </c>
      <c r="C97" t="s">
        <v>224</v>
      </c>
      <c r="D97">
        <v>1360000</v>
      </c>
      <c r="E97" t="s">
        <v>436</v>
      </c>
    </row>
    <row r="98" spans="1:5" x14ac:dyDescent="0.25">
      <c r="A98" s="14">
        <v>42503.313506944447</v>
      </c>
      <c r="B98" t="s">
        <v>418</v>
      </c>
      <c r="C98" t="s">
        <v>219</v>
      </c>
      <c r="D98">
        <v>1830000</v>
      </c>
      <c r="E98" t="s">
        <v>125</v>
      </c>
    </row>
    <row r="99" spans="1:5" x14ac:dyDescent="0.25">
      <c r="A99" s="14">
        <v>42503.343287037038</v>
      </c>
      <c r="B99" t="s">
        <v>149</v>
      </c>
      <c r="C99" t="s">
        <v>234</v>
      </c>
      <c r="D99">
        <v>1310000</v>
      </c>
      <c r="E99" t="s">
        <v>161</v>
      </c>
    </row>
    <row r="100" spans="1:5" x14ac:dyDescent="0.25">
      <c r="A100" s="14">
        <v>42503.254062499997</v>
      </c>
      <c r="B100" t="s">
        <v>421</v>
      </c>
      <c r="C100" t="s">
        <v>203</v>
      </c>
      <c r="D100">
        <v>1430000</v>
      </c>
      <c r="E100" t="s">
        <v>437</v>
      </c>
    </row>
    <row r="101" spans="1:5" x14ac:dyDescent="0.25">
      <c r="A101" s="14">
        <v>42503.357129629629</v>
      </c>
      <c r="B101" t="s">
        <v>420</v>
      </c>
      <c r="C101" t="s">
        <v>229</v>
      </c>
      <c r="D101">
        <v>1810000</v>
      </c>
      <c r="E101" t="s">
        <v>129</v>
      </c>
    </row>
    <row r="102" spans="1:5" x14ac:dyDescent="0.25">
      <c r="A102" s="14">
        <v>42503.52684027778</v>
      </c>
      <c r="B102" t="s">
        <v>151</v>
      </c>
      <c r="C102" t="s">
        <v>276</v>
      </c>
      <c r="D102">
        <v>1120000</v>
      </c>
      <c r="E102" t="s">
        <v>438</v>
      </c>
    </row>
    <row r="103" spans="1:5" x14ac:dyDescent="0.25">
      <c r="A103" s="14">
        <v>42503.371990740743</v>
      </c>
      <c r="B103" t="s">
        <v>127</v>
      </c>
      <c r="C103" t="s">
        <v>242</v>
      </c>
      <c r="D103">
        <v>1360000</v>
      </c>
      <c r="E103" t="s">
        <v>436</v>
      </c>
    </row>
    <row r="104" spans="1:5" x14ac:dyDescent="0.25">
      <c r="A104" s="14">
        <v>42503.353506944448</v>
      </c>
      <c r="B104" t="s">
        <v>420</v>
      </c>
      <c r="C104" t="s">
        <v>229</v>
      </c>
      <c r="D104">
        <v>1810000</v>
      </c>
      <c r="E104" t="s">
        <v>129</v>
      </c>
    </row>
    <row r="105" spans="1:5" x14ac:dyDescent="0.25">
      <c r="A105" s="14">
        <v>42503.415335648147</v>
      </c>
      <c r="B105" t="s">
        <v>149</v>
      </c>
      <c r="C105" t="s">
        <v>255</v>
      </c>
      <c r="D105">
        <v>1310000</v>
      </c>
      <c r="E105" t="s">
        <v>161</v>
      </c>
    </row>
    <row r="106" spans="1:5" x14ac:dyDescent="0.25">
      <c r="A106" s="14">
        <v>42503.133032407408</v>
      </c>
      <c r="B106" t="s">
        <v>415</v>
      </c>
      <c r="C106" t="s">
        <v>181</v>
      </c>
      <c r="D106">
        <v>1430000</v>
      </c>
      <c r="E106" t="s">
        <v>437</v>
      </c>
    </row>
    <row r="107" spans="1:5" x14ac:dyDescent="0.25">
      <c r="A107" s="14">
        <v>42503.416898148149</v>
      </c>
      <c r="B107" t="s">
        <v>156</v>
      </c>
      <c r="C107" t="s">
        <v>248</v>
      </c>
      <c r="D107">
        <v>1800000</v>
      </c>
      <c r="E107" t="s">
        <v>124</v>
      </c>
    </row>
    <row r="108" spans="1:5" x14ac:dyDescent="0.25">
      <c r="A108" s="14">
        <v>42503.538391203707</v>
      </c>
      <c r="B108" t="s">
        <v>419</v>
      </c>
      <c r="C108" t="s">
        <v>287</v>
      </c>
      <c r="D108">
        <v>1090000</v>
      </c>
      <c r="E108" t="s">
        <v>123</v>
      </c>
    </row>
    <row r="109" spans="1:5" x14ac:dyDescent="0.25">
      <c r="A109" s="14">
        <v>42503.502268518518</v>
      </c>
      <c r="B109" t="s">
        <v>420</v>
      </c>
      <c r="C109" t="s">
        <v>270</v>
      </c>
      <c r="D109">
        <v>1090000</v>
      </c>
      <c r="E109" t="s">
        <v>123</v>
      </c>
    </row>
    <row r="110" spans="1:5" x14ac:dyDescent="0.25">
      <c r="A110" s="14">
        <v>42504.017962962964</v>
      </c>
      <c r="B110" t="s">
        <v>150</v>
      </c>
      <c r="C110" t="s">
        <v>404</v>
      </c>
      <c r="D110">
        <v>1520000</v>
      </c>
      <c r="E110" t="s">
        <v>441</v>
      </c>
    </row>
    <row r="111" spans="1:5" x14ac:dyDescent="0.25">
      <c r="A111" s="14">
        <v>42503.52715277778</v>
      </c>
      <c r="B111" t="s">
        <v>162</v>
      </c>
      <c r="C111" t="s">
        <v>284</v>
      </c>
      <c r="D111">
        <v>950000</v>
      </c>
      <c r="E111" t="s">
        <v>443</v>
      </c>
    </row>
    <row r="112" spans="1:5" x14ac:dyDescent="0.25">
      <c r="A112" s="14">
        <v>42503.974247685182</v>
      </c>
      <c r="B112" t="s">
        <v>63</v>
      </c>
      <c r="C112" t="s">
        <v>398</v>
      </c>
      <c r="D112">
        <v>1780000</v>
      </c>
      <c r="E112" t="s">
        <v>155</v>
      </c>
    </row>
    <row r="113" spans="1:5" x14ac:dyDescent="0.25">
      <c r="A113" s="14">
        <v>42503.697233796294</v>
      </c>
      <c r="B113" t="s">
        <v>62</v>
      </c>
      <c r="C113" t="s">
        <v>344</v>
      </c>
      <c r="D113">
        <v>1740000</v>
      </c>
      <c r="E113" t="s">
        <v>126</v>
      </c>
    </row>
    <row r="114" spans="1:5" x14ac:dyDescent="0.25">
      <c r="A114" s="14">
        <v>42504.016655092593</v>
      </c>
      <c r="B114" t="s">
        <v>150</v>
      </c>
      <c r="C114" t="s">
        <v>404</v>
      </c>
      <c r="D114">
        <v>1520000</v>
      </c>
      <c r="E114" t="s">
        <v>441</v>
      </c>
    </row>
    <row r="115" spans="1:5" x14ac:dyDescent="0.25">
      <c r="A115" s="14">
        <v>42503.596736111111</v>
      </c>
      <c r="B115" t="s">
        <v>151</v>
      </c>
      <c r="C115" t="s">
        <v>296</v>
      </c>
      <c r="D115">
        <v>1120000</v>
      </c>
      <c r="E115" t="s">
        <v>438</v>
      </c>
    </row>
    <row r="116" spans="1:5" x14ac:dyDescent="0.25">
      <c r="A116" s="14">
        <v>42503.94458333333</v>
      </c>
      <c r="B116" t="s">
        <v>420</v>
      </c>
      <c r="C116" t="s">
        <v>396</v>
      </c>
      <c r="D116">
        <v>1770000</v>
      </c>
      <c r="E116" t="s">
        <v>122</v>
      </c>
    </row>
    <row r="117" spans="1:5" x14ac:dyDescent="0.25">
      <c r="A117" s="14">
        <v>42503.641979166663</v>
      </c>
      <c r="B117" t="s">
        <v>156</v>
      </c>
      <c r="C117" t="s">
        <v>309</v>
      </c>
      <c r="D117">
        <v>950000</v>
      </c>
      <c r="E117" t="s">
        <v>443</v>
      </c>
    </row>
    <row r="118" spans="1:5" x14ac:dyDescent="0.25">
      <c r="A118" s="14">
        <v>42503.868194444447</v>
      </c>
      <c r="B118" t="s">
        <v>420</v>
      </c>
      <c r="C118" t="s">
        <v>384</v>
      </c>
      <c r="D118">
        <v>1770000</v>
      </c>
      <c r="E118" t="s">
        <v>122</v>
      </c>
    </row>
    <row r="119" spans="1:5" x14ac:dyDescent="0.25">
      <c r="A119" s="14">
        <v>42503.698171296295</v>
      </c>
      <c r="B119" t="s">
        <v>130</v>
      </c>
      <c r="C119" t="s">
        <v>337</v>
      </c>
      <c r="D119">
        <v>900000</v>
      </c>
      <c r="E119" t="s">
        <v>444</v>
      </c>
    </row>
    <row r="120" spans="1:5" x14ac:dyDescent="0.25">
      <c r="A120" s="14">
        <v>42503.850243055553</v>
      </c>
      <c r="B120" t="s">
        <v>62</v>
      </c>
      <c r="C120" t="s">
        <v>385</v>
      </c>
      <c r="D120">
        <v>1780000</v>
      </c>
      <c r="E120" t="s">
        <v>155</v>
      </c>
    </row>
    <row r="121" spans="1:5" x14ac:dyDescent="0.25">
      <c r="A121" s="14">
        <v>42503.891898148147</v>
      </c>
      <c r="B121" t="s">
        <v>63</v>
      </c>
      <c r="C121" t="s">
        <v>386</v>
      </c>
      <c r="D121">
        <v>1780000</v>
      </c>
      <c r="E121" t="s">
        <v>155</v>
      </c>
    </row>
    <row r="122" spans="1:5" x14ac:dyDescent="0.25">
      <c r="A122" s="14">
        <v>42503.827164351853</v>
      </c>
      <c r="B122" t="s">
        <v>419</v>
      </c>
      <c r="C122" t="s">
        <v>382</v>
      </c>
      <c r="D122">
        <v>1770000</v>
      </c>
      <c r="E122" t="s">
        <v>122</v>
      </c>
    </row>
    <row r="123" spans="1:5" x14ac:dyDescent="0.25">
      <c r="A123" s="14">
        <v>42503.568981481483</v>
      </c>
      <c r="B123" t="s">
        <v>415</v>
      </c>
      <c r="C123" t="s">
        <v>298</v>
      </c>
      <c r="D123">
        <v>1840000</v>
      </c>
      <c r="E123" t="s">
        <v>131</v>
      </c>
    </row>
    <row r="124" spans="1:5" x14ac:dyDescent="0.25">
      <c r="A124" s="14">
        <v>42503.823379629626</v>
      </c>
      <c r="B124" t="s">
        <v>418</v>
      </c>
      <c r="C124" t="s">
        <v>372</v>
      </c>
      <c r="D124">
        <v>1750000</v>
      </c>
      <c r="E124" t="s">
        <v>141</v>
      </c>
    </row>
    <row r="125" spans="1:5" x14ac:dyDescent="0.25">
      <c r="A125" s="14">
        <v>42503.660578703704</v>
      </c>
      <c r="B125" t="s">
        <v>63</v>
      </c>
      <c r="C125" t="s">
        <v>320</v>
      </c>
      <c r="D125">
        <v>1740000</v>
      </c>
      <c r="E125" t="s">
        <v>126</v>
      </c>
    </row>
    <row r="126" spans="1:5" x14ac:dyDescent="0.25">
      <c r="A126" s="14">
        <v>42503.808587962965</v>
      </c>
      <c r="B126" t="s">
        <v>63</v>
      </c>
      <c r="C126" t="s">
        <v>369</v>
      </c>
      <c r="D126">
        <v>1780000</v>
      </c>
      <c r="E126" t="s">
        <v>155</v>
      </c>
    </row>
    <row r="127" spans="1:5" x14ac:dyDescent="0.25">
      <c r="A127" s="14">
        <v>42503.676828703705</v>
      </c>
      <c r="B127" t="s">
        <v>420</v>
      </c>
      <c r="C127" t="s">
        <v>312</v>
      </c>
      <c r="D127">
        <v>1090000</v>
      </c>
      <c r="E127" t="s">
        <v>123</v>
      </c>
    </row>
    <row r="128" spans="1:5" x14ac:dyDescent="0.25">
      <c r="A128" s="14">
        <v>42503.793680555558</v>
      </c>
      <c r="B128" t="s">
        <v>130</v>
      </c>
      <c r="C128" t="s">
        <v>359</v>
      </c>
      <c r="D128">
        <v>1760000</v>
      </c>
      <c r="E128" t="s">
        <v>121</v>
      </c>
    </row>
    <row r="129" spans="1:5" x14ac:dyDescent="0.25">
      <c r="A129" s="14">
        <v>42503.734513888892</v>
      </c>
      <c r="B129" t="s">
        <v>420</v>
      </c>
      <c r="C129" t="s">
        <v>341</v>
      </c>
      <c r="D129">
        <v>1090000</v>
      </c>
      <c r="E129" t="s">
        <v>123</v>
      </c>
    </row>
    <row r="130" spans="1:5" x14ac:dyDescent="0.25">
      <c r="A130" s="14">
        <v>42503.704236111109</v>
      </c>
      <c r="B130" t="s">
        <v>149</v>
      </c>
      <c r="C130" t="s">
        <v>348</v>
      </c>
      <c r="D130">
        <v>1120000</v>
      </c>
      <c r="E130" t="s">
        <v>438</v>
      </c>
    </row>
    <row r="131" spans="1:5" x14ac:dyDescent="0.25">
      <c r="A131" s="14">
        <v>42503.843344907407</v>
      </c>
      <c r="B131" t="s">
        <v>418</v>
      </c>
      <c r="C131" t="s">
        <v>372</v>
      </c>
      <c r="D131">
        <v>1750000</v>
      </c>
      <c r="E131" t="s">
        <v>141</v>
      </c>
    </row>
    <row r="132" spans="1:5" x14ac:dyDescent="0.25">
      <c r="A132" s="14">
        <v>42503.673842592594</v>
      </c>
      <c r="B132" t="s">
        <v>162</v>
      </c>
      <c r="C132" t="s">
        <v>338</v>
      </c>
      <c r="D132">
        <v>950000</v>
      </c>
      <c r="E132" t="s">
        <v>443</v>
      </c>
    </row>
    <row r="133" spans="1:5" x14ac:dyDescent="0.25">
      <c r="A133" s="14">
        <v>42504.070937500001</v>
      </c>
      <c r="B133" t="s">
        <v>418</v>
      </c>
      <c r="C133" t="s">
        <v>413</v>
      </c>
      <c r="D133">
        <v>1750000</v>
      </c>
      <c r="E133" t="s">
        <v>141</v>
      </c>
    </row>
    <row r="134" spans="1:5" x14ac:dyDescent="0.25">
      <c r="A134" s="14">
        <v>42503.661944444444</v>
      </c>
      <c r="B134" t="s">
        <v>127</v>
      </c>
      <c r="C134" t="s">
        <v>445</v>
      </c>
      <c r="D134">
        <v>900000</v>
      </c>
      <c r="E134" t="s">
        <v>444</v>
      </c>
    </row>
    <row r="135" spans="1:5" x14ac:dyDescent="0.25">
      <c r="A135" s="14">
        <v>42503.557187500002</v>
      </c>
      <c r="B135" t="s">
        <v>149</v>
      </c>
      <c r="C135" t="s">
        <v>294</v>
      </c>
      <c r="D135">
        <v>1120000</v>
      </c>
      <c r="E135" t="s">
        <v>438</v>
      </c>
    </row>
    <row r="136" spans="1:5" x14ac:dyDescent="0.25">
      <c r="A136" s="14">
        <v>42503.631122685183</v>
      </c>
      <c r="B136" t="s">
        <v>130</v>
      </c>
      <c r="C136" t="s">
        <v>306</v>
      </c>
      <c r="D136">
        <v>1820000</v>
      </c>
      <c r="E136" t="s">
        <v>128</v>
      </c>
    </row>
    <row r="137" spans="1:5" x14ac:dyDescent="0.25">
      <c r="A137" s="14">
        <v>42503.663553240738</v>
      </c>
      <c r="B137" t="s">
        <v>127</v>
      </c>
      <c r="C137" t="s">
        <v>335</v>
      </c>
      <c r="D137">
        <v>900000</v>
      </c>
      <c r="E137" t="s">
        <v>444</v>
      </c>
    </row>
    <row r="138" spans="1:5" x14ac:dyDescent="0.25">
      <c r="A138" s="14">
        <v>42503.621180555558</v>
      </c>
      <c r="B138" t="s">
        <v>62</v>
      </c>
      <c r="C138" t="s">
        <v>316</v>
      </c>
      <c r="D138">
        <v>1740000</v>
      </c>
      <c r="E138" t="s">
        <v>126</v>
      </c>
    </row>
    <row r="139" spans="1:5" x14ac:dyDescent="0.25">
      <c r="A139" s="14">
        <v>42503.751712962963</v>
      </c>
      <c r="B139" t="s">
        <v>418</v>
      </c>
      <c r="C139" t="s">
        <v>354</v>
      </c>
      <c r="D139">
        <v>1840000</v>
      </c>
      <c r="E139" t="s">
        <v>131</v>
      </c>
    </row>
    <row r="140" spans="1:5" x14ac:dyDescent="0.25">
      <c r="A140" s="14">
        <v>42503.57984953704</v>
      </c>
      <c r="B140" t="s">
        <v>442</v>
      </c>
      <c r="C140" t="s">
        <v>301</v>
      </c>
      <c r="D140">
        <v>880000</v>
      </c>
      <c r="E140" t="s">
        <v>154</v>
      </c>
    </row>
    <row r="141" spans="1:5" x14ac:dyDescent="0.25">
      <c r="A141" s="14">
        <v>42503.888726851852</v>
      </c>
      <c r="B141" t="s">
        <v>152</v>
      </c>
      <c r="C141" t="s">
        <v>389</v>
      </c>
      <c r="D141">
        <v>1520000</v>
      </c>
      <c r="E141" t="s">
        <v>441</v>
      </c>
    </row>
    <row r="142" spans="1:5" x14ac:dyDescent="0.25">
      <c r="A142" s="14">
        <v>42503.575613425928</v>
      </c>
      <c r="B142" t="s">
        <v>420</v>
      </c>
      <c r="C142" t="s">
        <v>289</v>
      </c>
      <c r="D142">
        <v>1090000</v>
      </c>
      <c r="E142" t="s">
        <v>123</v>
      </c>
    </row>
    <row r="143" spans="1:5" x14ac:dyDescent="0.25">
      <c r="A143" s="14">
        <v>42503.591770833336</v>
      </c>
      <c r="B143" t="s">
        <v>127</v>
      </c>
      <c r="C143" t="s">
        <v>304</v>
      </c>
      <c r="D143">
        <v>1820000</v>
      </c>
      <c r="E143" t="s">
        <v>128</v>
      </c>
    </row>
    <row r="144" spans="1:5" x14ac:dyDescent="0.25">
      <c r="A144" s="14">
        <v>42503.453402777777</v>
      </c>
      <c r="B144" t="s">
        <v>162</v>
      </c>
      <c r="C144" t="s">
        <v>267</v>
      </c>
      <c r="D144">
        <v>1360000</v>
      </c>
      <c r="E144" t="s">
        <v>436</v>
      </c>
    </row>
    <row r="145" spans="1:5" x14ac:dyDescent="0.25">
      <c r="A145" s="14">
        <v>42503.632025462961</v>
      </c>
      <c r="B145" t="s">
        <v>149</v>
      </c>
      <c r="C145" t="s">
        <v>322</v>
      </c>
      <c r="D145">
        <v>1120000</v>
      </c>
      <c r="E145" t="s">
        <v>438</v>
      </c>
    </row>
    <row r="146" spans="1:5" x14ac:dyDescent="0.25">
      <c r="A146" s="14">
        <v>42503.358703703707</v>
      </c>
      <c r="B146" t="s">
        <v>442</v>
      </c>
      <c r="C146" t="s">
        <v>240</v>
      </c>
      <c r="D146">
        <v>1430000</v>
      </c>
      <c r="E146" t="s">
        <v>437</v>
      </c>
    </row>
    <row r="147" spans="1:5" x14ac:dyDescent="0.25">
      <c r="A147" s="14">
        <v>42503.45416666667</v>
      </c>
      <c r="B147" t="s">
        <v>151</v>
      </c>
      <c r="C147" t="s">
        <v>256</v>
      </c>
      <c r="D147">
        <v>1310000</v>
      </c>
      <c r="E147" t="s">
        <v>161</v>
      </c>
    </row>
    <row r="148" spans="1:5" x14ac:dyDescent="0.25">
      <c r="A148" s="14">
        <v>42503.350439814814</v>
      </c>
      <c r="B148" t="s">
        <v>415</v>
      </c>
      <c r="C148" t="s">
        <v>238</v>
      </c>
      <c r="D148">
        <v>1830000</v>
      </c>
      <c r="E148" t="s">
        <v>125</v>
      </c>
    </row>
    <row r="149" spans="1:5" x14ac:dyDescent="0.25">
      <c r="A149" s="14">
        <v>42503.617407407408</v>
      </c>
      <c r="B149" t="s">
        <v>421</v>
      </c>
      <c r="C149" t="s">
        <v>302</v>
      </c>
      <c r="D149">
        <v>880000</v>
      </c>
      <c r="E149" t="s">
        <v>154</v>
      </c>
    </row>
    <row r="150" spans="1:5" x14ac:dyDescent="0.25">
      <c r="A150" s="14">
        <v>42503.347245370373</v>
      </c>
      <c r="B150" t="s">
        <v>156</v>
      </c>
      <c r="C150" t="s">
        <v>227</v>
      </c>
      <c r="D150">
        <v>1800000</v>
      </c>
      <c r="E150" t="s">
        <v>124</v>
      </c>
    </row>
    <row r="151" spans="1:5" x14ac:dyDescent="0.25">
      <c r="A151" s="14">
        <v>42503.65388888889</v>
      </c>
      <c r="B151" t="s">
        <v>442</v>
      </c>
      <c r="C151" t="s">
        <v>330</v>
      </c>
      <c r="D151">
        <v>880000</v>
      </c>
      <c r="E151" t="s">
        <v>154</v>
      </c>
    </row>
    <row r="152" spans="1:5" x14ac:dyDescent="0.25">
      <c r="A152" s="14">
        <v>42503.16065972222</v>
      </c>
      <c r="B152" t="s">
        <v>127</v>
      </c>
      <c r="C152" t="s">
        <v>187</v>
      </c>
      <c r="D152">
        <v>1800000</v>
      </c>
      <c r="E152" t="s">
        <v>124</v>
      </c>
    </row>
    <row r="153" spans="1:5" x14ac:dyDescent="0.25">
      <c r="A153" s="14">
        <v>42503.679120370369</v>
      </c>
      <c r="B153" t="s">
        <v>418</v>
      </c>
      <c r="C153" t="s">
        <v>328</v>
      </c>
      <c r="D153">
        <v>1840000</v>
      </c>
      <c r="E153" t="s">
        <v>131</v>
      </c>
    </row>
    <row r="154" spans="1:5" x14ac:dyDescent="0.25">
      <c r="A154" s="14">
        <v>42503.486747685187</v>
      </c>
      <c r="B154" t="s">
        <v>149</v>
      </c>
      <c r="C154" t="s">
        <v>275</v>
      </c>
      <c r="D154">
        <v>1120000</v>
      </c>
      <c r="E154" t="s">
        <v>438</v>
      </c>
    </row>
    <row r="155" spans="1:5" x14ac:dyDescent="0.25">
      <c r="A155" s="14">
        <v>42503.912557870368</v>
      </c>
      <c r="B155" t="s">
        <v>130</v>
      </c>
      <c r="C155" t="s">
        <v>379</v>
      </c>
      <c r="D155">
        <v>1760000</v>
      </c>
      <c r="E155" t="s">
        <v>121</v>
      </c>
    </row>
    <row r="156" spans="1:5" x14ac:dyDescent="0.25">
      <c r="A156" s="14">
        <v>42503.473900462966</v>
      </c>
      <c r="B156" t="s">
        <v>421</v>
      </c>
      <c r="C156" t="s">
        <v>262</v>
      </c>
      <c r="D156">
        <v>1830000</v>
      </c>
      <c r="E156" t="s">
        <v>125</v>
      </c>
    </row>
    <row r="157" spans="1:5" x14ac:dyDescent="0.25">
      <c r="A157" s="14">
        <v>42504.031168981484</v>
      </c>
      <c r="B157" t="s">
        <v>415</v>
      </c>
      <c r="C157" t="s">
        <v>412</v>
      </c>
      <c r="D157">
        <v>1750000</v>
      </c>
      <c r="E157" t="s">
        <v>141</v>
      </c>
    </row>
    <row r="158" spans="1:5" x14ac:dyDescent="0.25">
      <c r="A158" s="14">
        <v>42503.358020833337</v>
      </c>
      <c r="B158" t="s">
        <v>420</v>
      </c>
      <c r="C158" t="s">
        <v>229</v>
      </c>
      <c r="D158">
        <v>1810000</v>
      </c>
      <c r="E158" t="s">
        <v>129</v>
      </c>
    </row>
    <row r="159" spans="1:5" x14ac:dyDescent="0.25">
      <c r="A159" s="14">
        <v>42503.432025462964</v>
      </c>
      <c r="B159" t="s">
        <v>420</v>
      </c>
      <c r="C159" t="s">
        <v>250</v>
      </c>
      <c r="D159">
        <v>1810000</v>
      </c>
      <c r="E159" t="s">
        <v>129</v>
      </c>
    </row>
    <row r="160" spans="1:5" x14ac:dyDescent="0.25">
      <c r="A160" s="14">
        <v>42503.355902777781</v>
      </c>
      <c r="B160" t="s">
        <v>420</v>
      </c>
      <c r="C160" t="s">
        <v>229</v>
      </c>
      <c r="D160">
        <v>1810000</v>
      </c>
      <c r="E160" t="s">
        <v>129</v>
      </c>
    </row>
    <row r="161" spans="1:5" x14ac:dyDescent="0.25">
      <c r="A161" s="14">
        <v>42503.605613425927</v>
      </c>
      <c r="B161" t="s">
        <v>418</v>
      </c>
      <c r="C161" t="s">
        <v>299</v>
      </c>
      <c r="D161">
        <v>1840000</v>
      </c>
      <c r="E161" t="s">
        <v>131</v>
      </c>
    </row>
    <row r="162" spans="1:5" x14ac:dyDescent="0.25">
      <c r="A162" s="14">
        <v>42503.320914351854</v>
      </c>
      <c r="B162" t="s">
        <v>419</v>
      </c>
      <c r="C162" t="s">
        <v>228</v>
      </c>
      <c r="D162">
        <v>1810000</v>
      </c>
      <c r="E162" t="s">
        <v>129</v>
      </c>
    </row>
    <row r="163" spans="1:5" x14ac:dyDescent="0.25">
      <c r="A163" s="14">
        <v>42503.988356481481</v>
      </c>
      <c r="B163" t="s">
        <v>419</v>
      </c>
      <c r="C163" t="s">
        <v>406</v>
      </c>
      <c r="D163">
        <v>1770000</v>
      </c>
      <c r="E163" t="s">
        <v>122</v>
      </c>
    </row>
    <row r="164" spans="1:5" x14ac:dyDescent="0.25">
      <c r="A164" s="14">
        <v>42503.493090277778</v>
      </c>
      <c r="B164" t="s">
        <v>156</v>
      </c>
      <c r="C164" t="s">
        <v>268</v>
      </c>
      <c r="D164">
        <v>1360000</v>
      </c>
      <c r="E164" t="s">
        <v>436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42503</v>
      </c>
      <c r="B2" s="10"/>
      <c r="C2" s="37">
        <v>50</v>
      </c>
      <c r="F2" t="s">
        <v>97</v>
      </c>
    </row>
    <row r="3" spans="1:6" x14ac:dyDescent="0.25">
      <c r="F3" t="s">
        <v>98</v>
      </c>
    </row>
    <row r="4" spans="1:6" x14ac:dyDescent="0.25">
      <c r="F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2016-05-16T16:08:58Z</dcterms:modified>
</cp:coreProperties>
</file>