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Enforcements!$A$2:$N$74</definedName>
    <definedName name="_xlnm._FilterDatabase" localSheetId="0" hidden="1">'Train Runs'!$A$2:$AC$150</definedName>
    <definedName name="Denver_Train_Runs_04122016" localSheetId="0">'Train Runs'!$A$2:$J$156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U4" i="1" s="1"/>
  <c r="S4" i="1" s="1"/>
  <c r="T5" i="1"/>
  <c r="U5" i="1"/>
  <c r="S5" i="1" s="1"/>
  <c r="T6" i="1"/>
  <c r="U6" i="1"/>
  <c r="S6" i="1" s="1"/>
  <c r="S7" i="1"/>
  <c r="T7" i="1"/>
  <c r="U7" i="1"/>
  <c r="T8" i="1"/>
  <c r="U8" i="1" s="1"/>
  <c r="S8" i="1" s="1"/>
  <c r="T9" i="1"/>
  <c r="U9" i="1"/>
  <c r="S9" i="1" s="1"/>
  <c r="T10" i="1"/>
  <c r="U10" i="1" s="1"/>
  <c r="S10" i="1" s="1"/>
  <c r="S11" i="1"/>
  <c r="T11" i="1"/>
  <c r="U11" i="1"/>
  <c r="T12" i="1"/>
  <c r="U12" i="1" s="1"/>
  <c r="S12" i="1" s="1"/>
  <c r="T13" i="1"/>
  <c r="U13" i="1"/>
  <c r="S13" i="1" s="1"/>
  <c r="T14" i="1"/>
  <c r="U14" i="1" s="1"/>
  <c r="S14" i="1" s="1"/>
  <c r="S15" i="1"/>
  <c r="T15" i="1"/>
  <c r="U15" i="1"/>
  <c r="T16" i="1"/>
  <c r="U16" i="1" s="1"/>
  <c r="S16" i="1" s="1"/>
  <c r="T17" i="1"/>
  <c r="U17" i="1"/>
  <c r="S17" i="1" s="1"/>
  <c r="T18" i="1"/>
  <c r="U18" i="1" s="1"/>
  <c r="S18" i="1" s="1"/>
  <c r="S19" i="1"/>
  <c r="T19" i="1"/>
  <c r="U19" i="1"/>
  <c r="T20" i="1"/>
  <c r="U20" i="1" s="1"/>
  <c r="S20" i="1" s="1"/>
  <c r="T21" i="1"/>
  <c r="U21" i="1"/>
  <c r="S21" i="1" s="1"/>
  <c r="T22" i="1"/>
  <c r="U22" i="1" s="1"/>
  <c r="S22" i="1" s="1"/>
  <c r="S23" i="1"/>
  <c r="T23" i="1"/>
  <c r="U23" i="1"/>
  <c r="T24" i="1"/>
  <c r="U24" i="1" s="1"/>
  <c r="S24" i="1" s="1"/>
  <c r="T25" i="1"/>
  <c r="U25" i="1"/>
  <c r="S25" i="1" s="1"/>
  <c r="T26" i="1"/>
  <c r="U26" i="1" s="1"/>
  <c r="S26" i="1" s="1"/>
  <c r="S27" i="1"/>
  <c r="T27" i="1"/>
  <c r="U27" i="1"/>
  <c r="T28" i="1"/>
  <c r="U28" i="1" s="1"/>
  <c r="S28" i="1" s="1"/>
  <c r="T29" i="1"/>
  <c r="U29" i="1"/>
  <c r="S29" i="1" s="1"/>
  <c r="T30" i="1"/>
  <c r="U30" i="1" s="1"/>
  <c r="S30" i="1" s="1"/>
  <c r="S31" i="1"/>
  <c r="T31" i="1"/>
  <c r="U31" i="1"/>
  <c r="T32" i="1"/>
  <c r="U32" i="1" s="1"/>
  <c r="S32" i="1" s="1"/>
  <c r="T33" i="1"/>
  <c r="U33" i="1"/>
  <c r="S33" i="1" s="1"/>
  <c r="T34" i="1"/>
  <c r="U34" i="1" s="1"/>
  <c r="S34" i="1" s="1"/>
  <c r="S35" i="1"/>
  <c r="T35" i="1"/>
  <c r="U35" i="1"/>
  <c r="T36" i="1"/>
  <c r="U36" i="1" s="1"/>
  <c r="S36" i="1" s="1"/>
  <c r="T37" i="1"/>
  <c r="U37" i="1"/>
  <c r="S37" i="1" s="1"/>
  <c r="T38" i="1"/>
  <c r="U38" i="1" s="1"/>
  <c r="S38" i="1" s="1"/>
  <c r="S39" i="1"/>
  <c r="T39" i="1"/>
  <c r="U39" i="1"/>
  <c r="T40" i="1"/>
  <c r="U40" i="1" s="1"/>
  <c r="S40" i="1" s="1"/>
  <c r="T41" i="1"/>
  <c r="U41" i="1"/>
  <c r="S41" i="1" s="1"/>
  <c r="T42" i="1"/>
  <c r="U42" i="1" s="1"/>
  <c r="S42" i="1" s="1"/>
  <c r="S43" i="1"/>
  <c r="T43" i="1"/>
  <c r="U43" i="1"/>
  <c r="T44" i="1"/>
  <c r="U44" i="1" s="1"/>
  <c r="S44" i="1" s="1"/>
  <c r="T45" i="1"/>
  <c r="U45" i="1"/>
  <c r="S45" i="1" s="1"/>
  <c r="T46" i="1"/>
  <c r="U46" i="1" s="1"/>
  <c r="S46" i="1" s="1"/>
  <c r="S47" i="1"/>
  <c r="T47" i="1"/>
  <c r="U47" i="1"/>
  <c r="T48" i="1"/>
  <c r="U48" i="1" s="1"/>
  <c r="S48" i="1" s="1"/>
  <c r="T49" i="1"/>
  <c r="U49" i="1"/>
  <c r="S49" i="1" s="1"/>
  <c r="T50" i="1"/>
  <c r="U50" i="1" s="1"/>
  <c r="S50" i="1" s="1"/>
  <c r="S51" i="1"/>
  <c r="T51" i="1"/>
  <c r="U51" i="1"/>
  <c r="T52" i="1"/>
  <c r="U52" i="1" s="1"/>
  <c r="S52" i="1" s="1"/>
  <c r="T53" i="1"/>
  <c r="U53" i="1"/>
  <c r="S53" i="1" s="1"/>
  <c r="T54" i="1"/>
  <c r="U54" i="1" s="1"/>
  <c r="S54" i="1" s="1"/>
  <c r="S55" i="1"/>
  <c r="T55" i="1"/>
  <c r="U55" i="1"/>
  <c r="T56" i="1"/>
  <c r="U56" i="1" s="1"/>
  <c r="S56" i="1" s="1"/>
  <c r="T57" i="1"/>
  <c r="U57" i="1"/>
  <c r="S57" i="1" s="1"/>
  <c r="T58" i="1"/>
  <c r="U58" i="1" s="1"/>
  <c r="S58" i="1" s="1"/>
  <c r="S59" i="1"/>
  <c r="T59" i="1"/>
  <c r="U59" i="1"/>
  <c r="T60" i="1"/>
  <c r="U60" i="1" s="1"/>
  <c r="S60" i="1" s="1"/>
  <c r="T61" i="1"/>
  <c r="U61" i="1"/>
  <c r="S61" i="1" s="1"/>
  <c r="T62" i="1"/>
  <c r="U62" i="1" s="1"/>
  <c r="S62" i="1" s="1"/>
  <c r="S63" i="1"/>
  <c r="T63" i="1"/>
  <c r="U63" i="1"/>
  <c r="T64" i="1"/>
  <c r="U64" i="1" s="1"/>
  <c r="S64" i="1" s="1"/>
  <c r="T65" i="1"/>
  <c r="U65" i="1"/>
  <c r="S65" i="1" s="1"/>
  <c r="T66" i="1"/>
  <c r="U66" i="1" s="1"/>
  <c r="S66" i="1" s="1"/>
  <c r="S67" i="1"/>
  <c r="T67" i="1"/>
  <c r="U67" i="1"/>
  <c r="T68" i="1"/>
  <c r="U68" i="1" s="1"/>
  <c r="S68" i="1" s="1"/>
  <c r="T69" i="1"/>
  <c r="U69" i="1"/>
  <c r="S69" i="1" s="1"/>
  <c r="T70" i="1"/>
  <c r="U70" i="1" s="1"/>
  <c r="S70" i="1" s="1"/>
  <c r="S71" i="1"/>
  <c r="T71" i="1"/>
  <c r="U71" i="1"/>
  <c r="T72" i="1"/>
  <c r="U72" i="1" s="1"/>
  <c r="S72" i="1" s="1"/>
  <c r="T73" i="1"/>
  <c r="U73" i="1"/>
  <c r="S73" i="1" s="1"/>
  <c r="T74" i="1"/>
  <c r="U74" i="1" s="1"/>
  <c r="S74" i="1" s="1"/>
  <c r="S75" i="1"/>
  <c r="T75" i="1"/>
  <c r="U75" i="1"/>
  <c r="T76" i="1"/>
  <c r="U76" i="1" s="1"/>
  <c r="S76" i="1" s="1"/>
  <c r="T77" i="1"/>
  <c r="U77" i="1"/>
  <c r="S77" i="1" s="1"/>
  <c r="T78" i="1"/>
  <c r="U78" i="1" s="1"/>
  <c r="S78" i="1" s="1"/>
  <c r="S79" i="1"/>
  <c r="T79" i="1"/>
  <c r="U79" i="1"/>
  <c r="T80" i="1"/>
  <c r="U80" i="1" s="1"/>
  <c r="S80" i="1" s="1"/>
  <c r="T81" i="1"/>
  <c r="U81" i="1"/>
  <c r="S81" i="1" s="1"/>
  <c r="T82" i="1"/>
  <c r="U82" i="1" s="1"/>
  <c r="S82" i="1" s="1"/>
  <c r="S83" i="1"/>
  <c r="T83" i="1"/>
  <c r="U83" i="1"/>
  <c r="T84" i="1"/>
  <c r="U84" i="1" s="1"/>
  <c r="S84" i="1" s="1"/>
  <c r="T85" i="1"/>
  <c r="U85" i="1"/>
  <c r="S85" i="1" s="1"/>
  <c r="T86" i="1"/>
  <c r="U86" i="1" s="1"/>
  <c r="S86" i="1" s="1"/>
  <c r="S87" i="1"/>
  <c r="T87" i="1"/>
  <c r="U87" i="1"/>
  <c r="T88" i="1"/>
  <c r="U88" i="1" s="1"/>
  <c r="S88" i="1" s="1"/>
  <c r="T89" i="1"/>
  <c r="U89" i="1"/>
  <c r="S89" i="1" s="1"/>
  <c r="T90" i="1"/>
  <c r="U90" i="1" s="1"/>
  <c r="S90" i="1" s="1"/>
  <c r="S91" i="1"/>
  <c r="T91" i="1"/>
  <c r="U91" i="1"/>
  <c r="T92" i="1"/>
  <c r="U92" i="1" s="1"/>
  <c r="S92" i="1" s="1"/>
  <c r="T93" i="1"/>
  <c r="U93" i="1"/>
  <c r="S93" i="1" s="1"/>
  <c r="T94" i="1"/>
  <c r="U94" i="1" s="1"/>
  <c r="S94" i="1" s="1"/>
  <c r="S95" i="1"/>
  <c r="T95" i="1"/>
  <c r="U95" i="1"/>
  <c r="T96" i="1"/>
  <c r="U96" i="1" s="1"/>
  <c r="S96" i="1" s="1"/>
  <c r="T97" i="1"/>
  <c r="U97" i="1"/>
  <c r="S97" i="1" s="1"/>
  <c r="T98" i="1"/>
  <c r="U98" i="1" s="1"/>
  <c r="S98" i="1" s="1"/>
  <c r="S99" i="1"/>
  <c r="T99" i="1"/>
  <c r="U99" i="1"/>
  <c r="T100" i="1"/>
  <c r="U100" i="1" s="1"/>
  <c r="S100" i="1" s="1"/>
  <c r="T101" i="1"/>
  <c r="U101" i="1"/>
  <c r="S101" i="1" s="1"/>
  <c r="T102" i="1"/>
  <c r="U102" i="1" s="1"/>
  <c r="S102" i="1" s="1"/>
  <c r="S103" i="1"/>
  <c r="T103" i="1"/>
  <c r="U103" i="1"/>
  <c r="T104" i="1"/>
  <c r="U104" i="1" s="1"/>
  <c r="S104" i="1" s="1"/>
  <c r="T105" i="1"/>
  <c r="U105" i="1"/>
  <c r="S105" i="1" s="1"/>
  <c r="T106" i="1"/>
  <c r="U106" i="1" s="1"/>
  <c r="S106" i="1" s="1"/>
  <c r="S107" i="1"/>
  <c r="T107" i="1"/>
  <c r="U107" i="1"/>
  <c r="T108" i="1"/>
  <c r="U108" i="1" s="1"/>
  <c r="S108" i="1" s="1"/>
  <c r="T109" i="1"/>
  <c r="U109" i="1"/>
  <c r="S109" i="1" s="1"/>
  <c r="T110" i="1"/>
  <c r="U110" i="1" s="1"/>
  <c r="S110" i="1" s="1"/>
  <c r="S111" i="1"/>
  <c r="T111" i="1"/>
  <c r="U111" i="1"/>
  <c r="T112" i="1"/>
  <c r="U112" i="1" s="1"/>
  <c r="S112" i="1" s="1"/>
  <c r="T113" i="1"/>
  <c r="U113" i="1"/>
  <c r="S113" i="1" s="1"/>
  <c r="T114" i="1"/>
  <c r="U114" i="1" s="1"/>
  <c r="S114" i="1" s="1"/>
  <c r="S115" i="1"/>
  <c r="T115" i="1"/>
  <c r="U115" i="1"/>
  <c r="T116" i="1"/>
  <c r="U116" i="1" s="1"/>
  <c r="S116" i="1" s="1"/>
  <c r="T117" i="1"/>
  <c r="U117" i="1"/>
  <c r="S117" i="1" s="1"/>
  <c r="T118" i="1"/>
  <c r="U118" i="1" s="1"/>
  <c r="S118" i="1" s="1"/>
  <c r="S119" i="1"/>
  <c r="T119" i="1"/>
  <c r="U119" i="1"/>
  <c r="T120" i="1"/>
  <c r="U120" i="1" s="1"/>
  <c r="S120" i="1" s="1"/>
  <c r="T121" i="1"/>
  <c r="U121" i="1"/>
  <c r="S121" i="1" s="1"/>
  <c r="T122" i="1"/>
  <c r="U122" i="1" s="1"/>
  <c r="S122" i="1" s="1"/>
  <c r="S123" i="1"/>
  <c r="T123" i="1"/>
  <c r="U123" i="1"/>
  <c r="T124" i="1"/>
  <c r="U124" i="1" s="1"/>
  <c r="S124" i="1" s="1"/>
  <c r="T125" i="1"/>
  <c r="U125" i="1"/>
  <c r="S125" i="1" s="1"/>
  <c r="T126" i="1"/>
  <c r="U126" i="1" s="1"/>
  <c r="S126" i="1" s="1"/>
  <c r="S127" i="1"/>
  <c r="T127" i="1"/>
  <c r="U127" i="1"/>
  <c r="T128" i="1"/>
  <c r="U128" i="1" s="1"/>
  <c r="S128" i="1" s="1"/>
  <c r="T129" i="1"/>
  <c r="U129" i="1"/>
  <c r="S129" i="1" s="1"/>
  <c r="T130" i="1"/>
  <c r="U130" i="1" s="1"/>
  <c r="S130" i="1" s="1"/>
  <c r="S131" i="1"/>
  <c r="T131" i="1"/>
  <c r="U131" i="1"/>
  <c r="T132" i="1"/>
  <c r="U132" i="1" s="1"/>
  <c r="S132" i="1" s="1"/>
  <c r="T133" i="1"/>
  <c r="U133" i="1"/>
  <c r="S133" i="1" s="1"/>
  <c r="T134" i="1"/>
  <c r="U134" i="1" s="1"/>
  <c r="S134" i="1" s="1"/>
  <c r="S135" i="1"/>
  <c r="T135" i="1"/>
  <c r="U135" i="1"/>
  <c r="T136" i="1"/>
  <c r="U136" i="1" s="1"/>
  <c r="S136" i="1" s="1"/>
  <c r="T137" i="1"/>
  <c r="U137" i="1"/>
  <c r="S137" i="1" s="1"/>
  <c r="T138" i="1"/>
  <c r="U138" i="1" s="1"/>
  <c r="S138" i="1" s="1"/>
  <c r="S139" i="1"/>
  <c r="T139" i="1"/>
  <c r="U139" i="1"/>
  <c r="T140" i="1"/>
  <c r="U140" i="1" s="1"/>
  <c r="S140" i="1" s="1"/>
  <c r="T141" i="1"/>
  <c r="U141" i="1"/>
  <c r="S141" i="1" s="1"/>
  <c r="T142" i="1"/>
  <c r="U142" i="1" s="1"/>
  <c r="S142" i="1" s="1"/>
  <c r="S143" i="1"/>
  <c r="T143" i="1"/>
  <c r="U143" i="1"/>
  <c r="T144" i="1"/>
  <c r="U144" i="1" s="1"/>
  <c r="S144" i="1" s="1"/>
  <c r="S145" i="1"/>
  <c r="T145" i="1"/>
  <c r="U145" i="1"/>
  <c r="T146" i="1"/>
  <c r="U146" i="1" s="1"/>
  <c r="S146" i="1" s="1"/>
  <c r="S147" i="1"/>
  <c r="T147" i="1"/>
  <c r="U147" i="1"/>
  <c r="T148" i="1"/>
  <c r="U148" i="1" s="1"/>
  <c r="S148" i="1" s="1"/>
  <c r="S149" i="1"/>
  <c r="T149" i="1"/>
  <c r="U149" i="1"/>
  <c r="T150" i="1"/>
  <c r="U150" i="1" s="1"/>
  <c r="S150" i="1" s="1"/>
  <c r="T3" i="1"/>
  <c r="U3" i="1" s="1"/>
  <c r="S3" i="1" s="1"/>
  <c r="S1" i="1" s="1"/>
  <c r="X128" i="1" l="1"/>
  <c r="X129" i="1"/>
  <c r="X130" i="1"/>
  <c r="X131" i="1"/>
  <c r="X80" i="1"/>
  <c r="X81" i="1"/>
  <c r="X82" i="1"/>
  <c r="X83" i="1"/>
  <c r="X84" i="1"/>
  <c r="V15" i="1"/>
  <c r="X15" i="1"/>
  <c r="Y15" i="1"/>
  <c r="Z15" i="1"/>
  <c r="AB15" i="1"/>
  <c r="V16" i="1"/>
  <c r="P45" i="3" s="1"/>
  <c r="X16" i="1"/>
  <c r="Y16" i="1"/>
  <c r="Z16" i="1"/>
  <c r="AA16" i="1" s="1"/>
  <c r="W16" i="1" s="1"/>
  <c r="AB16" i="1"/>
  <c r="AC149" i="1"/>
  <c r="AB149" i="1"/>
  <c r="Z149" i="1"/>
  <c r="Y149" i="1"/>
  <c r="X149" i="1"/>
  <c r="V149" i="1"/>
  <c r="M149" i="1"/>
  <c r="N149" i="1" s="1"/>
  <c r="L149" i="1"/>
  <c r="K149" i="1"/>
  <c r="V130" i="1"/>
  <c r="P8" i="3" s="1"/>
  <c r="Y130" i="1"/>
  <c r="AA130" i="1" s="1"/>
  <c r="W130" i="1" s="1"/>
  <c r="AB130" i="1"/>
  <c r="V131" i="1"/>
  <c r="Y131" i="1"/>
  <c r="Z131" i="1"/>
  <c r="AB131" i="1"/>
  <c r="V81" i="1"/>
  <c r="P18" i="3" s="1"/>
  <c r="Y81" i="1"/>
  <c r="AA81" i="1" s="1"/>
  <c r="W81" i="1" s="1"/>
  <c r="AB81" i="1"/>
  <c r="V82" i="1"/>
  <c r="Y82" i="1"/>
  <c r="Z82" i="1"/>
  <c r="AB82" i="1"/>
  <c r="V83" i="1"/>
  <c r="Y83" i="1"/>
  <c r="Z83" i="1"/>
  <c r="AB83" i="1"/>
  <c r="V17" i="1"/>
  <c r="X17" i="1"/>
  <c r="Y17" i="1"/>
  <c r="Z17" i="1"/>
  <c r="AB17" i="1"/>
  <c r="X10" i="1"/>
  <c r="X11" i="1"/>
  <c r="X12" i="1"/>
  <c r="X13" i="1"/>
  <c r="X14" i="1"/>
  <c r="X18" i="1"/>
  <c r="X19" i="1"/>
  <c r="X20" i="1"/>
  <c r="X21" i="1"/>
  <c r="X22" i="1"/>
  <c r="K21" i="1"/>
  <c r="L21" i="1"/>
  <c r="M21" i="1"/>
  <c r="N21" i="1" s="1"/>
  <c r="V21" i="1"/>
  <c r="Y21" i="1"/>
  <c r="Z21" i="1"/>
  <c r="AB21" i="1"/>
  <c r="AC21" i="1"/>
  <c r="K22" i="1"/>
  <c r="L22" i="1"/>
  <c r="M22" i="1"/>
  <c r="N22" i="1" s="1"/>
  <c r="V22" i="1"/>
  <c r="Y22" i="1"/>
  <c r="Z22" i="1"/>
  <c r="AA22" i="1" s="1"/>
  <c r="W22" i="1" s="1"/>
  <c r="AB22" i="1"/>
  <c r="AC22" i="1"/>
  <c r="K23" i="1"/>
  <c r="L23" i="1"/>
  <c r="M23" i="1"/>
  <c r="N23" i="1" s="1"/>
  <c r="V23" i="1"/>
  <c r="X23" i="1"/>
  <c r="Y23" i="1"/>
  <c r="Z23" i="1"/>
  <c r="AB23" i="1"/>
  <c r="AC23" i="1"/>
  <c r="K24" i="1"/>
  <c r="L24" i="1"/>
  <c r="M24" i="1"/>
  <c r="N24" i="1" s="1"/>
  <c r="V24" i="1"/>
  <c r="X24" i="1"/>
  <c r="Y24" i="1"/>
  <c r="Z24" i="1"/>
  <c r="AA24" i="1" s="1"/>
  <c r="W24" i="1" s="1"/>
  <c r="AB24" i="1"/>
  <c r="AC24" i="1"/>
  <c r="K25" i="1"/>
  <c r="L25" i="1"/>
  <c r="M25" i="1"/>
  <c r="N25" i="1" s="1"/>
  <c r="V25" i="1"/>
  <c r="X25" i="1"/>
  <c r="Y25" i="1"/>
  <c r="Z25" i="1"/>
  <c r="AB25" i="1"/>
  <c r="AC25" i="1"/>
  <c r="K26" i="1"/>
  <c r="L26" i="1"/>
  <c r="M26" i="1"/>
  <c r="N26" i="1" s="1"/>
  <c r="V26" i="1"/>
  <c r="X26" i="1"/>
  <c r="Y26" i="1"/>
  <c r="Z26" i="1"/>
  <c r="AB26" i="1"/>
  <c r="AC26" i="1"/>
  <c r="K27" i="1"/>
  <c r="L27" i="1"/>
  <c r="M27" i="1"/>
  <c r="N27" i="1" s="1"/>
  <c r="V27" i="1"/>
  <c r="X27" i="1"/>
  <c r="Y27" i="1"/>
  <c r="Z27" i="1"/>
  <c r="AB27" i="1"/>
  <c r="AC27" i="1"/>
  <c r="K28" i="1"/>
  <c r="L28" i="1"/>
  <c r="M28" i="1"/>
  <c r="N28" i="1" s="1"/>
  <c r="V28" i="1"/>
  <c r="X28" i="1"/>
  <c r="Y28" i="1"/>
  <c r="Z28" i="1"/>
  <c r="AB28" i="1"/>
  <c r="AC28" i="1"/>
  <c r="K29" i="1"/>
  <c r="L29" i="1"/>
  <c r="M29" i="1"/>
  <c r="N29" i="1" s="1"/>
  <c r="V29" i="1"/>
  <c r="X29" i="1"/>
  <c r="Y29" i="1"/>
  <c r="Z29" i="1"/>
  <c r="AB29" i="1"/>
  <c r="AC29" i="1"/>
  <c r="K30" i="1"/>
  <c r="L30" i="1"/>
  <c r="M30" i="1"/>
  <c r="N30" i="1" s="1"/>
  <c r="V30" i="1"/>
  <c r="X30" i="1"/>
  <c r="Y30" i="1"/>
  <c r="Z30" i="1"/>
  <c r="AB30" i="1"/>
  <c r="AC30" i="1"/>
  <c r="I153" i="1"/>
  <c r="V14" i="1"/>
  <c r="Y14" i="1"/>
  <c r="Z14" i="1"/>
  <c r="AB14" i="1"/>
  <c r="AC14" i="1"/>
  <c r="AC15" i="1"/>
  <c r="AC16" i="1"/>
  <c r="AC17" i="1"/>
  <c r="V18" i="1"/>
  <c r="Y18" i="1"/>
  <c r="Z18" i="1"/>
  <c r="AB18" i="1"/>
  <c r="AC18" i="1"/>
  <c r="V19" i="1"/>
  <c r="Y19" i="1"/>
  <c r="Z19" i="1"/>
  <c r="AB19" i="1"/>
  <c r="AC19" i="1"/>
  <c r="V20" i="1"/>
  <c r="Y20" i="1"/>
  <c r="Z20" i="1"/>
  <c r="AB20" i="1"/>
  <c r="AC20" i="1"/>
  <c r="V31" i="1"/>
  <c r="P34" i="3" s="1"/>
  <c r="X31" i="1"/>
  <c r="Y31" i="1"/>
  <c r="Z31" i="1"/>
  <c r="AB31" i="1"/>
  <c r="AC31" i="1"/>
  <c r="V32" i="1"/>
  <c r="X32" i="1"/>
  <c r="Y32" i="1"/>
  <c r="Z32" i="1"/>
  <c r="AA32" i="1" s="1"/>
  <c r="W32" i="1" s="1"/>
  <c r="AB32" i="1"/>
  <c r="AC32" i="1"/>
  <c r="V33" i="1"/>
  <c r="X33" i="1"/>
  <c r="Y33" i="1"/>
  <c r="Z33" i="1"/>
  <c r="AB33" i="1"/>
  <c r="AC33" i="1"/>
  <c r="V34" i="1"/>
  <c r="X34" i="1"/>
  <c r="Y34" i="1"/>
  <c r="Z34" i="1"/>
  <c r="AB34" i="1"/>
  <c r="AC34" i="1"/>
  <c r="V35" i="1"/>
  <c r="X35" i="1"/>
  <c r="Y35" i="1"/>
  <c r="Z35" i="1"/>
  <c r="AB35" i="1"/>
  <c r="AC35" i="1"/>
  <c r="V36" i="1"/>
  <c r="X36" i="1"/>
  <c r="Y36" i="1"/>
  <c r="Z36" i="1"/>
  <c r="AB36" i="1"/>
  <c r="AC36" i="1"/>
  <c r="V37" i="1"/>
  <c r="X37" i="1"/>
  <c r="Y37" i="1"/>
  <c r="Z37" i="1"/>
  <c r="AB37" i="1"/>
  <c r="AC37" i="1"/>
  <c r="V38" i="1"/>
  <c r="X38" i="1"/>
  <c r="Y38" i="1"/>
  <c r="Z38" i="1"/>
  <c r="AB38" i="1"/>
  <c r="AC38" i="1"/>
  <c r="V39" i="1"/>
  <c r="P35" i="3" s="1"/>
  <c r="X39" i="1"/>
  <c r="Y39" i="1"/>
  <c r="Z39" i="1"/>
  <c r="AB39" i="1"/>
  <c r="AC39" i="1"/>
  <c r="V40" i="1"/>
  <c r="X40" i="1"/>
  <c r="Y40" i="1"/>
  <c r="Z40" i="1"/>
  <c r="AB40" i="1"/>
  <c r="AC40" i="1"/>
  <c r="V41" i="1"/>
  <c r="X41" i="1"/>
  <c r="Y41" i="1"/>
  <c r="Z41" i="1"/>
  <c r="AB41" i="1"/>
  <c r="AC41" i="1"/>
  <c r="V42" i="1"/>
  <c r="P53" i="3" s="1"/>
  <c r="X42" i="1"/>
  <c r="Y42" i="1"/>
  <c r="Z42" i="1"/>
  <c r="AB42" i="1"/>
  <c r="AC42" i="1"/>
  <c r="V43" i="1"/>
  <c r="X43" i="1"/>
  <c r="Y43" i="1"/>
  <c r="Z43" i="1"/>
  <c r="AB43" i="1"/>
  <c r="AC43" i="1"/>
  <c r="V44" i="1"/>
  <c r="X44" i="1"/>
  <c r="Y44" i="1"/>
  <c r="Z44" i="1"/>
  <c r="AB44" i="1"/>
  <c r="AC44" i="1"/>
  <c r="V45" i="1"/>
  <c r="X45" i="1"/>
  <c r="Y45" i="1"/>
  <c r="Z45" i="1"/>
  <c r="AB45" i="1"/>
  <c r="AC45" i="1"/>
  <c r="V48" i="1"/>
  <c r="X48" i="1"/>
  <c r="Y48" i="1"/>
  <c r="Z48" i="1"/>
  <c r="AB48" i="1"/>
  <c r="AC48" i="1"/>
  <c r="V47" i="1"/>
  <c r="X47" i="1"/>
  <c r="Y47" i="1"/>
  <c r="Z47" i="1"/>
  <c r="AB47" i="1"/>
  <c r="AC47" i="1"/>
  <c r="V46" i="1"/>
  <c r="X46" i="1"/>
  <c r="Y46" i="1"/>
  <c r="Z46" i="1"/>
  <c r="AB46" i="1"/>
  <c r="AC46" i="1"/>
  <c r="V49" i="1"/>
  <c r="P57" i="3" s="1"/>
  <c r="X49" i="1"/>
  <c r="Y49" i="1"/>
  <c r="Z49" i="1"/>
  <c r="AB49" i="1"/>
  <c r="AC49" i="1"/>
  <c r="V50" i="1"/>
  <c r="X50" i="1"/>
  <c r="Y50" i="1"/>
  <c r="Z50" i="1"/>
  <c r="AB50" i="1"/>
  <c r="AC50" i="1"/>
  <c r="V51" i="1"/>
  <c r="X51" i="1"/>
  <c r="Y51" i="1"/>
  <c r="Z51" i="1"/>
  <c r="AB51" i="1"/>
  <c r="AC51" i="1"/>
  <c r="V52" i="1"/>
  <c r="X52" i="1"/>
  <c r="Y52" i="1"/>
  <c r="Z52" i="1"/>
  <c r="AB52" i="1"/>
  <c r="AC52" i="1"/>
  <c r="V53" i="1"/>
  <c r="X53" i="1"/>
  <c r="Y53" i="1"/>
  <c r="Z53" i="1"/>
  <c r="AB53" i="1"/>
  <c r="AC53" i="1"/>
  <c r="V54" i="1"/>
  <c r="P56" i="3" s="1"/>
  <c r="X54" i="1"/>
  <c r="Y54" i="1"/>
  <c r="Z54" i="1"/>
  <c r="AB54" i="1"/>
  <c r="AC54" i="1"/>
  <c r="V55" i="1"/>
  <c r="P58" i="3" s="1"/>
  <c r="X55" i="1"/>
  <c r="Y55" i="1"/>
  <c r="Z55" i="1"/>
  <c r="AB55" i="1"/>
  <c r="AC55" i="1"/>
  <c r="V56" i="1"/>
  <c r="X56" i="1"/>
  <c r="Y56" i="1"/>
  <c r="Z56" i="1"/>
  <c r="AB56" i="1"/>
  <c r="AC56" i="1"/>
  <c r="V57" i="1"/>
  <c r="X57" i="1"/>
  <c r="Y57" i="1"/>
  <c r="Z57" i="1"/>
  <c r="AB57" i="1"/>
  <c r="AC57" i="1"/>
  <c r="V58" i="1"/>
  <c r="X58" i="1"/>
  <c r="Y58" i="1"/>
  <c r="Z58" i="1"/>
  <c r="AB58" i="1"/>
  <c r="AC58" i="1"/>
  <c r="V59" i="1"/>
  <c r="X59" i="1"/>
  <c r="Y59" i="1"/>
  <c r="Z59" i="1"/>
  <c r="AB59" i="1"/>
  <c r="AC59" i="1"/>
  <c r="V60" i="1"/>
  <c r="X60" i="1"/>
  <c r="Y60" i="1"/>
  <c r="Z60" i="1"/>
  <c r="AB60" i="1"/>
  <c r="AC60" i="1"/>
  <c r="V61" i="1"/>
  <c r="X61" i="1"/>
  <c r="Y61" i="1"/>
  <c r="Z61" i="1"/>
  <c r="AB61" i="1"/>
  <c r="AC61" i="1"/>
  <c r="V62" i="1"/>
  <c r="P59" i="3" s="1"/>
  <c r="X62" i="1"/>
  <c r="Y62" i="1"/>
  <c r="Z62" i="1"/>
  <c r="AB62" i="1"/>
  <c r="AC62" i="1"/>
  <c r="V63" i="1"/>
  <c r="X63" i="1"/>
  <c r="Y63" i="1"/>
  <c r="Z63" i="1"/>
  <c r="AB63" i="1"/>
  <c r="AC63" i="1"/>
  <c r="V64" i="1"/>
  <c r="X64" i="1"/>
  <c r="Y64" i="1"/>
  <c r="Z64" i="1"/>
  <c r="AB64" i="1"/>
  <c r="AC64" i="1"/>
  <c r="V65" i="1"/>
  <c r="P60" i="3" s="1"/>
  <c r="X65" i="1"/>
  <c r="Y65" i="1"/>
  <c r="Z65" i="1"/>
  <c r="AB65" i="1"/>
  <c r="AC65" i="1"/>
  <c r="V66" i="1"/>
  <c r="X66" i="1"/>
  <c r="Y66" i="1"/>
  <c r="Z66" i="1"/>
  <c r="AB66" i="1"/>
  <c r="AC66" i="1"/>
  <c r="V67" i="1"/>
  <c r="X67" i="1"/>
  <c r="Y67" i="1"/>
  <c r="Z67" i="1"/>
  <c r="AB67" i="1"/>
  <c r="AC67" i="1"/>
  <c r="V68" i="1"/>
  <c r="X68" i="1"/>
  <c r="Y68" i="1"/>
  <c r="Z68" i="1"/>
  <c r="AB68" i="1"/>
  <c r="AC68" i="1"/>
  <c r="V69" i="1"/>
  <c r="P37" i="3" s="1"/>
  <c r="X69" i="1"/>
  <c r="Y69" i="1"/>
  <c r="Z69" i="1"/>
  <c r="AB69" i="1"/>
  <c r="AC69" i="1"/>
  <c r="V70" i="1"/>
  <c r="X70" i="1"/>
  <c r="Y70" i="1"/>
  <c r="Z70" i="1"/>
  <c r="AB70" i="1"/>
  <c r="AC70" i="1"/>
  <c r="V71" i="1"/>
  <c r="X71" i="1"/>
  <c r="Y71" i="1"/>
  <c r="Z71" i="1"/>
  <c r="AB71" i="1"/>
  <c r="AC71" i="1"/>
  <c r="V73" i="1"/>
  <c r="X73" i="1"/>
  <c r="Y73" i="1"/>
  <c r="Z73" i="1"/>
  <c r="AB73" i="1"/>
  <c r="AC73" i="1"/>
  <c r="V72" i="1"/>
  <c r="X72" i="1"/>
  <c r="Y72" i="1"/>
  <c r="Z72" i="1"/>
  <c r="AB72" i="1"/>
  <c r="AC72" i="1"/>
  <c r="V74" i="1"/>
  <c r="X74" i="1"/>
  <c r="Y74" i="1"/>
  <c r="Z74" i="1"/>
  <c r="AB74" i="1"/>
  <c r="AC74" i="1"/>
  <c r="V75" i="1"/>
  <c r="X75" i="1"/>
  <c r="Y75" i="1"/>
  <c r="Z75" i="1"/>
  <c r="AB75" i="1"/>
  <c r="AC75" i="1"/>
  <c r="V76" i="1"/>
  <c r="X76" i="1"/>
  <c r="Y76" i="1"/>
  <c r="Z76" i="1"/>
  <c r="AB76" i="1"/>
  <c r="AC76" i="1"/>
  <c r="V77" i="1"/>
  <c r="X77" i="1"/>
  <c r="Y77" i="1"/>
  <c r="Z77" i="1"/>
  <c r="AB77" i="1"/>
  <c r="AC77" i="1"/>
  <c r="V78" i="1"/>
  <c r="X78" i="1"/>
  <c r="Y78" i="1"/>
  <c r="Z78" i="1"/>
  <c r="AB78" i="1"/>
  <c r="AC78" i="1"/>
  <c r="V79" i="1"/>
  <c r="X79" i="1"/>
  <c r="Y79" i="1"/>
  <c r="Z79" i="1"/>
  <c r="AB79" i="1"/>
  <c r="AC79" i="1"/>
  <c r="V80" i="1"/>
  <c r="Y80" i="1"/>
  <c r="Z80" i="1"/>
  <c r="AB80" i="1"/>
  <c r="AC80" i="1"/>
  <c r="AC81" i="1"/>
  <c r="AC82" i="1"/>
  <c r="AC83" i="1"/>
  <c r="V84" i="1"/>
  <c r="Y84" i="1"/>
  <c r="Z84" i="1"/>
  <c r="AB84" i="1"/>
  <c r="AC84" i="1"/>
  <c r="V85" i="1"/>
  <c r="X85" i="1"/>
  <c r="Y85" i="1"/>
  <c r="Z85" i="1"/>
  <c r="AB85" i="1"/>
  <c r="AC85" i="1"/>
  <c r="V86" i="1"/>
  <c r="X86" i="1"/>
  <c r="Y86" i="1"/>
  <c r="Z86" i="1"/>
  <c r="AA86" i="1" s="1"/>
  <c r="W86" i="1" s="1"/>
  <c r="AB86" i="1"/>
  <c r="AC86" i="1"/>
  <c r="V87" i="1"/>
  <c r="X87" i="1"/>
  <c r="Y87" i="1"/>
  <c r="Z87" i="1"/>
  <c r="AB87" i="1"/>
  <c r="AC87" i="1"/>
  <c r="V88" i="1"/>
  <c r="X88" i="1"/>
  <c r="Y88" i="1"/>
  <c r="Z88" i="1"/>
  <c r="AB88" i="1"/>
  <c r="AC88" i="1"/>
  <c r="V89" i="1"/>
  <c r="X89" i="1"/>
  <c r="Y89" i="1"/>
  <c r="Z89" i="1"/>
  <c r="AB89" i="1"/>
  <c r="AC89" i="1"/>
  <c r="V90" i="1"/>
  <c r="X90" i="1"/>
  <c r="Y90" i="1"/>
  <c r="Z90" i="1"/>
  <c r="AB90" i="1"/>
  <c r="AC90" i="1"/>
  <c r="V91" i="1"/>
  <c r="X91" i="1"/>
  <c r="Y91" i="1"/>
  <c r="Z91" i="1"/>
  <c r="AB91" i="1"/>
  <c r="AC91" i="1"/>
  <c r="V92" i="1"/>
  <c r="X92" i="1"/>
  <c r="Y92" i="1"/>
  <c r="Z92" i="1"/>
  <c r="AB92" i="1"/>
  <c r="AC92" i="1"/>
  <c r="V93" i="1"/>
  <c r="X93" i="1"/>
  <c r="Y93" i="1"/>
  <c r="Z93" i="1"/>
  <c r="AB93" i="1"/>
  <c r="AC93" i="1"/>
  <c r="V94" i="1"/>
  <c r="X94" i="1"/>
  <c r="Y94" i="1"/>
  <c r="Z94" i="1"/>
  <c r="AA94" i="1" s="1"/>
  <c r="W94" i="1" s="1"/>
  <c r="AB94" i="1"/>
  <c r="AC94" i="1"/>
  <c r="V95" i="1"/>
  <c r="P20" i="3" s="1"/>
  <c r="X95" i="1"/>
  <c r="Y95" i="1"/>
  <c r="Z95" i="1"/>
  <c r="AB95" i="1"/>
  <c r="AC95" i="1"/>
  <c r="V96" i="1"/>
  <c r="X96" i="1"/>
  <c r="Y96" i="1"/>
  <c r="Z96" i="1"/>
  <c r="AB96" i="1"/>
  <c r="AC96" i="1"/>
  <c r="V97" i="1"/>
  <c r="X97" i="1"/>
  <c r="Y97" i="1"/>
  <c r="Z97" i="1"/>
  <c r="AB97" i="1"/>
  <c r="AC97" i="1"/>
  <c r="V98" i="1"/>
  <c r="X98" i="1"/>
  <c r="Y98" i="1"/>
  <c r="Z98" i="1"/>
  <c r="AA98" i="1" s="1"/>
  <c r="W98" i="1" s="1"/>
  <c r="AB98" i="1"/>
  <c r="AC98" i="1"/>
  <c r="V99" i="1"/>
  <c r="X99" i="1"/>
  <c r="Y99" i="1"/>
  <c r="Z99" i="1"/>
  <c r="AB99" i="1"/>
  <c r="AC99" i="1"/>
  <c r="V100" i="1"/>
  <c r="X100" i="1"/>
  <c r="Y100" i="1"/>
  <c r="Z100" i="1"/>
  <c r="AB100" i="1"/>
  <c r="AC100" i="1"/>
  <c r="V101" i="1"/>
  <c r="X101" i="1"/>
  <c r="Y101" i="1"/>
  <c r="Z101" i="1"/>
  <c r="AB101" i="1"/>
  <c r="AC101" i="1"/>
  <c r="V102" i="1"/>
  <c r="X102" i="1"/>
  <c r="Y102" i="1"/>
  <c r="Z102" i="1"/>
  <c r="AB102" i="1"/>
  <c r="AC102" i="1"/>
  <c r="V103" i="1"/>
  <c r="X103" i="1"/>
  <c r="Y103" i="1"/>
  <c r="Z103" i="1"/>
  <c r="AB103" i="1"/>
  <c r="AC103" i="1"/>
  <c r="V104" i="1"/>
  <c r="X104" i="1"/>
  <c r="Y104" i="1"/>
  <c r="Z104" i="1"/>
  <c r="AB104" i="1"/>
  <c r="AC104" i="1"/>
  <c r="V105" i="1"/>
  <c r="P38" i="3" s="1"/>
  <c r="X105" i="1"/>
  <c r="Y105" i="1"/>
  <c r="Z105" i="1"/>
  <c r="AB105" i="1"/>
  <c r="AC105" i="1"/>
  <c r="V106" i="1"/>
  <c r="X106" i="1"/>
  <c r="Y106" i="1"/>
  <c r="Z106" i="1"/>
  <c r="AB106" i="1"/>
  <c r="AC106" i="1"/>
  <c r="V107" i="1"/>
  <c r="X107" i="1"/>
  <c r="Y107" i="1"/>
  <c r="Z107" i="1"/>
  <c r="AB107" i="1"/>
  <c r="AC107" i="1"/>
  <c r="V108" i="1"/>
  <c r="X108" i="1"/>
  <c r="Y108" i="1"/>
  <c r="Z108" i="1"/>
  <c r="AB108" i="1"/>
  <c r="AC108" i="1"/>
  <c r="V109" i="1"/>
  <c r="X109" i="1"/>
  <c r="Y109" i="1"/>
  <c r="Z109" i="1"/>
  <c r="AB109" i="1"/>
  <c r="AC109" i="1"/>
  <c r="V110" i="1"/>
  <c r="X110" i="1"/>
  <c r="Y110" i="1"/>
  <c r="Z110" i="1"/>
  <c r="AB110" i="1"/>
  <c r="AC110" i="1"/>
  <c r="V111" i="1"/>
  <c r="X111" i="1"/>
  <c r="Y111" i="1"/>
  <c r="Z111" i="1"/>
  <c r="AB111" i="1"/>
  <c r="AC111" i="1"/>
  <c r="V112" i="1"/>
  <c r="X112" i="1"/>
  <c r="Y112" i="1"/>
  <c r="Z112" i="1"/>
  <c r="AB112" i="1"/>
  <c r="AC112" i="1"/>
  <c r="V113" i="1"/>
  <c r="X113" i="1"/>
  <c r="Y113" i="1"/>
  <c r="Z113" i="1"/>
  <c r="AB113" i="1"/>
  <c r="AC113" i="1"/>
  <c r="V114" i="1"/>
  <c r="X114" i="1"/>
  <c r="Y114" i="1"/>
  <c r="Z114" i="1"/>
  <c r="AB114" i="1"/>
  <c r="AC114" i="1"/>
  <c r="V115" i="1"/>
  <c r="X115" i="1"/>
  <c r="Y115" i="1"/>
  <c r="Z115" i="1"/>
  <c r="AB115" i="1"/>
  <c r="AC115" i="1"/>
  <c r="V116" i="1"/>
  <c r="X116" i="1"/>
  <c r="Y116" i="1"/>
  <c r="Z116" i="1"/>
  <c r="AB116" i="1"/>
  <c r="AC116" i="1"/>
  <c r="V117" i="1"/>
  <c r="X117" i="1"/>
  <c r="Y117" i="1"/>
  <c r="Z117" i="1"/>
  <c r="AB117" i="1"/>
  <c r="AC117" i="1"/>
  <c r="V118" i="1"/>
  <c r="X118" i="1"/>
  <c r="Y118" i="1"/>
  <c r="Z118" i="1"/>
  <c r="AB118" i="1"/>
  <c r="AC118" i="1"/>
  <c r="V119" i="1"/>
  <c r="X119" i="1"/>
  <c r="Y119" i="1"/>
  <c r="Z119" i="1"/>
  <c r="AB119" i="1"/>
  <c r="AC119" i="1"/>
  <c r="V120" i="1"/>
  <c r="X120" i="1"/>
  <c r="Y120" i="1"/>
  <c r="Z120" i="1"/>
  <c r="AB120" i="1"/>
  <c r="AC120" i="1"/>
  <c r="V121" i="1"/>
  <c r="X121" i="1"/>
  <c r="Y121" i="1"/>
  <c r="Z121" i="1"/>
  <c r="AB121" i="1"/>
  <c r="AC121" i="1"/>
  <c r="V122" i="1"/>
  <c r="X122" i="1"/>
  <c r="Y122" i="1"/>
  <c r="Z122" i="1"/>
  <c r="AA122" i="1" s="1"/>
  <c r="W122" i="1" s="1"/>
  <c r="AB122" i="1"/>
  <c r="AC122" i="1"/>
  <c r="V123" i="1"/>
  <c r="X123" i="1"/>
  <c r="Y123" i="1"/>
  <c r="Z123" i="1"/>
  <c r="AB123" i="1"/>
  <c r="AC123" i="1"/>
  <c r="V124" i="1"/>
  <c r="X124" i="1"/>
  <c r="Y124" i="1"/>
  <c r="Z124" i="1"/>
  <c r="AB124" i="1"/>
  <c r="AC124" i="1"/>
  <c r="V125" i="1"/>
  <c r="X125" i="1"/>
  <c r="Y125" i="1"/>
  <c r="Z125" i="1"/>
  <c r="AB125" i="1"/>
  <c r="AC125" i="1"/>
  <c r="V126" i="1"/>
  <c r="X126" i="1"/>
  <c r="Y126" i="1"/>
  <c r="Z126" i="1"/>
  <c r="AB126" i="1"/>
  <c r="AC126" i="1"/>
  <c r="V127" i="1"/>
  <c r="X127" i="1"/>
  <c r="Y127" i="1"/>
  <c r="Z127" i="1"/>
  <c r="AB127" i="1"/>
  <c r="AC127" i="1"/>
  <c r="V128" i="1"/>
  <c r="Y128" i="1"/>
  <c r="Z128" i="1"/>
  <c r="AB128" i="1"/>
  <c r="AC128" i="1"/>
  <c r="V129" i="1"/>
  <c r="Y129" i="1"/>
  <c r="Z129" i="1"/>
  <c r="AB129" i="1"/>
  <c r="AC129" i="1"/>
  <c r="AC130" i="1"/>
  <c r="AC131" i="1"/>
  <c r="V132" i="1"/>
  <c r="X132" i="1"/>
  <c r="Y132" i="1"/>
  <c r="Z132" i="1"/>
  <c r="AB132" i="1"/>
  <c r="AC132" i="1"/>
  <c r="V133" i="1"/>
  <c r="X133" i="1"/>
  <c r="Y133" i="1"/>
  <c r="Z133" i="1"/>
  <c r="AB133" i="1"/>
  <c r="AC133" i="1"/>
  <c r="V134" i="1"/>
  <c r="X134" i="1"/>
  <c r="Y134" i="1"/>
  <c r="Z134" i="1"/>
  <c r="AB134" i="1"/>
  <c r="AC134" i="1"/>
  <c r="V135" i="1"/>
  <c r="X135" i="1"/>
  <c r="Y135" i="1"/>
  <c r="Z135" i="1"/>
  <c r="AB135" i="1"/>
  <c r="AC135" i="1"/>
  <c r="V136" i="1"/>
  <c r="P28" i="3" s="1"/>
  <c r="X136" i="1"/>
  <c r="Y136" i="1"/>
  <c r="Z136" i="1"/>
  <c r="AB136" i="1"/>
  <c r="AC136" i="1"/>
  <c r="V137" i="1"/>
  <c r="X137" i="1"/>
  <c r="Y137" i="1"/>
  <c r="Z137" i="1"/>
  <c r="AB137" i="1"/>
  <c r="AC137" i="1"/>
  <c r="V139" i="1"/>
  <c r="X139" i="1"/>
  <c r="Y139" i="1"/>
  <c r="Z139" i="1"/>
  <c r="AB139" i="1"/>
  <c r="AC139" i="1"/>
  <c r="V138" i="1"/>
  <c r="X138" i="1"/>
  <c r="Y138" i="1"/>
  <c r="Z138" i="1"/>
  <c r="AB138" i="1"/>
  <c r="AC138" i="1"/>
  <c r="V141" i="1"/>
  <c r="X141" i="1"/>
  <c r="Y141" i="1"/>
  <c r="Z141" i="1"/>
  <c r="AB141" i="1"/>
  <c r="AC141" i="1"/>
  <c r="V140" i="1"/>
  <c r="X140" i="1"/>
  <c r="Y140" i="1"/>
  <c r="Z140" i="1"/>
  <c r="AB140" i="1"/>
  <c r="AC140" i="1"/>
  <c r="V142" i="1"/>
  <c r="X142" i="1"/>
  <c r="Y142" i="1"/>
  <c r="Z142" i="1"/>
  <c r="AB142" i="1"/>
  <c r="AC142" i="1"/>
  <c r="V143" i="1"/>
  <c r="X143" i="1"/>
  <c r="Y143" i="1"/>
  <c r="Z143" i="1"/>
  <c r="AB143" i="1"/>
  <c r="AC143" i="1"/>
  <c r="V144" i="1"/>
  <c r="P29" i="3" s="1"/>
  <c r="X144" i="1"/>
  <c r="Y144" i="1"/>
  <c r="Z144" i="1"/>
  <c r="AB144" i="1"/>
  <c r="AC144" i="1"/>
  <c r="V145" i="1"/>
  <c r="X145" i="1"/>
  <c r="Y145" i="1"/>
  <c r="Z145" i="1"/>
  <c r="AB145" i="1"/>
  <c r="AC145" i="1"/>
  <c r="V146" i="1"/>
  <c r="X146" i="1"/>
  <c r="Y146" i="1"/>
  <c r="Z146" i="1"/>
  <c r="AB146" i="1"/>
  <c r="AC146" i="1"/>
  <c r="V147" i="1"/>
  <c r="X147" i="1"/>
  <c r="Y147" i="1"/>
  <c r="AA147" i="1" s="1"/>
  <c r="AB147" i="1"/>
  <c r="AC147" i="1"/>
  <c r="V148" i="1"/>
  <c r="P32" i="3" s="1"/>
  <c r="X148" i="1"/>
  <c r="Y148" i="1"/>
  <c r="Z148" i="1"/>
  <c r="AB148" i="1"/>
  <c r="AC148" i="1"/>
  <c r="V150" i="1"/>
  <c r="X150" i="1"/>
  <c r="AB150" i="1"/>
  <c r="AC150" i="1"/>
  <c r="V4" i="1"/>
  <c r="X4" i="1"/>
  <c r="Y4" i="1"/>
  <c r="Z4" i="1"/>
  <c r="AB4" i="1"/>
  <c r="AC4" i="1"/>
  <c r="V5" i="1"/>
  <c r="X5" i="1"/>
  <c r="Y5" i="1"/>
  <c r="Z5" i="1"/>
  <c r="AB5" i="1"/>
  <c r="AC5" i="1"/>
  <c r="V6" i="1"/>
  <c r="P43" i="3" s="1"/>
  <c r="X6" i="1"/>
  <c r="Y6" i="1"/>
  <c r="Z6" i="1"/>
  <c r="AB6" i="1"/>
  <c r="AC6" i="1"/>
  <c r="V7" i="1"/>
  <c r="X7" i="1"/>
  <c r="Y7" i="1"/>
  <c r="Z7" i="1"/>
  <c r="AB7" i="1"/>
  <c r="AC7" i="1"/>
  <c r="V8" i="1"/>
  <c r="X8" i="1"/>
  <c r="Y8" i="1"/>
  <c r="Z8" i="1"/>
  <c r="AB8" i="1"/>
  <c r="AC8" i="1"/>
  <c r="V9" i="1"/>
  <c r="X9" i="1"/>
  <c r="Y9" i="1"/>
  <c r="Z9" i="1"/>
  <c r="AB9" i="1"/>
  <c r="AC9" i="1"/>
  <c r="V10" i="1"/>
  <c r="Y10" i="1"/>
  <c r="Z10" i="1"/>
  <c r="AB10" i="1"/>
  <c r="AC10" i="1"/>
  <c r="V11" i="1"/>
  <c r="P3" i="3" s="1"/>
  <c r="Y11" i="1"/>
  <c r="Z11" i="1"/>
  <c r="AB11" i="1"/>
  <c r="AC11" i="1"/>
  <c r="V12" i="1"/>
  <c r="Y12" i="1"/>
  <c r="Z12" i="1"/>
  <c r="AB12" i="1"/>
  <c r="AC12" i="1"/>
  <c r="V13" i="1"/>
  <c r="Y13" i="1"/>
  <c r="Z13" i="1"/>
  <c r="AB13" i="1"/>
  <c r="AC13" i="1"/>
  <c r="L43" i="3"/>
  <c r="L71" i="3"/>
  <c r="L3" i="3"/>
  <c r="L59" i="3"/>
  <c r="L55" i="3"/>
  <c r="L17" i="3"/>
  <c r="L14" i="3"/>
  <c r="L16" i="3"/>
  <c r="L33" i="3"/>
  <c r="L44" i="3"/>
  <c r="L48" i="3"/>
  <c r="L47" i="3"/>
  <c r="L10" i="3"/>
  <c r="L68" i="3"/>
  <c r="L69" i="3"/>
  <c r="L53" i="3"/>
  <c r="L54" i="3"/>
  <c r="L37" i="3"/>
  <c r="L45" i="3"/>
  <c r="L70" i="3"/>
  <c r="L34" i="3"/>
  <c r="L18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L56" i="3"/>
  <c r="L73" i="3"/>
  <c r="L72" i="3"/>
  <c r="L35" i="3"/>
  <c r="L49" i="3"/>
  <c r="L4" i="3"/>
  <c r="L57" i="3"/>
  <c r="L64" i="3"/>
  <c r="L31" i="3"/>
  <c r="L38" i="3"/>
  <c r="L50" i="3"/>
  <c r="L5" i="3"/>
  <c r="L63" i="3"/>
  <c r="L11" i="3"/>
  <c r="L41" i="3"/>
  <c r="L19" i="3"/>
  <c r="L60" i="3"/>
  <c r="L25" i="3"/>
  <c r="L74" i="3"/>
  <c r="L32" i="3"/>
  <c r="L15" i="3"/>
  <c r="L12" i="3"/>
  <c r="L13" i="3"/>
  <c r="L65" i="3"/>
  <c r="L42" i="3"/>
  <c r="L66" i="3"/>
  <c r="L20" i="3"/>
  <c r="L39" i="3"/>
  <c r="L22" i="3"/>
  <c r="L21" i="3"/>
  <c r="L67" i="3"/>
  <c r="L46" i="3"/>
  <c r="L36" i="3"/>
  <c r="L61" i="3"/>
  <c r="L51" i="3"/>
  <c r="L40" i="3"/>
  <c r="L6" i="3"/>
  <c r="L7" i="3"/>
  <c r="L52" i="3"/>
  <c r="L23" i="3"/>
  <c r="L24" i="3"/>
  <c r="L28" i="3"/>
  <c r="L29" i="3"/>
  <c r="L30" i="3"/>
  <c r="L26" i="3"/>
  <c r="L27" i="3"/>
  <c r="L62" i="3"/>
  <c r="L8" i="3"/>
  <c r="L9" i="3"/>
  <c r="AA43" i="1" l="1"/>
  <c r="W43" i="1" s="1"/>
  <c r="AA82" i="1"/>
  <c r="W82" i="1" s="1"/>
  <c r="AA143" i="1"/>
  <c r="W143" i="1" s="1"/>
  <c r="AA103" i="1"/>
  <c r="W103" i="1" s="1"/>
  <c r="AA95" i="1"/>
  <c r="W95" i="1" s="1"/>
  <c r="AA91" i="1"/>
  <c r="W91" i="1" s="1"/>
  <c r="AA15" i="1"/>
  <c r="W15" i="1" s="1"/>
  <c r="AA138" i="1"/>
  <c r="W138" i="1" s="1"/>
  <c r="AA131" i="1"/>
  <c r="W131" i="1" s="1"/>
  <c r="AA70" i="1"/>
  <c r="W70" i="1" s="1"/>
  <c r="AA13" i="1"/>
  <c r="W13" i="1" s="1"/>
  <c r="AA128" i="1"/>
  <c r="W128" i="1" s="1"/>
  <c r="AA118" i="1"/>
  <c r="W118" i="1" s="1"/>
  <c r="AA107" i="1"/>
  <c r="W107" i="1" s="1"/>
  <c r="AA6" i="1"/>
  <c r="W6" i="1" s="1"/>
  <c r="AA148" i="1"/>
  <c r="AA136" i="1"/>
  <c r="W136" i="1" s="1"/>
  <c r="AA64" i="1"/>
  <c r="W64" i="1" s="1"/>
  <c r="AA52" i="1"/>
  <c r="W52" i="1" s="1"/>
  <c r="AA110" i="1"/>
  <c r="W110" i="1" s="1"/>
  <c r="AA83" i="1"/>
  <c r="W83" i="1" s="1"/>
  <c r="P47" i="3"/>
  <c r="AA127" i="1"/>
  <c r="W127" i="1" s="1"/>
  <c r="P52" i="3"/>
  <c r="AA59" i="1"/>
  <c r="W59" i="1" s="1"/>
  <c r="AA23" i="1"/>
  <c r="W23" i="1" s="1"/>
  <c r="AA109" i="1"/>
  <c r="W109" i="1" s="1"/>
  <c r="AA149" i="1"/>
  <c r="W149" i="1" s="1"/>
  <c r="AA26" i="1"/>
  <c r="W26" i="1" s="1"/>
  <c r="AA74" i="1"/>
  <c r="W74" i="1" s="1"/>
  <c r="AA14" i="1"/>
  <c r="W14" i="1" s="1"/>
  <c r="P39" i="3"/>
  <c r="AA58" i="1"/>
  <c r="W58" i="1" s="1"/>
  <c r="AA7" i="1"/>
  <c r="W7" i="1" s="1"/>
  <c r="AA150" i="1"/>
  <c r="W150" i="1" s="1"/>
  <c r="AA145" i="1"/>
  <c r="W145" i="1" s="1"/>
  <c r="AA30" i="1"/>
  <c r="W30" i="1" s="1"/>
  <c r="AA4" i="1"/>
  <c r="W4" i="1" s="1"/>
  <c r="AA142" i="1"/>
  <c r="W142" i="1" s="1"/>
  <c r="P44" i="3"/>
  <c r="AA28" i="1"/>
  <c r="W28" i="1" s="1"/>
  <c r="AA124" i="1"/>
  <c r="W124" i="1" s="1"/>
  <c r="AA20" i="1"/>
  <c r="W20" i="1" s="1"/>
  <c r="P46" i="3"/>
  <c r="P12" i="3"/>
  <c r="AA101" i="1"/>
  <c r="W101" i="1" s="1"/>
  <c r="AA8" i="1"/>
  <c r="W8" i="1" s="1"/>
  <c r="AA61" i="1"/>
  <c r="W61" i="1" s="1"/>
  <c r="AA49" i="1"/>
  <c r="W49" i="1" s="1"/>
  <c r="AA17" i="1"/>
  <c r="W17" i="1" s="1"/>
  <c r="P15" i="3"/>
  <c r="AA37" i="1"/>
  <c r="W37" i="1" s="1"/>
  <c r="AA79" i="1"/>
  <c r="W79" i="1" s="1"/>
  <c r="AA56" i="1"/>
  <c r="W56" i="1" s="1"/>
  <c r="AA27" i="1"/>
  <c r="W27" i="1" s="1"/>
  <c r="P55" i="3"/>
  <c r="AA21" i="1"/>
  <c r="W21" i="1" s="1"/>
  <c r="AA41" i="1"/>
  <c r="W41" i="1" s="1"/>
  <c r="P48" i="3"/>
  <c r="AA25" i="1"/>
  <c r="W25" i="1" s="1"/>
  <c r="P61" i="3"/>
  <c r="AA44" i="1"/>
  <c r="W44" i="1" s="1"/>
  <c r="P16" i="3"/>
  <c r="P33" i="3"/>
  <c r="P10" i="3"/>
  <c r="P13" i="3"/>
  <c r="P36" i="3"/>
  <c r="AA146" i="1"/>
  <c r="W146" i="1" s="1"/>
  <c r="P54" i="3"/>
  <c r="P4" i="3"/>
  <c r="P42" i="3"/>
  <c r="AA134" i="1"/>
  <c r="W134" i="1" s="1"/>
  <c r="AA29" i="1"/>
  <c r="W29" i="1" s="1"/>
  <c r="AA137" i="1"/>
  <c r="W137" i="1" s="1"/>
  <c r="AA133" i="1"/>
  <c r="W133" i="1" s="1"/>
  <c r="AA48" i="1"/>
  <c r="W48" i="1" s="1"/>
  <c r="AA97" i="1"/>
  <c r="W97" i="1" s="1"/>
  <c r="AA77" i="1"/>
  <c r="W77" i="1" s="1"/>
  <c r="AA72" i="1"/>
  <c r="W72" i="1" s="1"/>
  <c r="W148" i="1"/>
  <c r="AA88" i="1"/>
  <c r="W88" i="1" s="1"/>
  <c r="AA11" i="1"/>
  <c r="W11" i="1" s="1"/>
  <c r="P14" i="3"/>
  <c r="P50" i="3"/>
  <c r="AA40" i="1"/>
  <c r="W40" i="1" s="1"/>
  <c r="AA71" i="1"/>
  <c r="W71" i="1" s="1"/>
  <c r="AA67" i="1"/>
  <c r="W67" i="1" s="1"/>
  <c r="AA85" i="1"/>
  <c r="W85" i="1" s="1"/>
  <c r="P7" i="3"/>
  <c r="P5" i="3"/>
  <c r="AA31" i="1"/>
  <c r="W31" i="1" s="1"/>
  <c r="AA12" i="1"/>
  <c r="W12" i="1" s="1"/>
  <c r="AA125" i="1"/>
  <c r="W125" i="1" s="1"/>
  <c r="AA121" i="1"/>
  <c r="W121" i="1" s="1"/>
  <c r="P19" i="3"/>
  <c r="P6" i="3"/>
  <c r="P31" i="3"/>
  <c r="P30" i="3"/>
  <c r="P17" i="3"/>
  <c r="P11" i="3"/>
  <c r="AA55" i="1"/>
  <c r="W55" i="1" s="1"/>
  <c r="AA62" i="1"/>
  <c r="W62" i="1" s="1"/>
  <c r="AA139" i="1"/>
  <c r="W139" i="1" s="1"/>
  <c r="AA54" i="1"/>
  <c r="W54" i="1" s="1"/>
  <c r="AA50" i="1"/>
  <c r="W50" i="1" s="1"/>
  <c r="P9" i="3"/>
  <c r="AA115" i="1"/>
  <c r="W115" i="1" s="1"/>
  <c r="AA112" i="1"/>
  <c r="W112" i="1" s="1"/>
  <c r="P40" i="3"/>
  <c r="AA104" i="1"/>
  <c r="W104" i="1" s="1"/>
  <c r="AA42" i="1"/>
  <c r="W42" i="1" s="1"/>
  <c r="AA111" i="1"/>
  <c r="W111" i="1" s="1"/>
  <c r="AA9" i="1"/>
  <c r="W9" i="1" s="1"/>
  <c r="AA113" i="1"/>
  <c r="W113" i="1" s="1"/>
  <c r="AA19" i="1"/>
  <c r="W19" i="1" s="1"/>
  <c r="AA66" i="1"/>
  <c r="W66" i="1" s="1"/>
  <c r="AA76" i="1"/>
  <c r="W76" i="1" s="1"/>
  <c r="AA126" i="1"/>
  <c r="W126" i="1" s="1"/>
  <c r="AA116" i="1"/>
  <c r="W116" i="1" s="1"/>
  <c r="AA89" i="1"/>
  <c r="W89" i="1" s="1"/>
  <c r="AA39" i="1"/>
  <c r="W39" i="1" s="1"/>
  <c r="AA18" i="1"/>
  <c r="W18" i="1" s="1"/>
  <c r="AA10" i="1"/>
  <c r="W10" i="1" s="1"/>
  <c r="AA114" i="1"/>
  <c r="W114" i="1" s="1"/>
  <c r="AA5" i="1"/>
  <c r="W5" i="1" s="1"/>
  <c r="AA99" i="1"/>
  <c r="W99" i="1" s="1"/>
  <c r="AA100" i="1"/>
  <c r="W100" i="1" s="1"/>
  <c r="AA69" i="1"/>
  <c r="W69" i="1" s="1"/>
  <c r="AA65" i="1"/>
  <c r="W65" i="1" s="1"/>
  <c r="AA87" i="1"/>
  <c r="W87" i="1" s="1"/>
  <c r="AA106" i="1"/>
  <c r="W106" i="1" s="1"/>
  <c r="AA123" i="1"/>
  <c r="W123" i="1" s="1"/>
  <c r="AA57" i="1"/>
  <c r="W57" i="1" s="1"/>
  <c r="AA53" i="1"/>
  <c r="W53" i="1" s="1"/>
  <c r="AA34" i="1"/>
  <c r="W34" i="1" s="1"/>
  <c r="AA120" i="1"/>
  <c r="W120" i="1" s="1"/>
  <c r="AA46" i="1"/>
  <c r="W46" i="1" s="1"/>
  <c r="AA108" i="1"/>
  <c r="W108" i="1" s="1"/>
  <c r="AA36" i="1"/>
  <c r="W36" i="1" s="1"/>
  <c r="AA45" i="1"/>
  <c r="W45" i="1" s="1"/>
  <c r="W147" i="1"/>
  <c r="AA75" i="1"/>
  <c r="W75" i="1" s="1"/>
  <c r="AA78" i="1"/>
  <c r="W78" i="1" s="1"/>
  <c r="AA93" i="1"/>
  <c r="W93" i="1" s="1"/>
  <c r="AA119" i="1"/>
  <c r="W119" i="1" s="1"/>
  <c r="AA51" i="1"/>
  <c r="W51" i="1" s="1"/>
  <c r="AA47" i="1"/>
  <c r="W47" i="1" s="1"/>
  <c r="AA96" i="1"/>
  <c r="W96" i="1" s="1"/>
  <c r="AA92" i="1"/>
  <c r="W92" i="1" s="1"/>
  <c r="AA102" i="1"/>
  <c r="W102" i="1" s="1"/>
  <c r="AA35" i="1"/>
  <c r="W35" i="1" s="1"/>
  <c r="AA60" i="1"/>
  <c r="W60" i="1" s="1"/>
  <c r="AA135" i="1"/>
  <c r="W135" i="1" s="1"/>
  <c r="AA63" i="1"/>
  <c r="W63" i="1" s="1"/>
  <c r="AA140" i="1"/>
  <c r="W140" i="1" s="1"/>
  <c r="AA132" i="1"/>
  <c r="W132" i="1" s="1"/>
  <c r="AA90" i="1"/>
  <c r="W90" i="1" s="1"/>
  <c r="AA33" i="1"/>
  <c r="W33" i="1" s="1"/>
  <c r="P51" i="3"/>
  <c r="AA84" i="1"/>
  <c r="W84" i="1" s="1"/>
  <c r="AA80" i="1"/>
  <c r="W80" i="1" s="1"/>
  <c r="P49" i="3"/>
  <c r="AA38" i="1"/>
  <c r="W38" i="1" s="1"/>
  <c r="AA105" i="1"/>
  <c r="W105" i="1" s="1"/>
  <c r="AA129" i="1"/>
  <c r="W129" i="1" s="1"/>
  <c r="AA117" i="1"/>
  <c r="W117" i="1" s="1"/>
  <c r="AA144" i="1"/>
  <c r="W144" i="1" s="1"/>
  <c r="AA141" i="1"/>
  <c r="W141" i="1" s="1"/>
  <c r="AA73" i="1"/>
  <c r="W73" i="1" s="1"/>
  <c r="AA68" i="1"/>
  <c r="W68" i="1" s="1"/>
  <c r="X3" i="1"/>
  <c r="K134" i="1" l="1"/>
  <c r="L134" i="1"/>
  <c r="M134" i="1"/>
  <c r="P134" i="1" s="1"/>
  <c r="K131" i="1"/>
  <c r="L131" i="1"/>
  <c r="M131" i="1"/>
  <c r="P131" i="1" s="1"/>
  <c r="K116" i="1"/>
  <c r="L116" i="1"/>
  <c r="M116" i="1"/>
  <c r="N116" i="1" s="1"/>
  <c r="K105" i="1"/>
  <c r="L105" i="1"/>
  <c r="M105" i="1"/>
  <c r="N105" i="1" s="1"/>
  <c r="K106" i="1"/>
  <c r="L106" i="1"/>
  <c r="M106" i="1"/>
  <c r="N106" i="1" s="1"/>
  <c r="K73" i="1"/>
  <c r="L73" i="1"/>
  <c r="M73" i="1"/>
  <c r="K53" i="1"/>
  <c r="L53" i="1"/>
  <c r="M53" i="1"/>
  <c r="N53" i="1" s="1"/>
  <c r="K17" i="1" l="1"/>
  <c r="L17" i="1"/>
  <c r="M17" i="1"/>
  <c r="N17" i="1" s="1"/>
  <c r="K18" i="1"/>
  <c r="L18" i="1"/>
  <c r="M18" i="1"/>
  <c r="K19" i="1"/>
  <c r="L19" i="1"/>
  <c r="M19" i="1"/>
  <c r="K20" i="1"/>
  <c r="L20" i="1"/>
  <c r="M20" i="1"/>
  <c r="N20" i="1" s="1"/>
  <c r="K31" i="1"/>
  <c r="L31" i="1"/>
  <c r="M31" i="1"/>
  <c r="N31" i="1" s="1"/>
  <c r="K32" i="1"/>
  <c r="L32" i="1"/>
  <c r="M32" i="1"/>
  <c r="N32" i="1" s="1"/>
  <c r="K33" i="1"/>
  <c r="L33" i="1"/>
  <c r="M33" i="1"/>
  <c r="P33" i="1" s="1"/>
  <c r="K34" i="1"/>
  <c r="L34" i="1"/>
  <c r="M34" i="1"/>
  <c r="N34" i="1" s="1"/>
  <c r="P18" i="1" l="1"/>
  <c r="E4" i="6"/>
  <c r="E5" i="6"/>
  <c r="E6" i="6"/>
  <c r="E7" i="6"/>
  <c r="E8" i="6"/>
  <c r="E9" i="6"/>
  <c r="E10" i="6"/>
  <c r="E11" i="6"/>
  <c r="E12" i="6"/>
  <c r="E13" i="6"/>
  <c r="E14" i="6"/>
  <c r="E3" i="6"/>
  <c r="Y3" i="1" l="1"/>
  <c r="Z3" i="1"/>
  <c r="AB3" i="1"/>
  <c r="K37" i="1"/>
  <c r="L37" i="1"/>
  <c r="M37" i="1"/>
  <c r="P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V3" i="1"/>
  <c r="P41" i="3" s="1"/>
  <c r="K6" i="1"/>
  <c r="L6" i="1"/>
  <c r="M6" i="1"/>
  <c r="N6" i="1" s="1"/>
  <c r="K3" i="1"/>
  <c r="L3" i="1"/>
  <c r="M3" i="1"/>
  <c r="N3" i="1" s="1"/>
  <c r="K5" i="1"/>
  <c r="L5" i="1"/>
  <c r="M5" i="1"/>
  <c r="N5" i="1" s="1"/>
  <c r="AA3" i="1" l="1"/>
  <c r="W3" i="1" s="1"/>
  <c r="L84" i="1"/>
  <c r="L91" i="1"/>
  <c r="L147" i="1"/>
  <c r="L148" i="1"/>
  <c r="K84" i="1"/>
  <c r="K91" i="1"/>
  <c r="K147" i="1"/>
  <c r="K148" i="1"/>
  <c r="M91" i="1"/>
  <c r="N91" i="1" s="1"/>
  <c r="M147" i="1"/>
  <c r="N147" i="1" s="1"/>
  <c r="M148" i="1"/>
  <c r="N148" i="1" s="1"/>
  <c r="M84" i="1"/>
  <c r="N84" i="1" s="1"/>
  <c r="AC3" i="1"/>
  <c r="P69" i="3"/>
  <c r="P70" i="3" l="1"/>
  <c r="P73" i="3"/>
  <c r="P71" i="3"/>
  <c r="M42" i="1"/>
  <c r="N42" i="1" s="1"/>
  <c r="M43" i="1"/>
  <c r="N43" i="1" s="1"/>
  <c r="K42" i="1"/>
  <c r="K43" i="1"/>
  <c r="L42" i="1"/>
  <c r="L43" i="1"/>
  <c r="Q22" i="3"/>
  <c r="Q23" i="3"/>
  <c r="Q24" i="3"/>
  <c r="Q25" i="3"/>
  <c r="L58" i="3"/>
  <c r="Q26" i="3"/>
  <c r="Q27" i="3"/>
  <c r="Q62" i="3"/>
  <c r="K15" i="1" l="1"/>
  <c r="L15" i="1"/>
  <c r="M15" i="1"/>
  <c r="N15" i="1" s="1"/>
  <c r="K16" i="1"/>
  <c r="L16" i="1"/>
  <c r="M16" i="1"/>
  <c r="N16" i="1" s="1"/>
  <c r="P25" i="3"/>
  <c r="K83" i="1"/>
  <c r="L83" i="1"/>
  <c r="M83" i="1"/>
  <c r="N83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1" i="1"/>
  <c r="L101" i="1"/>
  <c r="M101" i="1"/>
  <c r="N101" i="1" s="1"/>
  <c r="K100" i="1"/>
  <c r="L100" i="1"/>
  <c r="M100" i="1"/>
  <c r="N100" i="1" s="1"/>
  <c r="K102" i="1"/>
  <c r="L102" i="1"/>
  <c r="M102" i="1"/>
  <c r="N102" i="1" s="1"/>
  <c r="P27" i="3" l="1"/>
  <c r="P26" i="3"/>
  <c r="K109" i="1" l="1"/>
  <c r="L109" i="1"/>
  <c r="M109" i="1"/>
  <c r="N109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1" i="1"/>
  <c r="L11" i="1"/>
  <c r="M11" i="1"/>
  <c r="K10" i="1"/>
  <c r="L10" i="1"/>
  <c r="M10" i="1"/>
  <c r="N10" i="1" s="1"/>
  <c r="K12" i="1"/>
  <c r="L12" i="1"/>
  <c r="M12" i="1"/>
  <c r="P22" i="3"/>
  <c r="K14" i="1"/>
  <c r="L14" i="1"/>
  <c r="M14" i="1"/>
  <c r="N14" i="1" s="1"/>
  <c r="K13" i="1"/>
  <c r="L13" i="1"/>
  <c r="M13" i="1"/>
  <c r="N13" i="1" s="1"/>
  <c r="K35" i="1"/>
  <c r="L35" i="1"/>
  <c r="M35" i="1"/>
  <c r="P35" i="1" s="1"/>
  <c r="K36" i="1"/>
  <c r="L36" i="1"/>
  <c r="M36" i="1"/>
  <c r="N36" i="1" s="1"/>
  <c r="K41" i="1"/>
  <c r="L41" i="1"/>
  <c r="M41" i="1"/>
  <c r="N41" i="1" s="1"/>
  <c r="P72" i="3"/>
  <c r="K44" i="1"/>
  <c r="L44" i="1"/>
  <c r="M44" i="1"/>
  <c r="P44" i="1" s="1"/>
  <c r="K45" i="1"/>
  <c r="L45" i="1"/>
  <c r="M45" i="1"/>
  <c r="N45" i="1" s="1"/>
  <c r="K47" i="1"/>
  <c r="L47" i="1"/>
  <c r="M47" i="1"/>
  <c r="K48" i="1"/>
  <c r="L48" i="1"/>
  <c r="M48" i="1"/>
  <c r="K46" i="1"/>
  <c r="L46" i="1"/>
  <c r="M46" i="1"/>
  <c r="K49" i="1"/>
  <c r="L49" i="1"/>
  <c r="M49" i="1"/>
  <c r="N49" i="1" s="1"/>
  <c r="K50" i="1"/>
  <c r="L50" i="1"/>
  <c r="M50" i="1"/>
  <c r="N50" i="1" s="1"/>
  <c r="K52" i="1"/>
  <c r="L52" i="1"/>
  <c r="M52" i="1"/>
  <c r="N52" i="1" s="1"/>
  <c r="K51" i="1"/>
  <c r="L51" i="1"/>
  <c r="M51" i="1"/>
  <c r="N51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6" i="1"/>
  <c r="L66" i="1"/>
  <c r="M66" i="1"/>
  <c r="N66" i="1" s="1"/>
  <c r="K65" i="1"/>
  <c r="L65" i="1"/>
  <c r="M65" i="1"/>
  <c r="N65" i="1" s="1"/>
  <c r="K67" i="1"/>
  <c r="L67" i="1"/>
  <c r="M67" i="1"/>
  <c r="N67" i="1" s="1"/>
  <c r="K69" i="1"/>
  <c r="L69" i="1"/>
  <c r="M69" i="1"/>
  <c r="N69" i="1" s="1"/>
  <c r="K68" i="1"/>
  <c r="L68" i="1"/>
  <c r="M68" i="1"/>
  <c r="N68" i="1" s="1"/>
  <c r="K70" i="1"/>
  <c r="L70" i="1"/>
  <c r="M70" i="1"/>
  <c r="N70" i="1" s="1"/>
  <c r="K71" i="1"/>
  <c r="L71" i="1"/>
  <c r="M71" i="1"/>
  <c r="N71" i="1" s="1"/>
  <c r="K72" i="1"/>
  <c r="L72" i="1"/>
  <c r="M72" i="1"/>
  <c r="P72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103" i="1"/>
  <c r="L103" i="1"/>
  <c r="M103" i="1"/>
  <c r="P103" i="1" s="1"/>
  <c r="K104" i="1"/>
  <c r="L104" i="1"/>
  <c r="M104" i="1"/>
  <c r="N104" i="1" s="1"/>
  <c r="K108" i="1"/>
  <c r="L108" i="1"/>
  <c r="M108" i="1"/>
  <c r="N108" i="1" s="1"/>
  <c r="K107" i="1"/>
  <c r="L107" i="1"/>
  <c r="M107" i="1"/>
  <c r="N107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5" i="1"/>
  <c r="L115" i="1"/>
  <c r="M115" i="1"/>
  <c r="N115" i="1" s="1"/>
  <c r="K114" i="1"/>
  <c r="L114" i="1"/>
  <c r="M114" i="1"/>
  <c r="P114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P125" i="1" s="1"/>
  <c r="K126" i="1"/>
  <c r="L126" i="1"/>
  <c r="M126" i="1"/>
  <c r="P126" i="1" s="1"/>
  <c r="K127" i="1"/>
  <c r="L127" i="1"/>
  <c r="M127" i="1"/>
  <c r="P127" i="1" s="1"/>
  <c r="K128" i="1"/>
  <c r="L128" i="1"/>
  <c r="M128" i="1"/>
  <c r="P128" i="1" s="1"/>
  <c r="K129" i="1"/>
  <c r="L129" i="1"/>
  <c r="M129" i="1"/>
  <c r="P129" i="1" s="1"/>
  <c r="K130" i="1"/>
  <c r="L130" i="1"/>
  <c r="M130" i="1"/>
  <c r="P130" i="1" s="1"/>
  <c r="K133" i="1"/>
  <c r="L133" i="1"/>
  <c r="M133" i="1"/>
  <c r="P133" i="1" s="1"/>
  <c r="K132" i="1"/>
  <c r="L132" i="1"/>
  <c r="M132" i="1"/>
  <c r="P132" i="1" s="1"/>
  <c r="K135" i="1"/>
  <c r="L135" i="1"/>
  <c r="M135" i="1"/>
  <c r="P135" i="1" s="1"/>
  <c r="K136" i="1"/>
  <c r="L136" i="1"/>
  <c r="M136" i="1"/>
  <c r="N136" i="1" s="1"/>
  <c r="K137" i="1"/>
  <c r="L137" i="1"/>
  <c r="M137" i="1"/>
  <c r="N137" i="1" s="1"/>
  <c r="K139" i="1"/>
  <c r="L139" i="1"/>
  <c r="M139" i="1"/>
  <c r="K141" i="1"/>
  <c r="L141" i="1"/>
  <c r="M141" i="1"/>
  <c r="K138" i="1"/>
  <c r="L138" i="1"/>
  <c r="M138" i="1"/>
  <c r="K140" i="1"/>
  <c r="L140" i="1"/>
  <c r="M140" i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50" i="1"/>
  <c r="L150" i="1"/>
  <c r="M150" i="1"/>
  <c r="P150" i="1" s="1"/>
  <c r="P140" i="1" l="1"/>
  <c r="P46" i="1"/>
  <c r="P138" i="1"/>
  <c r="P11" i="1"/>
  <c r="P24" i="3"/>
  <c r="P23" i="3"/>
  <c r="P62" i="3"/>
  <c r="K4" i="1" l="1"/>
  <c r="J157" i="1" l="1"/>
  <c r="A1" i="1" l="1"/>
  <c r="Q21" i="3"/>
  <c r="Q63" i="3"/>
  <c r="Q64" i="3"/>
  <c r="Q65" i="3"/>
  <c r="Q66" i="3"/>
  <c r="Q67" i="3"/>
  <c r="Q68" i="3"/>
  <c r="Q69" i="3"/>
  <c r="Q70" i="3"/>
  <c r="Q71" i="3"/>
  <c r="Q72" i="3"/>
  <c r="Q73" i="3"/>
  <c r="Q74" i="3"/>
  <c r="P66" i="3" l="1"/>
  <c r="P68" i="3"/>
  <c r="P74" i="3"/>
  <c r="P21" i="3"/>
  <c r="P65" i="3"/>
  <c r="P64" i="3"/>
  <c r="P63" i="3"/>
  <c r="L4" i="1" l="1"/>
  <c r="M4" i="1"/>
  <c r="N4" i="1" s="1"/>
  <c r="J155" i="1" s="1"/>
  <c r="N159" i="1" l="1"/>
  <c r="J159" i="1"/>
  <c r="J158" i="1"/>
  <c r="J160" i="1" l="1"/>
  <c r="J156" i="1"/>
  <c r="A1" i="6"/>
  <c r="M76" i="3"/>
  <c r="M77" i="3" s="1"/>
  <c r="A1" i="3"/>
  <c r="O157" i="1"/>
  <c r="N157" i="1"/>
  <c r="M157" i="1"/>
  <c r="P67" i="3" l="1"/>
  <c r="O159" i="1"/>
  <c r="O156" i="1"/>
  <c r="M159" i="1"/>
  <c r="N156" i="1"/>
  <c r="M156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<sst xmlns="http://schemas.openxmlformats.org/spreadsheetml/2006/main" count="2082" uniqueCount="614">
  <si>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</si>
  <si>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</si>
  <si>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</si>
  <si>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</si>
  <si>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</si>
  <si>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</si>
  <si>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</si>
  <si>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</si>
  <si>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</si>
  <si>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</si>
  <si>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</si>
  <si>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</si>
  <si>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</si>
  <si>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</si>
  <si>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</si>
  <si>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</si>
  <si>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</si>
  <si>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</si>
  <si>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</si>
  <si>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</si>
  <si>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</si>
  <si>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</si>
  <si>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</si>
  <si>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</si>
  <si>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</si>
  <si>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</si>
  <si>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</si>
  <si>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</si>
  <si>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</si>
  <si>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</si>
  <si>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</si>
  <si>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</si>
  <si>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</si>
  <si>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</si>
  <si>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</si>
  <si>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</si>
  <si>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</si>
  <si>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</si>
  <si>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</si>
  <si>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</si>
  <si>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</si>
  <si>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</si>
  <si>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</si>
  <si>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</si>
  <si>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</si>
  <si>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</si>
  <si>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</si>
  <si>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</si>
  <si>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</si>
  <si>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</si>
  <si>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</si>
  <si>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</si>
  <si>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</si>
  <si>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</si>
  <si>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</si>
  <si>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</si>
  <si>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</si>
  <si>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</si>
  <si>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</si>
  <si>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</si>
  <si>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</si>
  <si>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</si>
  <si>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</si>
  <si>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</si>
  <si>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</si>
  <si>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</si>
  <si>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</si>
  <si>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</si>
  <si>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</si>
  <si>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</si>
  <si>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</si>
  <si>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</si>
  <si>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</si>
  <si>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</si>
  <si>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</si>
  <si>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204:232996</t>
  </si>
  <si>
    <t>204:160</t>
  </si>
  <si>
    <t>204:460</t>
  </si>
  <si>
    <t>rtdc.l.rtdc.4032:itc</t>
  </si>
  <si>
    <t>Y</t>
  </si>
  <si>
    <t>204:233314</t>
  </si>
  <si>
    <t>204:232977</t>
  </si>
  <si>
    <t>204:466</t>
  </si>
  <si>
    <t>204:143</t>
  </si>
  <si>
    <t>204:462</t>
  </si>
  <si>
    <t>Kibana URL</t>
  </si>
  <si>
    <t>204:457</t>
  </si>
  <si>
    <t>204:232991</t>
  </si>
  <si>
    <t>204:139</t>
  </si>
  <si>
    <t>204:141</t>
  </si>
  <si>
    <t>204:156</t>
  </si>
  <si>
    <t>204:149</t>
  </si>
  <si>
    <t>GRADE CROSSING</t>
  </si>
  <si>
    <t>Bulletin (2)</t>
  </si>
  <si>
    <t>204:232973</t>
  </si>
  <si>
    <t>GRASTON</t>
  </si>
  <si>
    <t>204:453</t>
  </si>
  <si>
    <t>rtdc.l.rtdc.4043:itc</t>
  </si>
  <si>
    <t>204:232978</t>
  </si>
  <si>
    <t>204:233311</t>
  </si>
  <si>
    <t>204:469</t>
  </si>
  <si>
    <t>GEBRETEKLE</t>
  </si>
  <si>
    <t>204:154</t>
  </si>
  <si>
    <t>204:233304</t>
  </si>
  <si>
    <t>204:232989</t>
  </si>
  <si>
    <t>SANTIZO</t>
  </si>
  <si>
    <t>204:233299</t>
  </si>
  <si>
    <t>rtdc.l.rtdc.4019:itc</t>
  </si>
  <si>
    <t>rtdc.l.rtdc.4020:itc</t>
  </si>
  <si>
    <t>204:458</t>
  </si>
  <si>
    <t>204:232983</t>
  </si>
  <si>
    <t>204:233298</t>
  </si>
  <si>
    <t>204:233303</t>
  </si>
  <si>
    <t>rtdc.l.rtdc.4009:itc</t>
  </si>
  <si>
    <t>RIVERA</t>
  </si>
  <si>
    <t>204:233300</t>
  </si>
  <si>
    <t>204:132</t>
  </si>
  <si>
    <t>204:232976</t>
  </si>
  <si>
    <t>rtdc.l.rtdc.4018:itc</t>
  </si>
  <si>
    <t>rtdc.l.rtdc.4027:itc</t>
  </si>
  <si>
    <t>rtdc.l.rtdc.4017:itc</t>
  </si>
  <si>
    <t>rtdc.l.rtdc.4028:itc</t>
  </si>
  <si>
    <t>rtdc.l.rtdc.4023:itc</t>
  </si>
  <si>
    <t>HELVIE</t>
  </si>
  <si>
    <t>YOUNG</t>
  </si>
  <si>
    <t>204:442</t>
  </si>
  <si>
    <t>204:232982</t>
  </si>
  <si>
    <t>204:163</t>
  </si>
  <si>
    <t>COOLAHAN</t>
  </si>
  <si>
    <t>LOZA</t>
  </si>
  <si>
    <t>204:233315</t>
  </si>
  <si>
    <t>204:233323</t>
  </si>
  <si>
    <t>204:232975</t>
  </si>
  <si>
    <t>204:464</t>
  </si>
  <si>
    <t>STARKS</t>
  </si>
  <si>
    <t>STORY</t>
  </si>
  <si>
    <t>BEAM</t>
  </si>
  <si>
    <t>STEWART</t>
  </si>
  <si>
    <t>ADANE</t>
  </si>
  <si>
    <t>rtdc.l.rtdc.4024:itc</t>
  </si>
  <si>
    <t>LEVERE</t>
  </si>
  <si>
    <t>110-09</t>
  </si>
  <si>
    <t>115-09</t>
  </si>
  <si>
    <t>rtdc.l.rtdc.4008:itc</t>
  </si>
  <si>
    <t>116-09</t>
  </si>
  <si>
    <t>rtdc.l.rtdc.4030:itc</t>
  </si>
  <si>
    <t>126-09</t>
  </si>
  <si>
    <t>149-09</t>
  </si>
  <si>
    <t>rtdc.l.rtdc.4007:itc</t>
  </si>
  <si>
    <t>147-09</t>
  </si>
  <si>
    <t>163-09</t>
  </si>
  <si>
    <t>158-09</t>
  </si>
  <si>
    <t>171-09</t>
  </si>
  <si>
    <t>166-09</t>
  </si>
  <si>
    <t>177-09</t>
  </si>
  <si>
    <t>170-09</t>
  </si>
  <si>
    <t>172-09</t>
  </si>
  <si>
    <t>rtdc.l.rtdc.4044:itc</t>
  </si>
  <si>
    <t>183-09</t>
  </si>
  <si>
    <t>180-09</t>
  </si>
  <si>
    <t>186-09</t>
  </si>
  <si>
    <t>rtdc.l.rtdc.4031:itc</t>
  </si>
  <si>
    <t>193-09</t>
  </si>
  <si>
    <t>rtdc.l.rtdc.4014:itc</t>
  </si>
  <si>
    <t>195-09</t>
  </si>
  <si>
    <t>rtdc.l.rtdc.4013:itc</t>
  </si>
  <si>
    <t>196-09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</si>
  <si>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</si>
  <si>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</si>
  <si>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</si>
  <si>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</si>
  <si>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</si>
  <si>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</si>
  <si>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</si>
  <si>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</si>
  <si>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</si>
  <si>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</si>
  <si>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</si>
  <si>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YANAI</t>
  </si>
  <si>
    <t>MAYBERRY</t>
  </si>
  <si>
    <t>ROCHA</t>
  </si>
  <si>
    <t>179-09</t>
  </si>
  <si>
    <t>BARTLETT</t>
  </si>
  <si>
    <t>151-09</t>
  </si>
  <si>
    <t>144-09</t>
  </si>
  <si>
    <t>MALAVE</t>
  </si>
  <si>
    <t>rtdc.l.rtdc.4055:itc</t>
  </si>
  <si>
    <t>GOODNIGHT</t>
  </si>
  <si>
    <t>142-09</t>
  </si>
  <si>
    <t>rtdc.l.rtdc.4029:itc</t>
  </si>
  <si>
    <t>HONTZ</t>
  </si>
  <si>
    <t>130-09</t>
  </si>
  <si>
    <t>216-09</t>
  </si>
  <si>
    <t>122-09</t>
  </si>
  <si>
    <t>NELSON</t>
  </si>
  <si>
    <t>101-09</t>
  </si>
  <si>
    <t>135-09</t>
  </si>
  <si>
    <t>165-09</t>
  </si>
  <si>
    <t>119-09</t>
  </si>
  <si>
    <t>240-09</t>
  </si>
  <si>
    <t>NEWELL</t>
  </si>
  <si>
    <t>234-09</t>
  </si>
  <si>
    <t>237-09</t>
  </si>
  <si>
    <t>224-09</t>
  </si>
  <si>
    <t>211-09</t>
  </si>
  <si>
    <t>138-09</t>
  </si>
  <si>
    <t>145-09</t>
  </si>
  <si>
    <t>125-09</t>
  </si>
  <si>
    <t>111-09</t>
  </si>
  <si>
    <t>213-09</t>
  </si>
  <si>
    <t>160-09</t>
  </si>
  <si>
    <t>225-09</t>
  </si>
  <si>
    <t>161-09</t>
  </si>
  <si>
    <t>191-09</t>
  </si>
  <si>
    <t>140-09</t>
  </si>
  <si>
    <t>209-09</t>
  </si>
  <si>
    <t>132-09</t>
  </si>
  <si>
    <t>227-09</t>
  </si>
  <si>
    <t>243-09</t>
  </si>
  <si>
    <t>233-09</t>
  </si>
  <si>
    <t>109-09</t>
  </si>
  <si>
    <t>238-09</t>
  </si>
  <si>
    <t>236-09</t>
  </si>
  <si>
    <t>139-09</t>
  </si>
  <si>
    <t>167-09</t>
  </si>
  <si>
    <t>203-09</t>
  </si>
  <si>
    <t>244-09</t>
  </si>
  <si>
    <t>112-09</t>
  </si>
  <si>
    <t>131-09</t>
  </si>
  <si>
    <t>108-09</t>
  </si>
  <si>
    <t>117-09</t>
  </si>
  <si>
    <t>173-09</t>
  </si>
  <si>
    <t>YOUNG-09</t>
  </si>
  <si>
    <t>178-09</t>
  </si>
  <si>
    <t>201-09</t>
  </si>
  <si>
    <t>230-09</t>
  </si>
  <si>
    <t>141-09</t>
  </si>
  <si>
    <t>136-09</t>
  </si>
  <si>
    <t>153-09</t>
  </si>
  <si>
    <t>208-09</t>
  </si>
  <si>
    <t>157-09</t>
  </si>
  <si>
    <t>150-09</t>
  </si>
  <si>
    <t>190-09</t>
  </si>
  <si>
    <t>235-09</t>
  </si>
  <si>
    <t>174-09</t>
  </si>
  <si>
    <t>232-09</t>
  </si>
  <si>
    <t>188-09</t>
  </si>
  <si>
    <t>222-09</t>
  </si>
  <si>
    <t>197-09</t>
  </si>
  <si>
    <t>217-09</t>
  </si>
  <si>
    <t>113-09</t>
  </si>
  <si>
    <t>229-09</t>
  </si>
  <si>
    <t>204-09</t>
  </si>
  <si>
    <t>192-09</t>
  </si>
  <si>
    <t>154-09</t>
  </si>
  <si>
    <t>189-09</t>
  </si>
  <si>
    <t>176-09</t>
  </si>
  <si>
    <t>200-09</t>
  </si>
  <si>
    <t>107-09</t>
  </si>
  <si>
    <t>103-09</t>
  </si>
  <si>
    <t>215-09</t>
  </si>
  <si>
    <t>143-09</t>
  </si>
  <si>
    <t>181-09</t>
  </si>
  <si>
    <t>204:127860</t>
  </si>
  <si>
    <t>204:161</t>
  </si>
  <si>
    <t>204:473</t>
  </si>
  <si>
    <t>204:232971</t>
  </si>
  <si>
    <t>204:232985</t>
  </si>
  <si>
    <t>204:233010</t>
  </si>
  <si>
    <t>204:232981</t>
  </si>
  <si>
    <t>204:233291</t>
  </si>
  <si>
    <t>204:232979</t>
  </si>
  <si>
    <t>204:232970</t>
  </si>
  <si>
    <t>204:467</t>
  </si>
  <si>
    <t>204:232969</t>
  </si>
  <si>
    <t>Possible Explanation</t>
  </si>
  <si>
    <t>Recorded Operator</t>
  </si>
  <si>
    <t>Trip ID</t>
  </si>
  <si>
    <t># Of Times Offered</t>
  </si>
  <si>
    <t>Loco</t>
  </si>
  <si>
    <t>119-12</t>
  </si>
  <si>
    <t>rtdc.l.rtdc.4012:itc</t>
  </si>
  <si>
    <t>114-12</t>
  </si>
  <si>
    <t>122-12</t>
  </si>
  <si>
    <t>rtdc.l.rtdc.4015:itc</t>
  </si>
  <si>
    <t>rtdc.l.rtdc.4011:itc</t>
  </si>
  <si>
    <t>rtdc.l.rtdc.4016:itc</t>
  </si>
  <si>
    <t>rtdc.l.rtdc.4010:itc</t>
  </si>
  <si>
    <t>182-12</t>
  </si>
  <si>
    <t>192-12</t>
  </si>
  <si>
    <t>EQUIPMENT RESTRICTION</t>
  </si>
  <si>
    <t>204-12</t>
  </si>
  <si>
    <t>CANFIELD</t>
  </si>
  <si>
    <t>STURGEON</t>
  </si>
  <si>
    <t>ACKERMAN</t>
  </si>
  <si>
    <t>LOCKLEAR</t>
  </si>
  <si>
    <t>WEBSTER</t>
  </si>
  <si>
    <t>YORK</t>
  </si>
  <si>
    <t>REBOLETTI</t>
  </si>
  <si>
    <t>118-12</t>
  </si>
  <si>
    <t>231-12</t>
  </si>
  <si>
    <t>125-12</t>
  </si>
  <si>
    <t>223-12</t>
  </si>
  <si>
    <t>123-12</t>
  </si>
  <si>
    <t>108-12</t>
  </si>
  <si>
    <t>109-12</t>
  </si>
  <si>
    <t>180-12</t>
  </si>
  <si>
    <t>204:232660</t>
  </si>
  <si>
    <t>204:233288</t>
  </si>
  <si>
    <t>204:232987</t>
  </si>
  <si>
    <t>204:713</t>
  </si>
  <si>
    <t>204:136</t>
  </si>
  <si>
    <t>204:169</t>
  </si>
  <si>
    <t>204:232957</t>
  </si>
  <si>
    <t>204:233317</t>
  </si>
  <si>
    <t>204:233000</t>
  </si>
  <si>
    <t>204:233295</t>
  </si>
  <si>
    <t>204:233310</t>
  </si>
  <si>
    <t>204:447</t>
  </si>
  <si>
    <t>204:431</t>
  </si>
  <si>
    <t>204:233289</t>
  </si>
  <si>
    <t>204:446</t>
  </si>
  <si>
    <t>204:233263</t>
  </si>
  <si>
    <t>204:495</t>
  </si>
  <si>
    <t>Onboard in-route failure</t>
  </si>
  <si>
    <t>Comms</t>
  </si>
  <si>
    <t>Form C</t>
  </si>
  <si>
    <t>116-13</t>
  </si>
  <si>
    <t>rtdc.l.rtdc.4025:itc</t>
  </si>
  <si>
    <t>117-13</t>
  </si>
  <si>
    <t>179-13</t>
  </si>
  <si>
    <t>189-13</t>
  </si>
  <si>
    <t>222-13</t>
  </si>
  <si>
    <t>232-13</t>
  </si>
  <si>
    <t>CHANDLER</t>
  </si>
  <si>
    <t>237-13</t>
  </si>
  <si>
    <t>200-13</t>
  </si>
  <si>
    <t>220-13</t>
  </si>
  <si>
    <t>227-13</t>
  </si>
  <si>
    <t>STRICKLAND</t>
  </si>
  <si>
    <t>223-13</t>
  </si>
  <si>
    <t>238-13</t>
  </si>
  <si>
    <t>rtdc.l.rtdc.4040:itc</t>
  </si>
  <si>
    <t>211-13</t>
  </si>
  <si>
    <t>CHIONE</t>
  </si>
  <si>
    <t>115-13</t>
  </si>
  <si>
    <t>129-13</t>
  </si>
  <si>
    <t>rtdc.l.rtdc.4026:itc</t>
  </si>
  <si>
    <t>188-13</t>
  </si>
  <si>
    <t>124-13</t>
  </si>
  <si>
    <t>SPECTOR</t>
  </si>
  <si>
    <t>141-13</t>
  </si>
  <si>
    <t>122-13</t>
  </si>
  <si>
    <t>144-13</t>
  </si>
  <si>
    <t>244-13</t>
  </si>
  <si>
    <t>150-13</t>
  </si>
  <si>
    <t>208-13</t>
  </si>
  <si>
    <t>177-13</t>
  </si>
  <si>
    <t>BRABO</t>
  </si>
  <si>
    <t>202-13</t>
  </si>
  <si>
    <t>112-13</t>
  </si>
  <si>
    <t>186-13</t>
  </si>
  <si>
    <t>120-13</t>
  </si>
  <si>
    <t>240-13</t>
  </si>
  <si>
    <t>169-13</t>
  </si>
  <si>
    <t>COCA</t>
  </si>
  <si>
    <t>239-13</t>
  </si>
  <si>
    <t>110-13</t>
  </si>
  <si>
    <t>224-13</t>
  </si>
  <si>
    <t>138-13</t>
  </si>
  <si>
    <t>235-13</t>
  </si>
  <si>
    <t>162-13</t>
  </si>
  <si>
    <t>114-13</t>
  </si>
  <si>
    <t>217-13</t>
  </si>
  <si>
    <t>127-13</t>
  </si>
  <si>
    <t>198-13</t>
  </si>
  <si>
    <t>139-13</t>
  </si>
  <si>
    <t>182-13</t>
  </si>
  <si>
    <t>149-13</t>
  </si>
  <si>
    <t>187-13</t>
  </si>
  <si>
    <t>168-13</t>
  </si>
  <si>
    <t>146-13</t>
  </si>
  <si>
    <t>233-13</t>
  </si>
  <si>
    <t>155-13</t>
  </si>
  <si>
    <t>226-13</t>
  </si>
  <si>
    <t>154-13</t>
  </si>
  <si>
    <t>196-13</t>
  </si>
  <si>
    <t>160-13</t>
  </si>
  <si>
    <t>195-13</t>
  </si>
  <si>
    <t>181-13</t>
  </si>
  <si>
    <t>178-13</t>
  </si>
  <si>
    <t>184-13</t>
  </si>
  <si>
    <t>174-13</t>
  </si>
  <si>
    <t>210-13</t>
  </si>
  <si>
    <t>171-13</t>
  </si>
  <si>
    <t>221-13</t>
  </si>
  <si>
    <t>133-13</t>
  </si>
  <si>
    <t>241-13</t>
  </si>
  <si>
    <t>119-13</t>
  </si>
  <si>
    <t>243-13</t>
  </si>
  <si>
    <t>152-13</t>
  </si>
  <si>
    <t>180-13</t>
  </si>
  <si>
    <t>153-13</t>
  </si>
  <si>
    <t>140-13</t>
  </si>
  <si>
    <t>206-13</t>
  </si>
  <si>
    <t>131-13</t>
  </si>
  <si>
    <t>148-13</t>
  </si>
  <si>
    <t>147-13</t>
  </si>
  <si>
    <t>236-13</t>
  </si>
  <si>
    <t>145-13</t>
  </si>
  <si>
    <t>118-13</t>
  </si>
  <si>
    <t>132-13</t>
  </si>
  <si>
    <t>183-13</t>
  </si>
  <si>
    <t>126-13</t>
  </si>
  <si>
    <t>197-13</t>
  </si>
  <si>
    <t>108-13</t>
  </si>
  <si>
    <t>204-13</t>
  </si>
  <si>
    <t>105-13</t>
  </si>
  <si>
    <t>rtdc.l.rtdc.4039:itc</t>
  </si>
  <si>
    <t>106-13</t>
  </si>
  <si>
    <t>103-13</t>
  </si>
  <si>
    <t>123-13</t>
  </si>
  <si>
    <t>128-13</t>
  </si>
  <si>
    <t>130-13</t>
  </si>
  <si>
    <t>212-13</t>
  </si>
  <si>
    <t>143-13</t>
  </si>
  <si>
    <t>136-13</t>
  </si>
  <si>
    <t>142-13</t>
  </si>
  <si>
    <t>201-13</t>
  </si>
  <si>
    <t>156-13</t>
  </si>
  <si>
    <t>167-13</t>
  </si>
  <si>
    <t>161-13</t>
  </si>
  <si>
    <t>151-13</t>
  </si>
  <si>
    <t>157-13</t>
  </si>
  <si>
    <t>170-13</t>
  </si>
  <si>
    <t>125-13</t>
  </si>
  <si>
    <t>209-13</t>
  </si>
  <si>
    <t>205-13</t>
  </si>
  <si>
    <t>218-13</t>
  </si>
  <si>
    <t>190-13</t>
  </si>
  <si>
    <t>102-13</t>
  </si>
  <si>
    <t>109-13</t>
  </si>
  <si>
    <t>185-13</t>
  </si>
  <si>
    <t>163-13</t>
  </si>
  <si>
    <t>165-13</t>
  </si>
  <si>
    <t>135-13</t>
  </si>
  <si>
    <t>176-13</t>
  </si>
  <si>
    <t>CLAIBORNE</t>
  </si>
  <si>
    <t>199-13</t>
  </si>
  <si>
    <t>107-13</t>
  </si>
  <si>
    <t>203-13</t>
  </si>
  <si>
    <t>234-13</t>
  </si>
  <si>
    <t>213-13</t>
  </si>
  <si>
    <t>207-13</t>
  </si>
  <si>
    <t>166-13</t>
  </si>
  <si>
    <t>191-13</t>
  </si>
  <si>
    <t>193-13</t>
  </si>
  <si>
    <t>173-13</t>
  </si>
  <si>
    <t>215-13</t>
  </si>
  <si>
    <t>164-13</t>
  </si>
  <si>
    <t>214-13</t>
  </si>
  <si>
    <t>121-13</t>
  </si>
  <si>
    <t>229-13</t>
  </si>
  <si>
    <t>101-13</t>
  </si>
  <si>
    <t>231-13</t>
  </si>
  <si>
    <t>104-13</t>
  </si>
  <si>
    <t>216-13</t>
  </si>
  <si>
    <t>111-13</t>
  </si>
  <si>
    <t>219-13</t>
  </si>
  <si>
    <t>137-13</t>
  </si>
  <si>
    <t>158-13</t>
  </si>
  <si>
    <t>134-13</t>
  </si>
  <si>
    <t>159-13</t>
  </si>
  <si>
    <t>228-13</t>
  </si>
  <si>
    <t>172-13</t>
  </si>
  <si>
    <t>194-13</t>
  </si>
  <si>
    <t>230-13</t>
  </si>
  <si>
    <t>242-13</t>
  </si>
  <si>
    <t>192-13</t>
  </si>
  <si>
    <t>204:795</t>
  </si>
  <si>
    <t>204:232668</t>
  </si>
  <si>
    <t>204:726</t>
  </si>
  <si>
    <t>204:232632</t>
  </si>
  <si>
    <t>204:232670</t>
  </si>
  <si>
    <t>204:129</t>
  </si>
  <si>
    <t>204:356</t>
  </si>
  <si>
    <t>204:233397</t>
  </si>
  <si>
    <t>204:233061</t>
  </si>
  <si>
    <t>204:240</t>
  </si>
  <si>
    <t>204:61762</t>
  </si>
  <si>
    <t>204:64712</t>
  </si>
  <si>
    <t>204:233331</t>
  </si>
  <si>
    <t>204:814</t>
  </si>
  <si>
    <t>204:413</t>
  </si>
  <si>
    <t>204:785</t>
  </si>
  <si>
    <t>204:233282</t>
  </si>
  <si>
    <t>204:92639</t>
  </si>
  <si>
    <t>204:64159</t>
  </si>
  <si>
    <t>204:757</t>
  </si>
  <si>
    <t>204:232988</t>
  </si>
  <si>
    <t>204:123</t>
  </si>
  <si>
    <t>204:533</t>
  </si>
  <si>
    <t>204:233096</t>
  </si>
  <si>
    <t>204:130</t>
  </si>
  <si>
    <t>204:232992</t>
  </si>
  <si>
    <t>204:251</t>
  </si>
  <si>
    <t>204:233006</t>
  </si>
  <si>
    <t>204:693</t>
  </si>
  <si>
    <t>204:233287</t>
  </si>
  <si>
    <t>204:22445</t>
  </si>
  <si>
    <t>204:233270</t>
  </si>
  <si>
    <t>204:232953</t>
  </si>
  <si>
    <t>204:23882</t>
  </si>
  <si>
    <t>204:3732</t>
  </si>
  <si>
    <t>204:26650</t>
  </si>
  <si>
    <t>204:553</t>
  </si>
  <si>
    <t>204:232993</t>
  </si>
  <si>
    <t>204:477</t>
  </si>
  <si>
    <t>204:233278</t>
  </si>
  <si>
    <t>204:232955</t>
  </si>
  <si>
    <t>204:19141</t>
  </si>
  <si>
    <t>204:104697</t>
  </si>
  <si>
    <t>204:19138</t>
  </si>
  <si>
    <t>204:19767</t>
  </si>
  <si>
    <t>204:5615</t>
  </si>
  <si>
    <t>204:435</t>
  </si>
  <si>
    <t>204:233387</t>
  </si>
  <si>
    <t>204:233068</t>
  </si>
  <si>
    <t>204:233324</t>
  </si>
  <si>
    <t>204:233003</t>
  </si>
  <si>
    <t>204:233302</t>
  </si>
  <si>
    <t>204:233307</t>
  </si>
  <si>
    <t>204:167</t>
  </si>
  <si>
    <t>204:233253</t>
  </si>
  <si>
    <t>204:232926</t>
  </si>
  <si>
    <t>204:437</t>
  </si>
  <si>
    <t>204:232952</t>
  </si>
  <si>
    <t>204:233334</t>
  </si>
  <si>
    <t>204:233013</t>
  </si>
  <si>
    <t>204:232986</t>
  </si>
  <si>
    <t>204:153816</t>
  </si>
  <si>
    <t>204:422</t>
  </si>
  <si>
    <t>204:100810</t>
  </si>
  <si>
    <t>204:232938</t>
  </si>
  <si>
    <t>204:242</t>
  </si>
  <si>
    <t>204:233332</t>
  </si>
  <si>
    <t>204:233343</t>
  </si>
  <si>
    <t>204:486</t>
  </si>
  <si>
    <t>204:232965</t>
  </si>
  <si>
    <t>204:546</t>
  </si>
  <si>
    <t>204:233325</t>
  </si>
  <si>
    <t>204:176</t>
  </si>
  <si>
    <t>204:449</t>
  </si>
  <si>
    <t>204:127</t>
  </si>
  <si>
    <t>204:232245</t>
  </si>
  <si>
    <t>204:233236</t>
  </si>
  <si>
    <t>204:232913</t>
  </si>
  <si>
    <t>204:444</t>
  </si>
  <si>
    <t>204:232934</t>
  </si>
  <si>
    <t>204:232618</t>
  </si>
  <si>
    <t>204:233257</t>
  </si>
  <si>
    <t>204:232932</t>
  </si>
  <si>
    <t>204:433</t>
  </si>
  <si>
    <t>204:1567</t>
  </si>
  <si>
    <t>204:233040</t>
  </si>
  <si>
    <t>204:232719</t>
  </si>
  <si>
    <t>204:207</t>
  </si>
  <si>
    <t>204:233002</t>
  </si>
  <si>
    <t>204:364</t>
  </si>
  <si>
    <t>204:911</t>
  </si>
  <si>
    <t>204:367</t>
  </si>
  <si>
    <t>204:231498</t>
  </si>
  <si>
    <t>204:232679</t>
  </si>
  <si>
    <t>204:170095</t>
  </si>
  <si>
    <t>204:478</t>
  </si>
  <si>
    <t>204:49194</t>
  </si>
  <si>
    <t>204:670</t>
  </si>
  <si>
    <t>204:128271</t>
  </si>
  <si>
    <t>204:128015</t>
  </si>
  <si>
    <t>204:351</t>
  </si>
  <si>
    <t>204:128012</t>
  </si>
  <si>
    <t>204:154021</t>
  </si>
  <si>
    <t>204:19122</t>
  </si>
  <si>
    <t>204:128264</t>
  </si>
  <si>
    <t>204:154013</t>
  </si>
  <si>
    <t>204:154429</t>
  </si>
  <si>
    <t>204:128032</t>
  </si>
  <si>
    <t>204:365</t>
  </si>
  <si>
    <t>204:650</t>
  </si>
  <si>
    <t>204:128276</t>
  </si>
  <si>
    <t>204:684</t>
  </si>
  <si>
    <t>204:154010</t>
  </si>
  <si>
    <t>204:19128</t>
  </si>
  <si>
    <t>204:666</t>
  </si>
  <si>
    <t>204:1269</t>
  </si>
  <si>
    <t>204:653</t>
  </si>
  <si>
    <t>204:493</t>
  </si>
  <si>
    <t>204:1926</t>
  </si>
  <si>
    <t>113-13</t>
  </si>
  <si>
    <t>175-13</t>
  </si>
  <si>
    <t>225-13</t>
  </si>
  <si>
    <t>Little Warning</t>
  </si>
  <si>
    <t>incorrect Bulletin Execution</t>
  </si>
  <si>
    <t>Lightning Event at 61st</t>
  </si>
  <si>
    <t>Crew Cutout ahead of stopped signal 107939 Main 1 Waiting for OB Logs</t>
  </si>
  <si>
    <t>Crew Cutout ahead of stopped signal 231147 Main 1 Waiting for OB Logs</t>
  </si>
  <si>
    <t>Dispatcher Error Per Mike</t>
  </si>
  <si>
    <t>Planned outages for system upgrade</t>
  </si>
  <si>
    <t>Routing</t>
  </si>
  <si>
    <t>GPS at DUS</t>
  </si>
  <si>
    <t>Onboard In-route Failure</t>
  </si>
  <si>
    <t>Xing Completion Percentage</t>
  </si>
  <si>
    <t>IsEven</t>
  </si>
  <si>
    <t>Xing#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</si>
</sst>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1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5" xfId="0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left"/>
    </xf>
    <xf numFmtId="0" fontId="0" fillId="0" borderId="0" xfId="0" applyFill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0" fontId="0" fillId="0" borderId="5" xfId="0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9" fontId="0" fillId="0" borderId="5" xfId="0" applyNumberFormat="1" applyFill="1" applyBorder="1"/>
    <xf numFmtId="0" fontId="0" fillId="0" borderId="5" xfId="0" applyNumberFormat="1" applyFill="1" applyBorder="1"/>
  </cellXfs>
  <cellStyles count="1">
    <cellStyle name="Normal" xfId="0" builtinId="0"/>
  </cellStyles>
  <dxfs count="65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  <row r="18">
          <cell r="M18" t="str">
            <v>"C:\Program Files (x86)\AstroGrep\AstroGrep.exe"</v>
          </cell>
        </row>
        <row r="19">
          <cell r="M19" t="str">
            <v>"C:\Users\stu\Documents\Analysis\2016-02-23 RTDC Observations"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8"/>
  <sheetViews>
    <sheetView showGridLines="0" tabSelected="1" topLeftCell="A133" zoomScale="85" zoomScaleNormal="85" workbookViewId="0">
      <selection activeCell="S9" sqref="S9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1" width="4.28515625" style="59" customWidth="1"/>
    <col min="22" max="22" width="19.28515625" style="54" customWidth="1"/>
    <col min="23" max="23" width="10.140625" style="54" customWidth="1"/>
    <col min="24" max="24" width="14.140625" style="54" customWidth="1"/>
    <col min="25" max="27" width="9.140625" style="54"/>
    <col min="28" max="28" width="10.7109375" style="55" bestFit="1" customWidth="1"/>
    <col min="29" max="29" width="30.5703125" style="55" bestFit="1" customWidth="1"/>
  </cols>
  <sheetData>
    <row r="1" spans="1:91" ht="57.75" customHeight="1" thickBot="1" x14ac:dyDescent="0.3">
      <c r="A1" s="102" t="str">
        <f>"Eagle P3 System Performance - "&amp;TEXT(Variables!A2,"yyyy-mm-dd")</f>
        <v>Eagle P3 System Performance - 2016-06-13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S1" s="105">
        <f>AVERAGE(S3:S99989)</f>
        <v>0.90653153153153165</v>
      </c>
      <c r="U1" s="105"/>
    </row>
    <row r="2" spans="1:91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611</v>
      </c>
      <c r="T2" s="106" t="s">
        <v>612</v>
      </c>
      <c r="U2" s="107" t="s">
        <v>613</v>
      </c>
      <c r="V2" s="71" t="s">
        <v>47</v>
      </c>
      <c r="W2" s="71" t="s">
        <v>23</v>
      </c>
      <c r="X2" s="71" t="s">
        <v>51</v>
      </c>
      <c r="Y2" s="71" t="s">
        <v>20</v>
      </c>
      <c r="Z2" s="71" t="s">
        <v>21</v>
      </c>
      <c r="AA2" s="71" t="s">
        <v>22</v>
      </c>
      <c r="AB2" s="72" t="s">
        <v>41</v>
      </c>
      <c r="AC2" s="72" t="s">
        <v>42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</row>
    <row r="3" spans="1:91" s="2" customFormat="1" x14ac:dyDescent="0.25">
      <c r="A3" s="60" t="s">
        <v>463</v>
      </c>
      <c r="B3" s="60">
        <v>4024</v>
      </c>
      <c r="C3" s="60" t="s">
        <v>62</v>
      </c>
      <c r="D3" s="60" t="s">
        <v>479</v>
      </c>
      <c r="E3" s="30">
        <v>42534.126574074071</v>
      </c>
      <c r="F3" s="30">
        <v>42534.12767361111</v>
      </c>
      <c r="G3" s="38">
        <v>1</v>
      </c>
      <c r="H3" s="30" t="s">
        <v>103</v>
      </c>
      <c r="I3" s="30">
        <v>42534.163078703707</v>
      </c>
      <c r="J3" s="60">
        <v>0</v>
      </c>
      <c r="K3" s="60" t="str">
        <f t="shared" ref="K3:K34" si="0">IF(ISEVEN(B3),(B3-1)&amp;"/"&amp;B3,B3&amp;"/"&amp;(B3+1))</f>
        <v>4023/4024</v>
      </c>
      <c r="L3" s="60" t="str">
        <f>VLOOKUP(A3,'Trips&amp;Operators'!$C$1:$E$9999,3,FALSE)</f>
        <v>CANFIELD</v>
      </c>
      <c r="M3" s="12">
        <f t="shared" ref="M3:M34" si="1">I3-F3</f>
        <v>3.5405092596192844E-2</v>
      </c>
      <c r="N3" s="13">
        <f t="shared" ref="N3:N10" si="2">24*60*SUM($M3:$M3)</f>
        <v>50.983333338517696</v>
      </c>
      <c r="O3" s="13"/>
      <c r="P3" s="13"/>
      <c r="Q3" s="61"/>
      <c r="R3" s="61"/>
      <c r="S3" s="108">
        <f t="shared" ref="S3" si="3">SUM(U3:U3)/12</f>
        <v>1</v>
      </c>
      <c r="T3" s="86" t="str">
        <f t="shared" ref="T3" si="4">IF(ISEVEN(LEFT(A3,3)),"Southbound","NorthBound")</f>
        <v>NorthBound</v>
      </c>
      <c r="U3" s="109">
        <f>COUNTIFS([1]Variables!$M$2:$M$19,IF(T3="NorthBound","&gt;=","&lt;=")&amp;Y3,[1]Variables!$M$2:$M$19,IF(T3="NorthBound","&lt;=","&gt;=")&amp;Z3)</f>
        <v>12</v>
      </c>
      <c r="V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https://search-rtdc-monitor-bjffxe2xuh6vdkpspy63sjmuny.us-east-1.es.amazonaws.com/_plugin/kibana/#/discover/Steve-Slow-Train-Analysis-(2080s-and-2083s)?_g=(refreshInterval:(display:Off,section:0,value:0),time:(from:'2016-06-13 03:01:16-0600',mode:absolute,to:'2016-06-13 03:55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" s="73" t="str">
        <f t="shared" ref="W3:W14" si="5">IF(AA3&lt;23,"Y","N")</f>
        <v>N</v>
      </c>
      <c r="X3" s="73" t="e">
        <f>VALUE(LEFT(A3,3))-VALUE(LEFT(A2,3))</f>
        <v>#VALUE!</v>
      </c>
      <c r="Y3" s="73">
        <f>RIGHT(D3,LEN(D3)-4)/10000</f>
        <v>7.9500000000000001E-2</v>
      </c>
      <c r="Z3" s="73">
        <f>RIGHT(H3,LEN(H3)-4)/10000</f>
        <v>23.330400000000001</v>
      </c>
      <c r="AA3" s="73">
        <f t="shared" ref="AA3:AA14" si="6">ABS(Z3-Y3)</f>
        <v>23.250900000000001</v>
      </c>
      <c r="AB3" s="74" t="e">
        <f>VLOOKUP(A3,Enforcements!$C$21:$J$74,8,0)</f>
        <v>#N/A</v>
      </c>
      <c r="AC3" s="74" t="e">
        <f>VLOOKUP(A3,Enforcements!$C$21:$J$74,3,0)</f>
        <v>#N/A</v>
      </c>
    </row>
    <row r="4" spans="1:91" s="2" customFormat="1" x14ac:dyDescent="0.25">
      <c r="A4" s="60" t="s">
        <v>440</v>
      </c>
      <c r="B4" s="60">
        <v>4032</v>
      </c>
      <c r="C4" s="60" t="s">
        <v>62</v>
      </c>
      <c r="D4" s="60" t="s">
        <v>480</v>
      </c>
      <c r="E4" s="30">
        <v>42534.170266203706</v>
      </c>
      <c r="F4" s="30">
        <v>42534.171782407408</v>
      </c>
      <c r="G4" s="38">
        <v>2</v>
      </c>
      <c r="H4" s="30" t="s">
        <v>102</v>
      </c>
      <c r="I4" s="30">
        <v>42534.202569444446</v>
      </c>
      <c r="J4" s="60">
        <v>1</v>
      </c>
      <c r="K4" s="60" t="str">
        <f t="shared" si="0"/>
        <v>4031/4032</v>
      </c>
      <c r="L4" s="60" t="str">
        <f>VLOOKUP(A4,'Trips&amp;Operators'!$C$1:$E$9999,3,FALSE)</f>
        <v>CANFIELD</v>
      </c>
      <c r="M4" s="12">
        <f t="shared" si="1"/>
        <v>3.0787037037953269E-2</v>
      </c>
      <c r="N4" s="13">
        <f t="shared" si="2"/>
        <v>44.333333334652707</v>
      </c>
      <c r="O4" s="13"/>
      <c r="P4" s="13"/>
      <c r="Q4" s="61"/>
      <c r="R4" s="61"/>
      <c r="S4" s="108">
        <f t="shared" ref="S4:S67" si="7">SUM(U4:U4)/12</f>
        <v>1</v>
      </c>
      <c r="T4" s="86" t="str">
        <f t="shared" ref="T4:T67" si="8">IF(ISEVEN(LEFT(A4,3)),"Southbound","NorthBound")</f>
        <v>Southbound</v>
      </c>
      <c r="U4" s="109">
        <f>COUNTIFS([1]Variables!$M$2:$M$19,IF(T4="NorthBound","&gt;=","&lt;=")&amp;Y4,[1]Variables!$M$2:$M$19,IF(T4="NorthBound","&lt;=","&gt;=")&amp;Z4)</f>
        <v>12</v>
      </c>
      <c r="V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https://search-rtdc-monitor-bjffxe2xuh6vdkpspy63sjmuny.us-east-1.es.amazonaws.com/_plugin/kibana/#/discover/Steve-Slow-Train-Analysis-(2080s-and-2083s)?_g=(refreshInterval:(display:Off,section:0,value:0),time:(from:'2016-06-13 04:04:11-0600',mode:absolute,to:'2016-06-13 04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" s="73" t="str">
        <f t="shared" si="5"/>
        <v>N</v>
      </c>
      <c r="X4" s="73">
        <f>VALUE(LEFT(A4,3))-VALUE(LEFT(A3,3))</f>
        <v>1</v>
      </c>
      <c r="Y4" s="73">
        <f>RIGHT(D4,LEN(D4)-4)/10000</f>
        <v>23.2668</v>
      </c>
      <c r="Z4" s="73">
        <f>RIGHT(H4,LEN(H4)-4)/10000</f>
        <v>1.54E-2</v>
      </c>
      <c r="AA4" s="73">
        <f t="shared" si="6"/>
        <v>23.2514</v>
      </c>
      <c r="AB4" s="74">
        <f>VLOOKUP(A4,Enforcements!$C$21:$J$74,8,0)</f>
        <v>1</v>
      </c>
      <c r="AC4" s="74" t="str">
        <f>VLOOKUP(A4,Enforcements!$C$21:$J$74,3,0)</f>
        <v>TRACK WARRANT AUTHORITY</v>
      </c>
    </row>
    <row r="5" spans="1:91" s="2" customFormat="1" x14ac:dyDescent="0.25">
      <c r="A5" s="60" t="s">
        <v>420</v>
      </c>
      <c r="B5" s="60">
        <v>4044</v>
      </c>
      <c r="C5" s="60" t="s">
        <v>62</v>
      </c>
      <c r="D5" s="60" t="s">
        <v>481</v>
      </c>
      <c r="E5" s="30">
        <v>42534.151331018518</v>
      </c>
      <c r="F5" s="30">
        <v>42534.153055555558</v>
      </c>
      <c r="G5" s="38">
        <v>2</v>
      </c>
      <c r="H5" s="30" t="s">
        <v>322</v>
      </c>
      <c r="I5" s="30">
        <v>42534.183020833334</v>
      </c>
      <c r="J5" s="60">
        <v>0</v>
      </c>
      <c r="K5" s="60" t="str">
        <f t="shared" si="0"/>
        <v>4043/4044</v>
      </c>
      <c r="L5" s="60" t="str">
        <f>VLOOKUP(A5,'Trips&amp;Operators'!$C$1:$E$9999,3,FALSE)</f>
        <v>STURGEON</v>
      </c>
      <c r="M5" s="12">
        <f t="shared" si="1"/>
        <v>2.9965277775772847E-2</v>
      </c>
      <c r="N5" s="13">
        <f t="shared" si="2"/>
        <v>43.1499999971129</v>
      </c>
      <c r="O5" s="13"/>
      <c r="P5" s="13"/>
      <c r="Q5" s="61"/>
      <c r="R5" s="61"/>
      <c r="S5" s="108">
        <f t="shared" si="7"/>
        <v>1</v>
      </c>
      <c r="T5" s="86" t="str">
        <f t="shared" si="8"/>
        <v>NorthBound</v>
      </c>
      <c r="U5" s="109">
        <f>COUNTIFS([1]Variables!$M$2:$M$19,IF(T5="NorthBound","&gt;=","&lt;=")&amp;Y5,[1]Variables!$M$2:$M$19,IF(T5="NorthBound","&lt;=","&gt;=")&amp;Z5)</f>
        <v>12</v>
      </c>
      <c r="V5" s="73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https://search-rtdc-monitor-bjffxe2xuh6vdkpspy63sjmuny.us-east-1.es.amazonaws.com/_plugin/kibana/#/discover/Steve-Slow-Train-Analysis-(2080s-and-2083s)?_g=(refreshInterval:(display:Off,section:0,value:0),time:(from:'2016-06-13 03:36:55-0600',mode:absolute,to:'2016-06-13 04:24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" s="73" t="str">
        <f t="shared" si="5"/>
        <v>N</v>
      </c>
      <c r="X5" s="73">
        <f>VALUE(LEFT(A5,3))-VALUE(LEFT(A4,3))</f>
        <v>1</v>
      </c>
      <c r="Y5" s="73">
        <f>RIGHT(D5,LEN(D5)-4)/10000</f>
        <v>7.2599999999999998E-2</v>
      </c>
      <c r="Z5" s="73">
        <f>RIGHT(H5,LEN(H5)-4)/10000</f>
        <v>23.3263</v>
      </c>
      <c r="AA5" s="73">
        <f t="shared" si="6"/>
        <v>23.253699999999998</v>
      </c>
      <c r="AB5" s="74" t="e">
        <f>VLOOKUP(A5,Enforcements!$C$21:$J$74,8,0)</f>
        <v>#N/A</v>
      </c>
      <c r="AC5" s="74" t="e">
        <f>VLOOKUP(A5,Enforcements!$C$21:$J$74,3,0)</f>
        <v>#N/A</v>
      </c>
    </row>
    <row r="6" spans="1:91" s="2" customFormat="1" x14ac:dyDescent="0.25">
      <c r="A6" s="60" t="s">
        <v>465</v>
      </c>
      <c r="B6" s="60">
        <v>4026</v>
      </c>
      <c r="C6" s="60" t="s">
        <v>62</v>
      </c>
      <c r="D6" s="60" t="s">
        <v>482</v>
      </c>
      <c r="E6" s="30">
        <v>42534.19127314815</v>
      </c>
      <c r="F6" s="30">
        <v>42534.19226851852</v>
      </c>
      <c r="G6" s="38">
        <v>1</v>
      </c>
      <c r="H6" s="30" t="s">
        <v>102</v>
      </c>
      <c r="I6" s="30">
        <v>42534.22587962963</v>
      </c>
      <c r="J6" s="60">
        <v>1</v>
      </c>
      <c r="K6" s="60" t="str">
        <f t="shared" si="0"/>
        <v>4025/4026</v>
      </c>
      <c r="L6" s="60" t="str">
        <f>VLOOKUP(A6,'Trips&amp;Operators'!$C$1:$E$9999,3,FALSE)</f>
        <v>STURGEON</v>
      </c>
      <c r="M6" s="12">
        <f t="shared" si="1"/>
        <v>3.3611111110076308E-2</v>
      </c>
      <c r="N6" s="13">
        <f t="shared" si="2"/>
        <v>48.399999998509884</v>
      </c>
      <c r="O6" s="13"/>
      <c r="P6" s="13"/>
      <c r="Q6" s="61"/>
      <c r="R6" s="61"/>
      <c r="S6" s="108">
        <f t="shared" si="7"/>
        <v>1</v>
      </c>
      <c r="T6" s="86" t="str">
        <f t="shared" si="8"/>
        <v>Southbound</v>
      </c>
      <c r="U6" s="109">
        <f>COUNTIFS([1]Variables!$M$2:$M$19,IF(T6="NorthBound","&gt;=","&lt;=")&amp;Y6,[1]Variables!$M$2:$M$19,IF(T6="NorthBound","&lt;=","&gt;=")&amp;Z6)</f>
        <v>12</v>
      </c>
      <c r="V6" s="73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https://search-rtdc-monitor-bjffxe2xuh6vdkpspy63sjmuny.us-east-1.es.amazonaws.com/_plugin/kibana/#/discover/Steve-Slow-Train-Analysis-(2080s-and-2083s)?_g=(refreshInterval:(display:Off,section:0,value:0),time:(from:'2016-06-13 04:34:26-0600',mode:absolute,to:'2016-06-13 05:26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" s="73" t="str">
        <f t="shared" si="5"/>
        <v>N</v>
      </c>
      <c r="X6" s="73">
        <f>VALUE(LEFT(A6,3))-VALUE(LEFT(A5,3))</f>
        <v>1</v>
      </c>
      <c r="Y6" s="73">
        <f>RIGHT(D6,LEN(D6)-4)/10000</f>
        <v>23.263200000000001</v>
      </c>
      <c r="Z6" s="73">
        <f>RIGHT(H6,LEN(H6)-4)/10000</f>
        <v>1.54E-2</v>
      </c>
      <c r="AA6" s="73">
        <f t="shared" si="6"/>
        <v>23.247800000000002</v>
      </c>
      <c r="AB6" s="74">
        <f>VLOOKUP(A6,Enforcements!$C$21:$J$74,8,0)</f>
        <v>1</v>
      </c>
      <c r="AC6" s="74" t="str">
        <f>VLOOKUP(A6,Enforcements!$C$21:$J$74,3,0)</f>
        <v>TRACK WARRANT AUTHORITY</v>
      </c>
    </row>
    <row r="7" spans="1:91" s="2" customFormat="1" x14ac:dyDescent="0.25">
      <c r="A7" s="60" t="s">
        <v>417</v>
      </c>
      <c r="B7" s="60">
        <v>4009</v>
      </c>
      <c r="C7" s="60" t="s">
        <v>62</v>
      </c>
      <c r="D7" s="60" t="s">
        <v>310</v>
      </c>
      <c r="E7" s="30">
        <v>42534.173032407409</v>
      </c>
      <c r="F7" s="30">
        <v>42534.174456018518</v>
      </c>
      <c r="G7" s="38">
        <v>2</v>
      </c>
      <c r="H7" s="30" t="s">
        <v>111</v>
      </c>
      <c r="I7" s="30">
        <v>42534.204143518517</v>
      </c>
      <c r="J7" s="60">
        <v>0</v>
      </c>
      <c r="K7" s="60" t="str">
        <f t="shared" si="0"/>
        <v>4009/4010</v>
      </c>
      <c r="L7" s="60" t="str">
        <f>VLOOKUP(A7,'Trips&amp;Operators'!$C$1:$E$9999,3,FALSE)</f>
        <v>COOLAHAN</v>
      </c>
      <c r="M7" s="12">
        <f t="shared" si="1"/>
        <v>2.9687499998544808E-2</v>
      </c>
      <c r="N7" s="13">
        <f t="shared" si="2"/>
        <v>42.749999997904524</v>
      </c>
      <c r="O7" s="13"/>
      <c r="P7" s="13"/>
      <c r="Q7" s="61"/>
      <c r="R7" s="61"/>
      <c r="S7" s="108">
        <f t="shared" si="7"/>
        <v>1</v>
      </c>
      <c r="T7" s="86" t="str">
        <f t="shared" si="8"/>
        <v>NorthBound</v>
      </c>
      <c r="U7" s="109">
        <f>COUNTIFS([1]Variables!$M$2:$M$19,IF(T7="NorthBound","&gt;=","&lt;=")&amp;Y7,[1]Variables!$M$2:$M$19,IF(T7="NorthBound","&lt;=","&gt;=")&amp;Z7)</f>
        <v>12</v>
      </c>
      <c r="V7" s="73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https://search-rtdc-monitor-bjffxe2xuh6vdkpspy63sjmuny.us-east-1.es.amazonaws.com/_plugin/kibana/#/discover/Steve-Slow-Train-Analysis-(2080s-and-2083s)?_g=(refreshInterval:(display:Off,section:0,value:0),time:(from:'2016-06-13 04:08:10-0600',mode:absolute,to:'2016-06-13 04:54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7" s="73" t="str">
        <f t="shared" si="5"/>
        <v>N</v>
      </c>
      <c r="X7" s="73">
        <f>VALUE(LEFT(A7,3))-VALUE(LEFT(A6,3))</f>
        <v>1</v>
      </c>
      <c r="Y7" s="73">
        <f>RIGHT(D7,LEN(D7)-4)/10000</f>
        <v>7.1300000000000002E-2</v>
      </c>
      <c r="Z7" s="73">
        <f>RIGHT(H7,LEN(H7)-4)/10000</f>
        <v>23.329799999999999</v>
      </c>
      <c r="AA7" s="73">
        <f t="shared" si="6"/>
        <v>23.258499999999998</v>
      </c>
      <c r="AB7" s="74" t="e">
        <f>VLOOKUP(A7,Enforcements!$C$21:$J$74,8,0)</f>
        <v>#N/A</v>
      </c>
      <c r="AC7" s="74" t="e">
        <f>VLOOKUP(A7,Enforcements!$C$21:$J$74,3,0)</f>
        <v>#N/A</v>
      </c>
    </row>
    <row r="8" spans="1:91" s="2" customFormat="1" x14ac:dyDescent="0.25">
      <c r="A8" s="60" t="s">
        <v>419</v>
      </c>
      <c r="B8" s="60">
        <v>4039</v>
      </c>
      <c r="C8" s="60" t="s">
        <v>62</v>
      </c>
      <c r="D8" s="60" t="s">
        <v>483</v>
      </c>
      <c r="E8" s="30">
        <v>42534.211469907408</v>
      </c>
      <c r="F8" s="30">
        <v>42534.212627314817</v>
      </c>
      <c r="G8" s="38">
        <v>1</v>
      </c>
      <c r="H8" s="30" t="s">
        <v>484</v>
      </c>
      <c r="I8" s="30">
        <v>42534.244895833333</v>
      </c>
      <c r="J8" s="60">
        <v>0</v>
      </c>
      <c r="K8" s="60" t="str">
        <f t="shared" si="0"/>
        <v>4039/4040</v>
      </c>
      <c r="L8" s="60" t="str">
        <f>VLOOKUP(A8,'Trips&amp;Operators'!$C$1:$E$9999,3,FALSE)</f>
        <v>COOLAHAN</v>
      </c>
      <c r="M8" s="12">
        <f t="shared" si="1"/>
        <v>3.2268518516502809E-2</v>
      </c>
      <c r="N8" s="13">
        <f t="shared" si="2"/>
        <v>46.466666663764045</v>
      </c>
      <c r="O8" s="13"/>
      <c r="P8" s="13"/>
      <c r="Q8" s="61"/>
      <c r="R8" s="61"/>
      <c r="S8" s="108">
        <f t="shared" si="7"/>
        <v>1</v>
      </c>
      <c r="T8" s="86" t="str">
        <f t="shared" si="8"/>
        <v>Southbound</v>
      </c>
      <c r="U8" s="109">
        <f>COUNTIFS([1]Variables!$M$2:$M$19,IF(T8="NorthBound","&gt;=","&lt;=")&amp;Y8,[1]Variables!$M$2:$M$19,IF(T8="NorthBound","&lt;=","&gt;=")&amp;Z8)</f>
        <v>12</v>
      </c>
      <c r="V8" s="73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https://search-rtdc-monitor-bjffxe2xuh6vdkpspy63sjmuny.us-east-1.es.amazonaws.com/_plugin/kibana/#/discover/Steve-Slow-Train-Analysis-(2080s-and-2083s)?_g=(refreshInterval:(display:Off,section:0,value:0),time:(from:'2016-06-13 05:03:31-0600',mode:absolute,to:'2016-06-13 05:53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8" s="73" t="str">
        <f t="shared" si="5"/>
        <v>N</v>
      </c>
      <c r="X8" s="73">
        <f>VALUE(LEFT(A8,3))-VALUE(LEFT(A7,3))</f>
        <v>1</v>
      </c>
      <c r="Y8" s="73">
        <f>RIGHT(D8,LEN(D8)-4)/10000</f>
        <v>23.266999999999999</v>
      </c>
      <c r="Z8" s="73">
        <f>RIGHT(H8,LEN(H8)-4)/10000</f>
        <v>1.29E-2</v>
      </c>
      <c r="AA8" s="73">
        <f t="shared" si="6"/>
        <v>23.254100000000001</v>
      </c>
      <c r="AB8" s="74" t="e">
        <f>VLOOKUP(A8,Enforcements!$C$21:$J$74,8,0)</f>
        <v>#N/A</v>
      </c>
      <c r="AC8" s="74" t="e">
        <f>VLOOKUP(A8,Enforcements!$C$21:$J$74,3,0)</f>
        <v>#N/A</v>
      </c>
    </row>
    <row r="9" spans="1:91" s="2" customFormat="1" x14ac:dyDescent="0.25">
      <c r="A9" s="60" t="s">
        <v>449</v>
      </c>
      <c r="B9" s="60">
        <v>4020</v>
      </c>
      <c r="C9" s="60" t="s">
        <v>62</v>
      </c>
      <c r="D9" s="60" t="s">
        <v>485</v>
      </c>
      <c r="E9" s="30">
        <v>42534.184803240743</v>
      </c>
      <c r="F9" s="30">
        <v>42534.185740740744</v>
      </c>
      <c r="G9" s="38">
        <v>1</v>
      </c>
      <c r="H9" s="30" t="s">
        <v>486</v>
      </c>
      <c r="I9" s="30">
        <v>42534.214571759258</v>
      </c>
      <c r="J9" s="60">
        <v>1</v>
      </c>
      <c r="K9" s="60" t="str">
        <f t="shared" si="0"/>
        <v>4019/4020</v>
      </c>
      <c r="L9" s="60" t="str">
        <f>VLOOKUP(A9,'Trips&amp;Operators'!$C$1:$E$9999,3,FALSE)</f>
        <v>STARKS</v>
      </c>
      <c r="M9" s="12">
        <f t="shared" si="1"/>
        <v>2.8831018513301387E-2</v>
      </c>
      <c r="N9" s="13">
        <f t="shared" si="2"/>
        <v>41.516666659153998</v>
      </c>
      <c r="O9" s="13"/>
      <c r="P9" s="13"/>
      <c r="Q9" s="61"/>
      <c r="R9" s="61"/>
      <c r="S9" s="108">
        <f t="shared" si="7"/>
        <v>1</v>
      </c>
      <c r="T9" s="86" t="str">
        <f t="shared" si="8"/>
        <v>NorthBound</v>
      </c>
      <c r="U9" s="109">
        <f>COUNTIFS([1]Variables!$M$2:$M$19,IF(T9="NorthBound","&gt;=","&lt;=")&amp;Y9,[1]Variables!$M$2:$M$19,IF(T9="NorthBound","&lt;=","&gt;=")&amp;Z9)</f>
        <v>12</v>
      </c>
      <c r="V9" s="73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https://search-rtdc-monitor-bjffxe2xuh6vdkpspy63sjmuny.us-east-1.es.amazonaws.com/_plugin/kibana/#/discover/Steve-Slow-Train-Analysis-(2080s-and-2083s)?_g=(refreshInterval:(display:Off,section:0,value:0),time:(from:'2016-06-13 04:25:07-0600',mode:absolute,to:'2016-06-13 05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" s="73" t="str">
        <f t="shared" si="5"/>
        <v>N</v>
      </c>
      <c r="X9" s="73">
        <f>VALUE(LEFT(A9,3))-VALUE(LEFT(A8,3))</f>
        <v>1</v>
      </c>
      <c r="Y9" s="73">
        <f>RIGHT(D9,LEN(D9)-4)/10000</f>
        <v>3.56E-2</v>
      </c>
      <c r="Z9" s="73">
        <f>RIGHT(H9,LEN(H9)-4)/10000</f>
        <v>23.339700000000001</v>
      </c>
      <c r="AA9" s="73">
        <f t="shared" si="6"/>
        <v>23.304100000000002</v>
      </c>
      <c r="AB9" s="74">
        <f>VLOOKUP(A9,Enforcements!$C$21:$J$74,8,0)</f>
        <v>233491</v>
      </c>
      <c r="AC9" s="74" t="str">
        <f>VLOOKUP(A9,Enforcements!$C$21:$J$74,3,0)</f>
        <v>TRACK WARRANT AUTHORITY</v>
      </c>
    </row>
    <row r="10" spans="1:91" s="2" customFormat="1" x14ac:dyDescent="0.25">
      <c r="A10" s="60" t="s">
        <v>415</v>
      </c>
      <c r="B10" s="60">
        <v>4019</v>
      </c>
      <c r="C10" s="60" t="s">
        <v>62</v>
      </c>
      <c r="D10" s="60" t="s">
        <v>487</v>
      </c>
      <c r="E10" s="30">
        <v>42534.182222222225</v>
      </c>
      <c r="F10" s="30">
        <v>42534.223414351851</v>
      </c>
      <c r="G10" s="38">
        <v>59</v>
      </c>
      <c r="H10" s="30" t="s">
        <v>488</v>
      </c>
      <c r="I10" s="30">
        <v>42534.254016203704</v>
      </c>
      <c r="J10" s="60">
        <v>1</v>
      </c>
      <c r="K10" s="60" t="str">
        <f t="shared" si="0"/>
        <v>4019/4020</v>
      </c>
      <c r="L10" s="60" t="str">
        <f>VLOOKUP(A10,'Trips&amp;Operators'!$C$1:$E$9999,3,FALSE)</f>
        <v>STARKS</v>
      </c>
      <c r="M10" s="12">
        <f t="shared" si="1"/>
        <v>3.0601851853134576E-2</v>
      </c>
      <c r="N10" s="13">
        <f t="shared" si="2"/>
        <v>44.06666666851379</v>
      </c>
      <c r="O10" s="13"/>
      <c r="P10" s="13"/>
      <c r="Q10" s="61"/>
      <c r="R10" s="61"/>
      <c r="S10" s="108">
        <f t="shared" si="7"/>
        <v>1</v>
      </c>
      <c r="T10" s="86" t="str">
        <f t="shared" si="8"/>
        <v>Southbound</v>
      </c>
      <c r="U10" s="109">
        <f>COUNTIFS([1]Variables!$M$2:$M$19,IF(T10="NorthBound","&gt;=","&lt;=")&amp;Y10,[1]Variables!$M$2:$M$19,IF(T10="NorthBound","&lt;=","&gt;=")&amp;Z10)</f>
        <v>12</v>
      </c>
      <c r="V10" s="73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https://search-rtdc-monitor-bjffxe2xuh6vdkpspy63sjmuny.us-east-1.es.amazonaws.com/_plugin/kibana/#/discover/Steve-Slow-Train-Analysis-(2080s-and-2083s)?_g=(refreshInterval:(display:Off,section:0,value:0),time:(from:'2016-06-13 04:21:24-0600',mode:absolute,to:'2016-06-13 06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" s="73" t="str">
        <f t="shared" si="5"/>
        <v>N</v>
      </c>
      <c r="X10" s="73">
        <f>VALUE(LEFT(A10,3))-VALUE(LEFT(A9,3))</f>
        <v>1</v>
      </c>
      <c r="Y10" s="73">
        <f>RIGHT(D10,LEN(D10)-4)/10000</f>
        <v>23.306100000000001</v>
      </c>
      <c r="Z10" s="73">
        <f>RIGHT(H10,LEN(H10)-4)/10000</f>
        <v>2.4E-2</v>
      </c>
      <c r="AA10" s="73">
        <f t="shared" si="6"/>
        <v>23.2821</v>
      </c>
      <c r="AB10" s="74">
        <f>VLOOKUP(A10,Enforcements!$C$21:$J$74,8,0)</f>
        <v>1</v>
      </c>
      <c r="AC10" s="74" t="str">
        <f>VLOOKUP(A10,Enforcements!$C$21:$J$74,3,0)</f>
        <v>TRACK WARRANT AUTHORITY</v>
      </c>
    </row>
    <row r="11" spans="1:91" s="2" customFormat="1" x14ac:dyDescent="0.25">
      <c r="A11" s="60" t="s">
        <v>441</v>
      </c>
      <c r="B11" s="60">
        <v>4011</v>
      </c>
      <c r="C11" s="60" t="s">
        <v>62</v>
      </c>
      <c r="D11" s="60" t="s">
        <v>84</v>
      </c>
      <c r="E11" s="30">
        <v>42534.190023148149</v>
      </c>
      <c r="F11" s="30">
        <v>42534.191076388888</v>
      </c>
      <c r="G11" s="38">
        <v>1</v>
      </c>
      <c r="H11" s="30" t="s">
        <v>489</v>
      </c>
      <c r="I11" s="30">
        <v>42534.206967592596</v>
      </c>
      <c r="J11" s="60">
        <v>0</v>
      </c>
      <c r="K11" s="60" t="str">
        <f t="shared" si="0"/>
        <v>4011/4012</v>
      </c>
      <c r="L11" s="60" t="str">
        <f>VLOOKUP(A11,'Trips&amp;Operators'!$C$1:$E$9999,3,FALSE)</f>
        <v>SPECTOR</v>
      </c>
      <c r="M11" s="12">
        <f t="shared" si="1"/>
        <v>1.5891203707724344E-2</v>
      </c>
      <c r="N11" s="13"/>
      <c r="O11" s="13"/>
      <c r="P11" s="13">
        <f>24*60*SUM($M11:$M12)</f>
        <v>50.283333342522383</v>
      </c>
      <c r="Q11" s="61"/>
      <c r="R11" s="61" t="s">
        <v>602</v>
      </c>
      <c r="S11" s="108">
        <f t="shared" si="7"/>
        <v>0.66666666666666663</v>
      </c>
      <c r="T11" s="86" t="str">
        <f t="shared" si="8"/>
        <v>NorthBound</v>
      </c>
      <c r="U11" s="109">
        <f>COUNTIFS([1]Variables!$M$2:$M$19,IF(T11="NorthBound","&gt;=","&lt;=")&amp;Y11,[1]Variables!$M$2:$M$19,IF(T11="NorthBound","&lt;=","&gt;=")&amp;Z11)</f>
        <v>8</v>
      </c>
      <c r="V11" s="73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https://search-rtdc-monitor-bjffxe2xuh6vdkpspy63sjmuny.us-east-1.es.amazonaws.com/_plugin/kibana/#/discover/Steve-Slow-Train-Analysis-(2080s-and-2083s)?_g=(refreshInterval:(display:Off,section:0,value:0),time:(from:'2016-06-13 04:32:38-0600',mode:absolute,to:'2016-06-13 04:59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" s="73" t="str">
        <f t="shared" si="5"/>
        <v>Y</v>
      </c>
      <c r="X11" s="73">
        <f>VALUE(LEFT(A11,3))-VALUE(LEFT(A10,3))</f>
        <v>1</v>
      </c>
      <c r="Y11" s="73">
        <f>RIGHT(D11,LEN(D11)-4)/10000</f>
        <v>4.6199999999999998E-2</v>
      </c>
      <c r="Z11" s="73">
        <f>RIGHT(H11,LEN(H11)-4)/10000</f>
        <v>6.1761999999999997</v>
      </c>
      <c r="AA11" s="73">
        <f t="shared" si="6"/>
        <v>6.13</v>
      </c>
      <c r="AB11" s="74" t="e">
        <f>VLOOKUP(A11,Enforcements!$C$21:$J$74,8,0)</f>
        <v>#N/A</v>
      </c>
      <c r="AC11" s="74" t="e">
        <f>VLOOKUP(A11,Enforcements!$C$21:$J$74,3,0)</f>
        <v>#N/A</v>
      </c>
    </row>
    <row r="12" spans="1:91" s="2" customFormat="1" x14ac:dyDescent="0.25">
      <c r="A12" s="60" t="s">
        <v>441</v>
      </c>
      <c r="B12" s="60">
        <v>4011</v>
      </c>
      <c r="C12" s="60" t="s">
        <v>62</v>
      </c>
      <c r="D12" s="60" t="s">
        <v>490</v>
      </c>
      <c r="E12" s="30">
        <v>42534.209618055553</v>
      </c>
      <c r="F12" s="30">
        <v>42534.210682870369</v>
      </c>
      <c r="G12" s="38">
        <v>1</v>
      </c>
      <c r="H12" s="30" t="s">
        <v>491</v>
      </c>
      <c r="I12" s="30">
        <v>42534.229710648149</v>
      </c>
      <c r="J12" s="60">
        <v>1</v>
      </c>
      <c r="K12" s="60" t="str">
        <f t="shared" si="0"/>
        <v>4011/4012</v>
      </c>
      <c r="L12" s="60" t="str">
        <f>VLOOKUP(A12,'Trips&amp;Operators'!$C$1:$E$9999,3,FALSE)</f>
        <v>SPECTOR</v>
      </c>
      <c r="M12" s="12">
        <f t="shared" si="1"/>
        <v>1.9027777780138422E-2</v>
      </c>
      <c r="N12" s="13"/>
      <c r="O12" s="13"/>
      <c r="P12" s="13"/>
      <c r="Q12" s="61"/>
      <c r="R12" s="61"/>
      <c r="S12" s="108">
        <f t="shared" si="7"/>
        <v>0.25</v>
      </c>
      <c r="T12" s="86" t="str">
        <f t="shared" si="8"/>
        <v>NorthBound</v>
      </c>
      <c r="U12" s="109">
        <f>COUNTIFS([1]Variables!$M$2:$M$19,IF(T12="NorthBound","&gt;=","&lt;=")&amp;Y12,[1]Variables!$M$2:$M$19,IF(T12="NorthBound","&lt;=","&gt;=")&amp;Z12)</f>
        <v>3</v>
      </c>
      <c r="V12" s="73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https://search-rtdc-monitor-bjffxe2xuh6vdkpspy63sjmuny.us-east-1.es.amazonaws.com/_plugin/kibana/#/discover/Steve-Slow-Train-Analysis-(2080s-and-2083s)?_g=(refreshInterval:(display:Off,section:0,value:0),time:(from:'2016-06-13 05:00:51-0600',mode:absolute,to:'2016-06-13 05:31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" s="73" t="str">
        <f t="shared" si="5"/>
        <v>Y</v>
      </c>
      <c r="X12" s="73">
        <f>VALUE(LEFT(A12,3))-VALUE(LEFT(A11,3))</f>
        <v>0</v>
      </c>
      <c r="Y12" s="73">
        <f>RIGHT(D12,LEN(D12)-4)/10000</f>
        <v>6.4711999999999996</v>
      </c>
      <c r="Z12" s="73">
        <f>RIGHT(H12,LEN(H12)-4)/10000</f>
        <v>23.333100000000002</v>
      </c>
      <c r="AA12" s="73">
        <f t="shared" si="6"/>
        <v>16.861900000000002</v>
      </c>
      <c r="AB12" s="74" t="e">
        <f>VLOOKUP(A12,Enforcements!$C$21:$J$74,8,0)</f>
        <v>#N/A</v>
      </c>
      <c r="AC12" s="74" t="e">
        <f>VLOOKUP(A12,Enforcements!$C$21:$J$74,3,0)</f>
        <v>#N/A</v>
      </c>
    </row>
    <row r="13" spans="1:91" s="2" customFormat="1" x14ac:dyDescent="0.25">
      <c r="A13" s="60" t="s">
        <v>367</v>
      </c>
      <c r="B13" s="60">
        <v>4012</v>
      </c>
      <c r="C13" s="60" t="s">
        <v>62</v>
      </c>
      <c r="D13" s="60" t="s">
        <v>268</v>
      </c>
      <c r="E13" s="30">
        <v>42534.234247685185</v>
      </c>
      <c r="F13" s="30">
        <v>42534.235173611109</v>
      </c>
      <c r="G13" s="38">
        <v>1</v>
      </c>
      <c r="H13" s="30" t="s">
        <v>63</v>
      </c>
      <c r="I13" s="30">
        <v>42534.266828703701</v>
      </c>
      <c r="J13" s="60">
        <v>1</v>
      </c>
      <c r="K13" s="60" t="str">
        <f t="shared" si="0"/>
        <v>4011/4012</v>
      </c>
      <c r="L13" s="60" t="str">
        <f>VLOOKUP(A13,'Trips&amp;Operators'!$C$1:$E$9999,3,FALSE)</f>
        <v>SPECTOR</v>
      </c>
      <c r="M13" s="12">
        <f t="shared" si="1"/>
        <v>3.1655092592700385E-2</v>
      </c>
      <c r="N13" s="13">
        <f>24*60*SUM($M13:$M13)</f>
        <v>45.583333333488554</v>
      </c>
      <c r="O13" s="13"/>
      <c r="P13" s="13"/>
      <c r="Q13" s="61"/>
      <c r="R13" s="61"/>
      <c r="S13" s="108">
        <f t="shared" si="7"/>
        <v>1</v>
      </c>
      <c r="T13" s="86" t="str">
        <f t="shared" si="8"/>
        <v>Southbound</v>
      </c>
      <c r="U13" s="109">
        <f>COUNTIFS([1]Variables!$M$2:$M$19,IF(T13="NorthBound","&gt;=","&lt;=")&amp;Y13,[1]Variables!$M$2:$M$19,IF(T13="NorthBound","&lt;=","&gt;=")&amp;Z13)</f>
        <v>12</v>
      </c>
      <c r="V13" s="73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https://search-rtdc-monitor-bjffxe2xuh6vdkpspy63sjmuny.us-east-1.es.amazonaws.com/_plugin/kibana/#/discover/Steve-Slow-Train-Analysis-(2080s-and-2083s)?_g=(refreshInterval:(display:Off,section:0,value:0),time:(from:'2016-06-13 05:36:19-0600',mode:absolute,to:'2016-06-13 06:25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" s="73" t="str">
        <f t="shared" si="5"/>
        <v>N</v>
      </c>
      <c r="X13" s="73">
        <f>VALUE(LEFT(A13,3))-VALUE(LEFT(A12,3))</f>
        <v>1</v>
      </c>
      <c r="Y13" s="73">
        <f>RIGHT(D13,LEN(D13)-4)/10000</f>
        <v>23.300999999999998</v>
      </c>
      <c r="Z13" s="73">
        <f>RIGHT(H13,LEN(H13)-4)/10000</f>
        <v>1.4500000000000001E-2</v>
      </c>
      <c r="AA13" s="73">
        <f t="shared" si="6"/>
        <v>23.286499999999997</v>
      </c>
      <c r="AB13" s="74" t="e">
        <f>VLOOKUP(A13,Enforcements!$C$21:$J$74,8,0)</f>
        <v>#N/A</v>
      </c>
      <c r="AC13" s="74" t="e">
        <f>VLOOKUP(A13,Enforcements!$C$21:$J$74,3,0)</f>
        <v>#N/A</v>
      </c>
    </row>
    <row r="14" spans="1:91" s="2" customFormat="1" x14ac:dyDescent="0.25">
      <c r="A14" s="60" t="s">
        <v>467</v>
      </c>
      <c r="B14" s="60">
        <v>4024</v>
      </c>
      <c r="C14" s="60" t="s">
        <v>62</v>
      </c>
      <c r="D14" s="60" t="s">
        <v>492</v>
      </c>
      <c r="E14" s="30">
        <v>42534.209039351852</v>
      </c>
      <c r="F14" s="30">
        <v>42534.210150462961</v>
      </c>
      <c r="G14" s="38">
        <v>1</v>
      </c>
      <c r="H14" s="30" t="s">
        <v>106</v>
      </c>
      <c r="I14" s="30">
        <v>42534.241805555554</v>
      </c>
      <c r="J14" s="60">
        <v>0</v>
      </c>
      <c r="K14" s="60" t="str">
        <f t="shared" si="0"/>
        <v>4023/4024</v>
      </c>
      <c r="L14" s="60" t="str">
        <f>VLOOKUP(A14,'Trips&amp;Operators'!$C$1:$E$9999,3,FALSE)</f>
        <v>SANTIZO</v>
      </c>
      <c r="M14" s="12">
        <f t="shared" si="1"/>
        <v>3.1655092592700385E-2</v>
      </c>
      <c r="N14" s="13">
        <f>24*60*SUM($M14:$M14)</f>
        <v>45.583333333488554</v>
      </c>
      <c r="O14" s="13"/>
      <c r="P14" s="13"/>
      <c r="Q14" s="61"/>
      <c r="R14" s="61"/>
      <c r="S14" s="108">
        <f t="shared" si="7"/>
        <v>1</v>
      </c>
      <c r="T14" s="86" t="str">
        <f t="shared" si="8"/>
        <v>NorthBound</v>
      </c>
      <c r="U14" s="109">
        <f>COUNTIFS([1]Variables!$M$2:$M$19,IF(T14="NorthBound","&gt;=","&lt;=")&amp;Y14,[1]Variables!$M$2:$M$19,IF(T14="NorthBound","&lt;=","&gt;=")&amp;Z14)</f>
        <v>12</v>
      </c>
      <c r="V14" s="73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https://search-rtdc-monitor-bjffxe2xuh6vdkpspy63sjmuny.us-east-1.es.amazonaws.com/_plugin/kibana/#/discover/Steve-Slow-Train-Analysis-(2080s-and-2083s)?_g=(refreshInterval:(display:Off,section:0,value:0),time:(from:'2016-06-13 05:00:01-0600',mode:absolute,to:'2016-06-13 05:49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4" s="73" t="str">
        <f t="shared" si="5"/>
        <v>N</v>
      </c>
      <c r="X14" s="73">
        <f>VALUE(LEFT(A14,3))-VALUE(LEFT(A13,3))</f>
        <v>1</v>
      </c>
      <c r="Y14" s="73">
        <f>RIGHT(D14,LEN(D14)-4)/10000</f>
        <v>8.14E-2</v>
      </c>
      <c r="Z14" s="73">
        <f>RIGHT(H14,LEN(H14)-4)/10000</f>
        <v>23.329899999999999</v>
      </c>
      <c r="AA14" s="73">
        <f t="shared" si="6"/>
        <v>23.2485</v>
      </c>
      <c r="AB14" s="74" t="e">
        <f>VLOOKUP(A14,Enforcements!$C$21:$J$74,8,0)</f>
        <v>#N/A</v>
      </c>
      <c r="AC14" s="74" t="e">
        <f>VLOOKUP(A14,Enforcements!$C$21:$J$74,3,0)</f>
        <v>#N/A</v>
      </c>
    </row>
    <row r="15" spans="1:91" s="2" customFormat="1" x14ac:dyDescent="0.25">
      <c r="A15" s="60" t="s">
        <v>360</v>
      </c>
      <c r="B15" s="60">
        <v>4023</v>
      </c>
      <c r="C15" s="60" t="s">
        <v>62</v>
      </c>
      <c r="D15" s="60" t="s">
        <v>81</v>
      </c>
      <c r="E15" s="30">
        <v>42534.24486111111</v>
      </c>
      <c r="F15" s="30">
        <v>42534.246030092596</v>
      </c>
      <c r="G15" s="38">
        <v>1</v>
      </c>
      <c r="H15" s="30" t="s">
        <v>72</v>
      </c>
      <c r="I15" s="30">
        <v>42534.274722222224</v>
      </c>
      <c r="J15" s="60">
        <v>0</v>
      </c>
      <c r="K15" s="60" t="str">
        <f t="shared" si="0"/>
        <v>4023/4024</v>
      </c>
      <c r="L15" s="60" t="str">
        <f>VLOOKUP(A15,'Trips&amp;Operators'!$C$1:$E$9999,3,FALSE)</f>
        <v>SANTIZO</v>
      </c>
      <c r="M15" s="12">
        <f t="shared" si="1"/>
        <v>2.8692129628325347E-2</v>
      </c>
      <c r="N15" s="13">
        <f>24*60*SUM($M15:$M15)</f>
        <v>41.316666664788499</v>
      </c>
      <c r="O15" s="13"/>
      <c r="P15" s="13"/>
      <c r="Q15" s="61"/>
      <c r="R15" s="61"/>
      <c r="S15" s="108">
        <f t="shared" si="7"/>
        <v>1</v>
      </c>
      <c r="T15" s="86" t="str">
        <f t="shared" si="8"/>
        <v>Southbound</v>
      </c>
      <c r="U15" s="109">
        <f>COUNTIFS([1]Variables!$M$2:$M$19,IF(T15="NorthBound","&gt;=","&lt;=")&amp;Y15,[1]Variables!$M$2:$M$19,IF(T15="NorthBound","&lt;=","&gt;=")&amp;Z15)</f>
        <v>12</v>
      </c>
      <c r="V15" s="73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https://search-rtdc-monitor-bjffxe2xuh6vdkpspy63sjmuny.us-east-1.es.amazonaws.com/_plugin/kibana/#/discover/Steve-Slow-Train-Analysis-(2080s-and-2083s)?_g=(refreshInterval:(display:Off,section:0,value:0),time:(from:'2016-06-13 05:51:36-0600',mode:absolute,to:'2016-06-13 06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5" s="73" t="str">
        <f t="shared" ref="W15:W16" si="9">IF(AA15&lt;23,"Y","N")</f>
        <v>N</v>
      </c>
      <c r="X15" s="73">
        <f>VALUE(LEFT(A15,3))-VALUE(LEFT(A14,3))</f>
        <v>1</v>
      </c>
      <c r="Y15" s="73">
        <f>RIGHT(D15,LEN(D15)-4)/10000</f>
        <v>23.297699999999999</v>
      </c>
      <c r="Z15" s="73">
        <f>RIGHT(H15,LEN(H15)-4)/10000</f>
        <v>1.4999999999999999E-2</v>
      </c>
      <c r="AA15" s="73">
        <f t="shared" ref="AA15:AA16" si="10">ABS(Z15-Y15)</f>
        <v>23.282699999999998</v>
      </c>
      <c r="AB15" s="74" t="e">
        <f>VLOOKUP(A15,Enforcements!$C$21:$J$74,8,0)</f>
        <v>#N/A</v>
      </c>
      <c r="AC15" s="74" t="e">
        <f>VLOOKUP(A15,Enforcements!$C$21:$J$74,3,0)</f>
        <v>#N/A</v>
      </c>
    </row>
    <row r="16" spans="1:91" s="2" customFormat="1" x14ac:dyDescent="0.25">
      <c r="A16" s="60" t="s">
        <v>372</v>
      </c>
      <c r="B16" s="60">
        <v>4032</v>
      </c>
      <c r="C16" s="60" t="s">
        <v>62</v>
      </c>
      <c r="D16" s="60" t="s">
        <v>267</v>
      </c>
      <c r="E16" s="30">
        <v>42534.25273148148</v>
      </c>
      <c r="F16" s="30">
        <v>42534.253622685188</v>
      </c>
      <c r="G16" s="38">
        <v>1</v>
      </c>
      <c r="H16" s="30" t="s">
        <v>493</v>
      </c>
      <c r="I16" s="30">
        <v>42534.284872685188</v>
      </c>
      <c r="J16" s="60">
        <v>1</v>
      </c>
      <c r="K16" s="60" t="str">
        <f t="shared" si="0"/>
        <v>4031/4032</v>
      </c>
      <c r="L16" s="60" t="str">
        <f>VLOOKUP(A16,'Trips&amp;Operators'!$C$1:$E$9999,3,FALSE)</f>
        <v>CANFIELD</v>
      </c>
      <c r="M16" s="12">
        <f t="shared" si="1"/>
        <v>3.125E-2</v>
      </c>
      <c r="N16" s="13">
        <f>24*60*SUM($M16:$M16)</f>
        <v>45</v>
      </c>
      <c r="O16" s="13"/>
      <c r="P16" s="13"/>
      <c r="Q16" s="61"/>
      <c r="R16" s="61"/>
      <c r="S16" s="108">
        <f t="shared" si="7"/>
        <v>1</v>
      </c>
      <c r="T16" s="86" t="str">
        <f t="shared" si="8"/>
        <v>Southbound</v>
      </c>
      <c r="U16" s="109">
        <f>COUNTIFS([1]Variables!$M$2:$M$19,IF(T16="NorthBound","&gt;=","&lt;=")&amp;Y16,[1]Variables!$M$2:$M$19,IF(T16="NorthBound","&lt;=","&gt;=")&amp;Z16)</f>
        <v>12</v>
      </c>
      <c r="V16" s="73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https://search-rtdc-monitor-bjffxe2xuh6vdkpspy63sjmuny.us-east-1.es.amazonaws.com/_plugin/kibana/#/discover/Steve-Slow-Train-Analysis-(2080s-and-2083s)?_g=(refreshInterval:(display:Off,section:0,value:0),time:(from:'2016-06-13 06:02:56-0600',mode:absolute,to:'2016-06-13 06:51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6" s="73" t="str">
        <f t="shared" si="9"/>
        <v>N</v>
      </c>
      <c r="X16" s="73">
        <f>VALUE(LEFT(A16,3))-VALUE(LEFT(A15,3))</f>
        <v>2</v>
      </c>
      <c r="Y16" s="73">
        <f>RIGHT(D16,LEN(D16)-4)/10000</f>
        <v>23.298500000000001</v>
      </c>
      <c r="Z16" s="73">
        <f>RIGHT(H16,LEN(H16)-4)/10000</f>
        <v>4.1300000000000003E-2</v>
      </c>
      <c r="AA16" s="73">
        <f t="shared" si="10"/>
        <v>23.257200000000001</v>
      </c>
      <c r="AB16" s="74">
        <f>VLOOKUP(A16,Enforcements!$C$21:$J$74,8,0)</f>
        <v>1</v>
      </c>
      <c r="AC16" s="74" t="str">
        <f>VLOOKUP(A16,Enforcements!$C$21:$J$74,3,0)</f>
        <v>TRACK WARRANT AUTHORITY</v>
      </c>
    </row>
    <row r="17" spans="1:29" s="2" customFormat="1" x14ac:dyDescent="0.25">
      <c r="A17" s="60" t="s">
        <v>345</v>
      </c>
      <c r="B17" s="60">
        <v>4044</v>
      </c>
      <c r="C17" s="60" t="s">
        <v>62</v>
      </c>
      <c r="D17" s="60" t="s">
        <v>494</v>
      </c>
      <c r="E17" s="30">
        <v>42534.228379629632</v>
      </c>
      <c r="F17" s="30">
        <v>42534.230150462965</v>
      </c>
      <c r="G17" s="38">
        <v>2</v>
      </c>
      <c r="H17" s="30" t="s">
        <v>495</v>
      </c>
      <c r="I17" s="30">
        <v>42534.255798611113</v>
      </c>
      <c r="J17" s="60">
        <v>0</v>
      </c>
      <c r="K17" s="60" t="str">
        <f t="shared" si="0"/>
        <v>4043/4044</v>
      </c>
      <c r="L17" s="60" t="str">
        <f>VLOOKUP(A17,'Trips&amp;Operators'!$C$1:$E$9999,3,FALSE)</f>
        <v>MALAVE</v>
      </c>
      <c r="M17" s="12">
        <f t="shared" si="1"/>
        <v>2.5648148148320615E-2</v>
      </c>
      <c r="N17" s="13">
        <f>24*60*SUM($M17:$M17)</f>
        <v>36.933333333581686</v>
      </c>
      <c r="O17" s="13"/>
      <c r="P17" s="13"/>
      <c r="Q17" s="61"/>
      <c r="R17" s="61"/>
      <c r="S17" s="108">
        <f t="shared" si="7"/>
        <v>1</v>
      </c>
      <c r="T17" s="86" t="str">
        <f t="shared" si="8"/>
        <v>NorthBound</v>
      </c>
      <c r="U17" s="109">
        <f>COUNTIFS([1]Variables!$M$2:$M$19,IF(T17="NorthBound","&gt;=","&lt;=")&amp;Y17,[1]Variables!$M$2:$M$19,IF(T17="NorthBound","&lt;=","&gt;=")&amp;Z17)</f>
        <v>12</v>
      </c>
      <c r="V17" s="73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https://search-rtdc-monitor-bjffxe2xuh6vdkpspy63sjmuny.us-east-1.es.amazonaws.com/_plugin/kibana/#/discover/Steve-Slow-Train-Analysis-(2080s-and-2083s)?_g=(refreshInterval:(display:Off,section:0,value:0),time:(from:'2016-06-13 05:27:52-0600',mode:absolute,to:'2016-06-13 06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7" s="73" t="str">
        <f t="shared" ref="W17:W48" si="11">IF(AA17&lt;23,"Y","N")</f>
        <v>N</v>
      </c>
      <c r="X17" s="73">
        <f>VALUE(LEFT(A17,3))-VALUE(LEFT(A16,3))</f>
        <v>1</v>
      </c>
      <c r="Y17" s="73">
        <f>RIGHT(D17,LEN(D17)-4)/10000</f>
        <v>7.85E-2</v>
      </c>
      <c r="Z17" s="73">
        <f>RIGHT(H17,LEN(H17)-4)/10000</f>
        <v>23.328199999999999</v>
      </c>
      <c r="AA17" s="73">
        <f t="shared" ref="AA17:AA48" si="12">ABS(Z17-Y17)</f>
        <v>23.249700000000001</v>
      </c>
      <c r="AB17" s="74" t="e">
        <f>VLOOKUP(A17,Enforcements!$C$21:$J$74,8,0)</f>
        <v>#N/A</v>
      </c>
      <c r="AC17" s="74" t="e">
        <f>VLOOKUP(A17,Enforcements!$C$21:$J$74,3,0)</f>
        <v>#N/A</v>
      </c>
    </row>
    <row r="18" spans="1:29" s="2" customFormat="1" x14ac:dyDescent="0.25">
      <c r="A18" s="60" t="s">
        <v>327</v>
      </c>
      <c r="B18" s="60">
        <v>4043</v>
      </c>
      <c r="C18" s="60" t="s">
        <v>62</v>
      </c>
      <c r="D18" s="60" t="s">
        <v>94</v>
      </c>
      <c r="E18" s="30">
        <v>42534.266423611109</v>
      </c>
      <c r="F18" s="30">
        <v>42534.26734953704</v>
      </c>
      <c r="G18" s="38">
        <v>1</v>
      </c>
      <c r="H18" s="30" t="s">
        <v>496</v>
      </c>
      <c r="I18" s="30">
        <v>42534.282916666663</v>
      </c>
      <c r="J18" s="60">
        <v>1</v>
      </c>
      <c r="K18" s="60" t="str">
        <f t="shared" si="0"/>
        <v>4043/4044</v>
      </c>
      <c r="L18" s="60" t="str">
        <f>VLOOKUP(A18,'Trips&amp;Operators'!$C$1:$E$9999,3,FALSE)</f>
        <v>MALAVE</v>
      </c>
      <c r="M18" s="12">
        <f t="shared" si="1"/>
        <v>1.5567129623377696E-2</v>
      </c>
      <c r="N18" s="13"/>
      <c r="O18" s="13"/>
      <c r="P18" s="13">
        <f>24*60*SUM($M18:$M19)</f>
        <v>42.349999988218769</v>
      </c>
      <c r="Q18" s="61"/>
      <c r="R18" s="61" t="s">
        <v>325</v>
      </c>
      <c r="S18" s="108">
        <f t="shared" si="7"/>
        <v>0.16666666666666666</v>
      </c>
      <c r="T18" s="86" t="str">
        <f t="shared" si="8"/>
        <v>Southbound</v>
      </c>
      <c r="U18" s="109">
        <f>COUNTIFS([1]Variables!$M$2:$M$19,IF(T18="NorthBound","&gt;=","&lt;=")&amp;Y18,[1]Variables!$M$2:$M$19,IF(T18="NorthBound","&lt;=","&gt;=")&amp;Z18)</f>
        <v>2</v>
      </c>
      <c r="V18" s="73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https://search-rtdc-monitor-bjffxe2xuh6vdkpspy63sjmuny.us-east-1.es.amazonaws.com/_plugin/kibana/#/discover/Steve-Slow-Train-Analysis-(2080s-and-2083s)?_g=(refreshInterval:(display:Off,section:0,value:0),time:(from:'2016-06-13 06:22:39-0600',mode:absolute,to:'2016-06-13 06:48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8" s="73" t="str">
        <f t="shared" si="11"/>
        <v>Y</v>
      </c>
      <c r="X18" s="73">
        <f>VALUE(LEFT(A18,3))-VALUE(LEFT(A17,3))</f>
        <v>1</v>
      </c>
      <c r="Y18" s="73">
        <f>RIGHT(D18,LEN(D18)-4)/10000</f>
        <v>23.2973</v>
      </c>
      <c r="Z18" s="73">
        <f>RIGHT(H18,LEN(H18)-4)/10000</f>
        <v>9.2638999999999996</v>
      </c>
      <c r="AA18" s="73">
        <f t="shared" si="12"/>
        <v>14.0334</v>
      </c>
      <c r="AB18" s="74">
        <f>VLOOKUP(A18,Enforcements!$C$21:$J$74,8,0)</f>
        <v>95986</v>
      </c>
      <c r="AC18" s="74" t="str">
        <f>VLOOKUP(A18,Enforcements!$C$21:$J$74,3,0)</f>
        <v>SIGNAL</v>
      </c>
    </row>
    <row r="19" spans="1:29" s="2" customFormat="1" x14ac:dyDescent="0.25">
      <c r="A19" s="60" t="s">
        <v>327</v>
      </c>
      <c r="B19" s="60">
        <v>4043</v>
      </c>
      <c r="C19" s="60" t="s">
        <v>62</v>
      </c>
      <c r="D19" s="60" t="s">
        <v>497</v>
      </c>
      <c r="E19" s="30">
        <v>42534.286215277774</v>
      </c>
      <c r="F19" s="30">
        <v>42534.286944444444</v>
      </c>
      <c r="G19" s="38">
        <v>1</v>
      </c>
      <c r="H19" s="30" t="s">
        <v>66</v>
      </c>
      <c r="I19" s="30">
        <v>42534.300787037035</v>
      </c>
      <c r="J19" s="60">
        <v>1</v>
      </c>
      <c r="K19" s="60" t="str">
        <f t="shared" si="0"/>
        <v>4043/4044</v>
      </c>
      <c r="L19" s="60" t="str">
        <f>VLOOKUP(A19,'Trips&amp;Operators'!$C$1:$E$9999,3,FALSE)</f>
        <v>MALAVE</v>
      </c>
      <c r="M19" s="12">
        <f t="shared" si="1"/>
        <v>1.3842592590663116E-2</v>
      </c>
      <c r="N19" s="13"/>
      <c r="O19" s="13"/>
      <c r="P19" s="13"/>
      <c r="Q19" s="61"/>
      <c r="R19" s="61"/>
      <c r="S19" s="108">
        <f t="shared" si="7"/>
        <v>0.75</v>
      </c>
      <c r="T19" s="86" t="str">
        <f t="shared" si="8"/>
        <v>Southbound</v>
      </c>
      <c r="U19" s="109">
        <f>COUNTIFS([1]Variables!$M$2:$M$19,IF(T19="NorthBound","&gt;=","&lt;=")&amp;Y19,[1]Variables!$M$2:$M$19,IF(T19="NorthBound","&lt;=","&gt;=")&amp;Z19)</f>
        <v>9</v>
      </c>
      <c r="V19" s="73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https://search-rtdc-monitor-bjffxe2xuh6vdkpspy63sjmuny.us-east-1.es.amazonaws.com/_plugin/kibana/#/discover/Steve-Slow-Train-Analysis-(2080s-and-2083s)?_g=(refreshInterval:(display:Off,section:0,value:0),time:(from:'2016-06-13 06:51:09-0600',mode:absolute,to:'2016-06-13 07:14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9" s="73" t="str">
        <f t="shared" si="11"/>
        <v>Y</v>
      </c>
      <c r="X19" s="73">
        <f>VALUE(LEFT(A19,3))-VALUE(LEFT(A18,3))</f>
        <v>0</v>
      </c>
      <c r="Y19" s="73">
        <f>RIGHT(D19,LEN(D19)-4)/10000</f>
        <v>6.4158999999999997</v>
      </c>
      <c r="Z19" s="73">
        <f>RIGHT(H19,LEN(H19)-4)/10000</f>
        <v>1.52E-2</v>
      </c>
      <c r="AA19" s="73">
        <f t="shared" si="12"/>
        <v>6.4006999999999996</v>
      </c>
      <c r="AB19" s="74">
        <f>VLOOKUP(A19,Enforcements!$C$21:$J$74,8,0)</f>
        <v>95986</v>
      </c>
      <c r="AC19" s="74" t="str">
        <f>VLOOKUP(A19,Enforcements!$C$21:$J$74,3,0)</f>
        <v>SIGNAL</v>
      </c>
    </row>
    <row r="20" spans="1:29" s="2" customFormat="1" x14ac:dyDescent="0.25">
      <c r="A20" s="60" t="s">
        <v>329</v>
      </c>
      <c r="B20" s="60">
        <v>4025</v>
      </c>
      <c r="C20" s="60" t="s">
        <v>62</v>
      </c>
      <c r="D20" s="60" t="s">
        <v>100</v>
      </c>
      <c r="E20" s="30">
        <v>42534.231666666667</v>
      </c>
      <c r="F20" s="30">
        <v>42534.233113425929</v>
      </c>
      <c r="G20" s="38">
        <v>2</v>
      </c>
      <c r="H20" s="30" t="s">
        <v>103</v>
      </c>
      <c r="I20" s="30">
        <v>42534.265821759262</v>
      </c>
      <c r="J20" s="60">
        <v>0</v>
      </c>
      <c r="K20" s="60" t="str">
        <f t="shared" si="0"/>
        <v>4025/4026</v>
      </c>
      <c r="L20" s="60" t="str">
        <f>VLOOKUP(A20,'Trips&amp;Operators'!$C$1:$E$9999,3,FALSE)</f>
        <v>STURGEON</v>
      </c>
      <c r="M20" s="12">
        <f t="shared" si="1"/>
        <v>3.2708333332266193E-2</v>
      </c>
      <c r="N20" s="13">
        <f t="shared" ref="N20:N32" si="13">24*60*SUM($M20:$M20)</f>
        <v>47.099999998463318</v>
      </c>
      <c r="O20" s="13"/>
      <c r="P20" s="13"/>
      <c r="Q20" s="61"/>
      <c r="R20" s="61"/>
      <c r="S20" s="108">
        <f t="shared" si="7"/>
        <v>1</v>
      </c>
      <c r="T20" s="86" t="str">
        <f t="shared" si="8"/>
        <v>NorthBound</v>
      </c>
      <c r="U20" s="109">
        <f>COUNTIFS([1]Variables!$M$2:$M$19,IF(T20="NorthBound","&gt;=","&lt;=")&amp;Y20,[1]Variables!$M$2:$M$19,IF(T20="NorthBound","&lt;=","&gt;=")&amp;Z20)</f>
        <v>12</v>
      </c>
      <c r="V20" s="73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https://search-rtdc-monitor-bjffxe2xuh6vdkpspy63sjmuny.us-east-1.es.amazonaws.com/_plugin/kibana/#/discover/Steve-Slow-Train-Analysis-(2080s-and-2083s)?_g=(refreshInterval:(display:Off,section:0,value:0),time:(from:'2016-06-13 05:32:36-0600',mode:absolute,to:'2016-06-13 06:23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0" s="73" t="str">
        <f t="shared" si="11"/>
        <v>N</v>
      </c>
      <c r="X20" s="73">
        <f>VALUE(LEFT(A20,3))-VALUE(LEFT(A19,3))</f>
        <v>1</v>
      </c>
      <c r="Y20" s="73">
        <f>RIGHT(D20,LEN(D20)-4)/10000</f>
        <v>4.6899999999999997E-2</v>
      </c>
      <c r="Z20" s="73">
        <f>RIGHT(H20,LEN(H20)-4)/10000</f>
        <v>23.330400000000001</v>
      </c>
      <c r="AA20" s="73">
        <f t="shared" si="12"/>
        <v>23.2835</v>
      </c>
      <c r="AB20" s="74" t="e">
        <f>VLOOKUP(A20,Enforcements!$C$21:$J$74,8,0)</f>
        <v>#N/A</v>
      </c>
      <c r="AC20" s="74" t="e">
        <f>VLOOKUP(A20,Enforcements!$C$21:$J$74,3,0)</f>
        <v>#N/A</v>
      </c>
    </row>
    <row r="21" spans="1:29" s="2" customFormat="1" x14ac:dyDescent="0.25">
      <c r="A21" s="60" t="s">
        <v>410</v>
      </c>
      <c r="B21" s="60">
        <v>4026</v>
      </c>
      <c r="C21" s="60" t="s">
        <v>62</v>
      </c>
      <c r="D21" s="60" t="s">
        <v>87</v>
      </c>
      <c r="E21" s="30">
        <v>42534.270520833335</v>
      </c>
      <c r="F21" s="30">
        <v>42534.271620370368</v>
      </c>
      <c r="G21" s="38">
        <v>1</v>
      </c>
      <c r="H21" s="30" t="s">
        <v>89</v>
      </c>
      <c r="I21" s="30">
        <v>42534.30636574074</v>
      </c>
      <c r="J21" s="60">
        <v>0</v>
      </c>
      <c r="K21" s="60" t="str">
        <f t="shared" si="0"/>
        <v>4025/4026</v>
      </c>
      <c r="L21" s="60" t="str">
        <f>VLOOKUP(A21,'Trips&amp;Operators'!$C$1:$E$9999,3,FALSE)</f>
        <v>STURGEON</v>
      </c>
      <c r="M21" s="12">
        <f t="shared" si="1"/>
        <v>3.4745370372547768E-2</v>
      </c>
      <c r="N21" s="13">
        <f t="shared" si="13"/>
        <v>50.033333336468786</v>
      </c>
      <c r="O21" s="13"/>
      <c r="P21" s="13"/>
      <c r="Q21" s="61"/>
      <c r="R21" s="61"/>
      <c r="S21" s="108">
        <f t="shared" si="7"/>
        <v>1</v>
      </c>
      <c r="T21" s="86" t="str">
        <f t="shared" si="8"/>
        <v>Southbound</v>
      </c>
      <c r="U21" s="109">
        <f>COUNTIFS([1]Variables!$M$2:$M$19,IF(T21="NorthBound","&gt;=","&lt;=")&amp;Y21,[1]Variables!$M$2:$M$19,IF(T21="NorthBound","&lt;=","&gt;=")&amp;Z21)</f>
        <v>12</v>
      </c>
      <c r="V21" s="73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https://search-rtdc-monitor-bjffxe2xuh6vdkpspy63sjmuny.us-east-1.es.amazonaws.com/_plugin/kibana/#/discover/Steve-Slow-Train-Analysis-(2080s-and-2083s)?_g=(refreshInterval:(display:Off,section:0,value:0),time:(from:'2016-06-13 06:28:33-0600',mode:absolute,to:'2016-06-13 07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1" s="73" t="str">
        <f t="shared" si="11"/>
        <v>N</v>
      </c>
      <c r="X21" s="73">
        <f>VALUE(LEFT(A21,3))-VALUE(LEFT(A20,3))</f>
        <v>1</v>
      </c>
      <c r="Y21" s="73">
        <f>RIGHT(D21,LEN(D21)-4)/10000</f>
        <v>23.299099999999999</v>
      </c>
      <c r="Z21" s="73">
        <f>RIGHT(H21,LEN(H21)-4)/10000</f>
        <v>1.41E-2</v>
      </c>
      <c r="AA21" s="73">
        <f t="shared" si="12"/>
        <v>23.285</v>
      </c>
      <c r="AB21" s="74" t="e">
        <f>VLOOKUP(A21,Enforcements!$C$21:$J$74,8,0)</f>
        <v>#N/A</v>
      </c>
      <c r="AC21" s="74" t="e">
        <f>VLOOKUP(A21,Enforcements!$C$21:$J$74,3,0)</f>
        <v>#N/A</v>
      </c>
    </row>
    <row r="22" spans="1:29" s="2" customFormat="1" x14ac:dyDescent="0.25">
      <c r="A22" s="60" t="s">
        <v>398</v>
      </c>
      <c r="B22" s="60">
        <v>4009</v>
      </c>
      <c r="C22" s="60" t="s">
        <v>62</v>
      </c>
      <c r="D22" s="60" t="s">
        <v>498</v>
      </c>
      <c r="E22" s="30">
        <v>42534.248391203706</v>
      </c>
      <c r="F22" s="30">
        <v>42534.250914351855</v>
      </c>
      <c r="G22" s="38">
        <v>3</v>
      </c>
      <c r="H22" s="30" t="s">
        <v>112</v>
      </c>
      <c r="I22" s="30">
        <v>42534.276458333334</v>
      </c>
      <c r="J22" s="60">
        <v>1</v>
      </c>
      <c r="K22" s="60" t="str">
        <f t="shared" si="0"/>
        <v>4009/4010</v>
      </c>
      <c r="L22" s="60" t="str">
        <f>VLOOKUP(A22,'Trips&amp;Operators'!$C$1:$E$9999,3,FALSE)</f>
        <v>COOLAHAN</v>
      </c>
      <c r="M22" s="12">
        <f t="shared" si="1"/>
        <v>2.5543981479131617E-2</v>
      </c>
      <c r="N22" s="13">
        <f t="shared" si="13"/>
        <v>36.783333329949528</v>
      </c>
      <c r="O22" s="13"/>
      <c r="P22" s="13"/>
      <c r="Q22" s="61"/>
      <c r="R22" s="61"/>
      <c r="S22" s="108">
        <f t="shared" si="7"/>
        <v>1</v>
      </c>
      <c r="T22" s="86" t="str">
        <f t="shared" si="8"/>
        <v>NorthBound</v>
      </c>
      <c r="U22" s="109">
        <f>COUNTIFS([1]Variables!$M$2:$M$19,IF(T22="NorthBound","&gt;=","&lt;=")&amp;Y22,[1]Variables!$M$2:$M$19,IF(T22="NorthBound","&lt;=","&gt;=")&amp;Z22)</f>
        <v>12</v>
      </c>
      <c r="V22" s="73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https://search-rtdc-monitor-bjffxe2xuh6vdkpspy63sjmuny.us-east-1.es.amazonaws.com/_plugin/kibana/#/discover/Steve-Slow-Train-Analysis-(2080s-and-2083s)?_g=(refreshInterval:(display:Off,section:0,value:0),time:(from:'2016-06-13 05:56:41-0600',mode:absolute,to:'2016-06-13 06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2" s="73" t="str">
        <f t="shared" si="11"/>
        <v>N</v>
      </c>
      <c r="X22" s="73">
        <f>VALUE(LEFT(A22,3))-VALUE(LEFT(A21,3))</f>
        <v>1</v>
      </c>
      <c r="Y22" s="73">
        <f>RIGHT(D22,LEN(D22)-4)/10000</f>
        <v>7.5700000000000003E-2</v>
      </c>
      <c r="Z22" s="73">
        <f>RIGHT(H22,LEN(H22)-4)/10000</f>
        <v>23.330300000000001</v>
      </c>
      <c r="AA22" s="73">
        <f t="shared" si="12"/>
        <v>23.2546</v>
      </c>
      <c r="AB22" s="74" t="e">
        <f>VLOOKUP(A22,Enforcements!$C$21:$J$74,8,0)</f>
        <v>#N/A</v>
      </c>
      <c r="AC22" s="74" t="e">
        <f>VLOOKUP(A22,Enforcements!$C$21:$J$74,3,0)</f>
        <v>#N/A</v>
      </c>
    </row>
    <row r="23" spans="1:29" s="2" customFormat="1" x14ac:dyDescent="0.25">
      <c r="A23" s="60" t="s">
        <v>362</v>
      </c>
      <c r="B23" s="60">
        <v>4010</v>
      </c>
      <c r="C23" s="60" t="s">
        <v>62</v>
      </c>
      <c r="D23" s="60" t="s">
        <v>499</v>
      </c>
      <c r="E23" s="30">
        <v>42534.284421296295</v>
      </c>
      <c r="F23" s="30">
        <v>42534.285729166666</v>
      </c>
      <c r="G23" s="38">
        <v>1</v>
      </c>
      <c r="H23" s="30" t="s">
        <v>500</v>
      </c>
      <c r="I23" s="30">
        <v>42534.315625000003</v>
      </c>
      <c r="J23" s="60">
        <v>1</v>
      </c>
      <c r="K23" s="60" t="str">
        <f t="shared" si="0"/>
        <v>4009/4010</v>
      </c>
      <c r="L23" s="60" t="str">
        <f>VLOOKUP(A23,'Trips&amp;Operators'!$C$1:$E$9999,3,FALSE)</f>
        <v>COOLAHAN</v>
      </c>
      <c r="M23" s="12">
        <f t="shared" si="1"/>
        <v>2.9895833336922806E-2</v>
      </c>
      <c r="N23" s="13">
        <f t="shared" si="13"/>
        <v>43.05000000516884</v>
      </c>
      <c r="O23" s="13"/>
      <c r="P23" s="13"/>
      <c r="Q23" s="61"/>
      <c r="R23" s="61"/>
      <c r="S23" s="108">
        <f t="shared" si="7"/>
        <v>1</v>
      </c>
      <c r="T23" s="86" t="str">
        <f t="shared" si="8"/>
        <v>Southbound</v>
      </c>
      <c r="U23" s="109">
        <f>COUNTIFS([1]Variables!$M$2:$M$19,IF(T23="NorthBound","&gt;=","&lt;=")&amp;Y23,[1]Variables!$M$2:$M$19,IF(T23="NorthBound","&lt;=","&gt;=")&amp;Z23)</f>
        <v>12</v>
      </c>
      <c r="V23" s="73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https://search-rtdc-monitor-bjffxe2xuh6vdkpspy63sjmuny.us-east-1.es.amazonaws.com/_plugin/kibana/#/discover/Steve-Slow-Train-Analysis-(2080s-and-2083s)?_g=(refreshInterval:(display:Off,section:0,value:0),time:(from:'2016-06-13 06:48:34-0600',mode:absolute,to:'2016-06-13 07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23" s="73" t="str">
        <f t="shared" si="11"/>
        <v>N</v>
      </c>
      <c r="X23" s="73">
        <f>VALUE(LEFT(A23,3))-VALUE(LEFT(A22,3))</f>
        <v>1</v>
      </c>
      <c r="Y23" s="73">
        <f>RIGHT(D23,LEN(D23)-4)/10000</f>
        <v>23.2988</v>
      </c>
      <c r="Z23" s="73">
        <f>RIGHT(H23,LEN(H23)-4)/10000</f>
        <v>1.23E-2</v>
      </c>
      <c r="AA23" s="73">
        <f t="shared" si="12"/>
        <v>23.2865</v>
      </c>
      <c r="AB23" s="74">
        <f>VLOOKUP(A23,Enforcements!$C$21:$J$74,8,0)</f>
        <v>1</v>
      </c>
      <c r="AC23" s="74" t="str">
        <f>VLOOKUP(A23,Enforcements!$C$21:$J$74,3,0)</f>
        <v>TRACK WARRANT AUTHORITY</v>
      </c>
    </row>
    <row r="24" spans="1:29" s="2" customFormat="1" x14ac:dyDescent="0.25">
      <c r="A24" s="60" t="s">
        <v>461</v>
      </c>
      <c r="B24" s="60">
        <v>4020</v>
      </c>
      <c r="C24" s="60" t="s">
        <v>62</v>
      </c>
      <c r="D24" s="60" t="s">
        <v>501</v>
      </c>
      <c r="E24" s="30">
        <v>42534.25849537037</v>
      </c>
      <c r="F24" s="30">
        <v>42534.259131944447</v>
      </c>
      <c r="G24" s="38">
        <v>0</v>
      </c>
      <c r="H24" s="30" t="s">
        <v>131</v>
      </c>
      <c r="I24" s="30">
        <v>42534.287719907406</v>
      </c>
      <c r="J24" s="60">
        <v>1</v>
      </c>
      <c r="K24" s="60" t="str">
        <f t="shared" si="0"/>
        <v>4019/4020</v>
      </c>
      <c r="L24" s="60" t="str">
        <f>VLOOKUP(A24,'Trips&amp;Operators'!$C$1:$E$9999,3,FALSE)</f>
        <v>STARKS</v>
      </c>
      <c r="M24" s="12">
        <f t="shared" si="1"/>
        <v>2.8587962959136348E-2</v>
      </c>
      <c r="N24" s="13">
        <f t="shared" si="13"/>
        <v>41.166666661156341</v>
      </c>
      <c r="O24" s="13"/>
      <c r="P24" s="13"/>
      <c r="Q24" s="61"/>
      <c r="R24" s="61"/>
      <c r="S24" s="108">
        <f t="shared" si="7"/>
        <v>1</v>
      </c>
      <c r="T24" s="86" t="str">
        <f t="shared" si="8"/>
        <v>NorthBound</v>
      </c>
      <c r="U24" s="109">
        <f>COUNTIFS([1]Variables!$M$2:$M$19,IF(T24="NorthBound","&gt;=","&lt;=")&amp;Y24,[1]Variables!$M$2:$M$19,IF(T24="NorthBound","&lt;=","&gt;=")&amp;Z24)</f>
        <v>12</v>
      </c>
      <c r="V24" s="73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https://search-rtdc-monitor-bjffxe2xuh6vdkpspy63sjmuny.us-east-1.es.amazonaws.com/_plugin/kibana/#/discover/Steve-Slow-Train-Analysis-(2080s-and-2083s)?_g=(refreshInterval:(display:Off,section:0,value:0),time:(from:'2016-06-13 06:11:14-0600',mode:absolute,to:'2016-06-13 06:55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4" s="73" t="str">
        <f t="shared" si="11"/>
        <v>N</v>
      </c>
      <c r="X24" s="73">
        <f>VALUE(LEFT(A24,3))-VALUE(LEFT(A23,3))</f>
        <v>1</v>
      </c>
      <c r="Y24" s="73">
        <f>RIGHT(D24,LEN(D24)-4)/10000</f>
        <v>5.33E-2</v>
      </c>
      <c r="Z24" s="73">
        <f>RIGHT(H24,LEN(H24)-4)/10000</f>
        <v>23.3323</v>
      </c>
      <c r="AA24" s="73">
        <f t="shared" si="12"/>
        <v>23.279</v>
      </c>
      <c r="AB24" s="74" t="e">
        <f>VLOOKUP(A24,Enforcements!$C$21:$J$74,8,0)</f>
        <v>#N/A</v>
      </c>
      <c r="AC24" s="74" t="e">
        <f>VLOOKUP(A24,Enforcements!$C$21:$J$74,3,0)</f>
        <v>#N/A</v>
      </c>
    </row>
    <row r="25" spans="1:29" s="2" customFormat="1" x14ac:dyDescent="0.25">
      <c r="A25" s="60" t="s">
        <v>352</v>
      </c>
      <c r="B25" s="60">
        <v>4019</v>
      </c>
      <c r="C25" s="60" t="s">
        <v>62</v>
      </c>
      <c r="D25" s="60" t="s">
        <v>502</v>
      </c>
      <c r="E25" s="30">
        <v>42534.2971875</v>
      </c>
      <c r="F25" s="30">
        <v>42534.298333333332</v>
      </c>
      <c r="G25" s="38">
        <v>1</v>
      </c>
      <c r="H25" s="30" t="s">
        <v>503</v>
      </c>
      <c r="I25" s="30">
        <v>42534.329097222224</v>
      </c>
      <c r="J25" s="60">
        <v>1</v>
      </c>
      <c r="K25" s="60" t="str">
        <f t="shared" si="0"/>
        <v>4019/4020</v>
      </c>
      <c r="L25" s="60" t="str">
        <f>VLOOKUP(A25,'Trips&amp;Operators'!$C$1:$E$9999,3,FALSE)</f>
        <v>STARKS</v>
      </c>
      <c r="M25" s="12">
        <f t="shared" si="1"/>
        <v>3.0763888891669922E-2</v>
      </c>
      <c r="N25" s="13">
        <f t="shared" si="13"/>
        <v>44.300000004004687</v>
      </c>
      <c r="O25" s="13"/>
      <c r="P25" s="13"/>
      <c r="Q25" s="61"/>
      <c r="R25" s="61"/>
      <c r="S25" s="108">
        <f t="shared" si="7"/>
        <v>1</v>
      </c>
      <c r="T25" s="86" t="str">
        <f t="shared" si="8"/>
        <v>Southbound</v>
      </c>
      <c r="U25" s="109">
        <f>COUNTIFS([1]Variables!$M$2:$M$19,IF(T25="NorthBound","&gt;=","&lt;=")&amp;Y25,[1]Variables!$M$2:$M$19,IF(T25="NorthBound","&lt;=","&gt;=")&amp;Z25)</f>
        <v>12</v>
      </c>
      <c r="V25" s="73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https://search-rtdc-monitor-bjffxe2xuh6vdkpspy63sjmuny.us-east-1.es.amazonaws.com/_plugin/kibana/#/discover/Steve-Slow-Train-Analysis-(2080s-and-2083s)?_g=(refreshInterval:(display:Off,section:0,value:0),time:(from:'2016-06-13 07:06:57-0600',mode:absolute,to:'2016-06-13 07:54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5" s="73" t="str">
        <f t="shared" si="11"/>
        <v>N</v>
      </c>
      <c r="X25" s="73">
        <f>VALUE(LEFT(A25,3))-VALUE(LEFT(A24,3))</f>
        <v>1</v>
      </c>
      <c r="Y25" s="73">
        <f>RIGHT(D25,LEN(D25)-4)/10000</f>
        <v>23.3096</v>
      </c>
      <c r="Z25" s="73">
        <f>RIGHT(H25,LEN(H25)-4)/10000</f>
        <v>1.2999999999999999E-2</v>
      </c>
      <c r="AA25" s="73">
        <f t="shared" si="12"/>
        <v>23.296599999999998</v>
      </c>
      <c r="AB25" s="74" t="e">
        <f>VLOOKUP(A25,Enforcements!$C$21:$J$74,8,0)</f>
        <v>#N/A</v>
      </c>
      <c r="AC25" s="74" t="e">
        <f>VLOOKUP(A25,Enforcements!$C$21:$J$74,3,0)</f>
        <v>#N/A</v>
      </c>
    </row>
    <row r="26" spans="1:29" s="2" customFormat="1" x14ac:dyDescent="0.25">
      <c r="A26" s="60" t="s">
        <v>421</v>
      </c>
      <c r="B26" s="60">
        <v>4011</v>
      </c>
      <c r="C26" s="60" t="s">
        <v>62</v>
      </c>
      <c r="D26" s="60" t="s">
        <v>64</v>
      </c>
      <c r="E26" s="30">
        <v>42534.268333333333</v>
      </c>
      <c r="F26" s="30">
        <v>42534.269155092596</v>
      </c>
      <c r="G26" s="38">
        <v>1</v>
      </c>
      <c r="H26" s="30" t="s">
        <v>112</v>
      </c>
      <c r="I26" s="30">
        <v>42534.296770833331</v>
      </c>
      <c r="J26" s="60">
        <v>0</v>
      </c>
      <c r="K26" s="60" t="str">
        <f t="shared" si="0"/>
        <v>4011/4012</v>
      </c>
      <c r="L26" s="60" t="str">
        <f>VLOOKUP(A26,'Trips&amp;Operators'!$C$1:$E$9999,3,FALSE)</f>
        <v>SPECTOR</v>
      </c>
      <c r="M26" s="12">
        <f t="shared" si="1"/>
        <v>2.7615740735200234E-2</v>
      </c>
      <c r="N26" s="13">
        <f t="shared" si="13"/>
        <v>39.766666658688337</v>
      </c>
      <c r="O26" s="13"/>
      <c r="P26" s="13"/>
      <c r="Q26" s="61"/>
      <c r="R26" s="61"/>
      <c r="S26" s="108">
        <f t="shared" si="7"/>
        <v>1</v>
      </c>
      <c r="T26" s="86" t="str">
        <f t="shared" si="8"/>
        <v>NorthBound</v>
      </c>
      <c r="U26" s="109">
        <f>COUNTIFS([1]Variables!$M$2:$M$19,IF(T26="NorthBound","&gt;=","&lt;=")&amp;Y26,[1]Variables!$M$2:$M$19,IF(T26="NorthBound","&lt;=","&gt;=")&amp;Z26)</f>
        <v>12</v>
      </c>
      <c r="V26" s="73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https://search-rtdc-monitor-bjffxe2xuh6vdkpspy63sjmuny.us-east-1.es.amazonaws.com/_plugin/kibana/#/discover/Steve-Slow-Train-Analysis-(2080s-and-2083s)?_g=(refreshInterval:(display:Off,section:0,value:0),time:(from:'2016-06-13 06:25:24-0600',mode:absolute,to:'2016-06-13 07:08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6" s="73" t="str">
        <f t="shared" si="11"/>
        <v>N</v>
      </c>
      <c r="X26" s="73">
        <f>VALUE(LEFT(A26,3))-VALUE(LEFT(A25,3))</f>
        <v>1</v>
      </c>
      <c r="Y26" s="73">
        <f>RIGHT(D26,LEN(D26)-4)/10000</f>
        <v>4.5499999999999999E-2</v>
      </c>
      <c r="Z26" s="73">
        <f>RIGHT(H26,LEN(H26)-4)/10000</f>
        <v>23.330300000000001</v>
      </c>
      <c r="AA26" s="73">
        <f t="shared" si="12"/>
        <v>23.284800000000001</v>
      </c>
      <c r="AB26" s="74" t="e">
        <f>VLOOKUP(A26,Enforcements!$C$21:$J$74,8,0)</f>
        <v>#N/A</v>
      </c>
      <c r="AC26" s="74" t="e">
        <f>VLOOKUP(A26,Enforcements!$C$21:$J$74,3,0)</f>
        <v>#N/A</v>
      </c>
    </row>
    <row r="27" spans="1:29" s="2" customFormat="1" x14ac:dyDescent="0.25">
      <c r="A27" s="60" t="s">
        <v>349</v>
      </c>
      <c r="B27" s="60">
        <v>4012</v>
      </c>
      <c r="C27" s="60" t="s">
        <v>62</v>
      </c>
      <c r="D27" s="60" t="s">
        <v>504</v>
      </c>
      <c r="E27" s="30">
        <v>42534.302199074074</v>
      </c>
      <c r="F27" s="30">
        <v>42534.303182870368</v>
      </c>
      <c r="G27" s="38">
        <v>1</v>
      </c>
      <c r="H27" s="30" t="s">
        <v>505</v>
      </c>
      <c r="I27" s="30">
        <v>42534.33929398148</v>
      </c>
      <c r="J27" s="60">
        <v>2</v>
      </c>
      <c r="K27" s="60" t="str">
        <f t="shared" si="0"/>
        <v>4011/4012</v>
      </c>
      <c r="L27" s="60" t="str">
        <f>VLOOKUP(A27,'Trips&amp;Operators'!$C$1:$E$9999,3,FALSE)</f>
        <v>SPECTOR</v>
      </c>
      <c r="M27" s="12">
        <f t="shared" si="1"/>
        <v>3.6111111112404615E-2</v>
      </c>
      <c r="N27" s="13">
        <f t="shared" si="13"/>
        <v>52.000000001862645</v>
      </c>
      <c r="O27" s="13"/>
      <c r="P27" s="13"/>
      <c r="Q27" s="61"/>
      <c r="R27" s="61"/>
      <c r="S27" s="108">
        <f t="shared" si="7"/>
        <v>1</v>
      </c>
      <c r="T27" s="86" t="str">
        <f t="shared" si="8"/>
        <v>Southbound</v>
      </c>
      <c r="U27" s="109">
        <f>COUNTIFS([1]Variables!$M$2:$M$19,IF(T27="NorthBound","&gt;=","&lt;=")&amp;Y27,[1]Variables!$M$2:$M$19,IF(T27="NorthBound","&lt;=","&gt;=")&amp;Z27)</f>
        <v>12</v>
      </c>
      <c r="V27" s="73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https://search-rtdc-monitor-bjffxe2xuh6vdkpspy63sjmuny.us-east-1.es.amazonaws.com/_plugin/kibana/#/discover/Steve-Slow-Train-Analysis-(2080s-and-2083s)?_g=(refreshInterval:(display:Off,section:0,value:0),time:(from:'2016-06-13 07:14:10-0600',mode:absolute,to:'2016-06-13 08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7" s="73" t="str">
        <f t="shared" si="11"/>
        <v>N</v>
      </c>
      <c r="X27" s="73">
        <f>VALUE(LEFT(A27,3))-VALUE(LEFT(A26,3))</f>
        <v>1</v>
      </c>
      <c r="Y27" s="73">
        <f>RIGHT(D27,LEN(D27)-4)/10000</f>
        <v>23.299199999999999</v>
      </c>
      <c r="Z27" s="73">
        <f>RIGHT(H27,LEN(H27)-4)/10000</f>
        <v>2.5100000000000001E-2</v>
      </c>
      <c r="AA27" s="73">
        <f t="shared" si="12"/>
        <v>23.274100000000001</v>
      </c>
      <c r="AB27" s="74">
        <f>VLOOKUP(A27,Enforcements!$C$21:$J$74,8,0)</f>
        <v>1</v>
      </c>
      <c r="AC27" s="74" t="str">
        <f>VLOOKUP(A27,Enforcements!$C$21:$J$74,3,0)</f>
        <v>TRACK WARRANT AUTHORITY</v>
      </c>
    </row>
    <row r="28" spans="1:29" s="2" customFormat="1" x14ac:dyDescent="0.25">
      <c r="A28" s="60" t="s">
        <v>435</v>
      </c>
      <c r="B28" s="60">
        <v>4024</v>
      </c>
      <c r="C28" s="60" t="s">
        <v>62</v>
      </c>
      <c r="D28" s="60" t="s">
        <v>125</v>
      </c>
      <c r="E28" s="30">
        <v>42534.27716435185</v>
      </c>
      <c r="F28" s="30">
        <v>42534.278564814813</v>
      </c>
      <c r="G28" s="38">
        <v>2</v>
      </c>
      <c r="H28" s="30" t="s">
        <v>314</v>
      </c>
      <c r="I28" s="30">
        <v>42534.306701388887</v>
      </c>
      <c r="J28" s="60">
        <v>0</v>
      </c>
      <c r="K28" s="60" t="str">
        <f t="shared" si="0"/>
        <v>4023/4024</v>
      </c>
      <c r="L28" s="60" t="str">
        <f>VLOOKUP(A28,'Trips&amp;Operators'!$C$1:$E$9999,3,FALSE)</f>
        <v>SANTIZO</v>
      </c>
      <c r="M28" s="12">
        <f t="shared" si="1"/>
        <v>2.8136574073869269E-2</v>
      </c>
      <c r="N28" s="13">
        <f t="shared" si="13"/>
        <v>40.516666666371748</v>
      </c>
      <c r="O28" s="13"/>
      <c r="P28" s="13"/>
      <c r="Q28" s="61"/>
      <c r="R28" s="61"/>
      <c r="S28" s="108">
        <f t="shared" si="7"/>
        <v>1</v>
      </c>
      <c r="T28" s="86" t="str">
        <f t="shared" si="8"/>
        <v>NorthBound</v>
      </c>
      <c r="U28" s="109">
        <f>COUNTIFS([1]Variables!$M$2:$M$19,IF(T28="NorthBound","&gt;=","&lt;=")&amp;Y28,[1]Variables!$M$2:$M$19,IF(T28="NorthBound","&lt;=","&gt;=")&amp;Z28)</f>
        <v>12</v>
      </c>
      <c r="V28" s="73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https://search-rtdc-monitor-bjffxe2xuh6vdkpspy63sjmuny.us-east-1.es.amazonaws.com/_plugin/kibana/#/discover/Steve-Slow-Train-Analysis-(2080s-and-2083s)?_g=(refreshInterval:(display:Off,section:0,value:0),time:(from:'2016-06-13 06:38:07-0600',mode:absolute,to:'2016-06-13 07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8" s="73" t="str">
        <f t="shared" si="11"/>
        <v>N</v>
      </c>
      <c r="X28" s="73">
        <f>VALUE(LEFT(A28,3))-VALUE(LEFT(A27,3))</f>
        <v>1</v>
      </c>
      <c r="Y28" s="73">
        <f>RIGHT(D28,LEN(D28)-4)/10000</f>
        <v>4.4200000000000003E-2</v>
      </c>
      <c r="Z28" s="73">
        <f>RIGHT(H28,LEN(H28)-4)/10000</f>
        <v>23.331700000000001</v>
      </c>
      <c r="AA28" s="73">
        <f t="shared" si="12"/>
        <v>23.287500000000001</v>
      </c>
      <c r="AB28" s="74" t="e">
        <f>VLOOKUP(A28,Enforcements!$C$21:$J$74,8,0)</f>
        <v>#N/A</v>
      </c>
      <c r="AC28" s="74" t="e">
        <f>VLOOKUP(A28,Enforcements!$C$21:$J$74,3,0)</f>
        <v>#N/A</v>
      </c>
    </row>
    <row r="29" spans="1:29" s="2" customFormat="1" x14ac:dyDescent="0.25">
      <c r="A29" s="60" t="s">
        <v>413</v>
      </c>
      <c r="B29" s="60">
        <v>4023</v>
      </c>
      <c r="C29" s="60" t="s">
        <v>62</v>
      </c>
      <c r="D29" s="60" t="s">
        <v>506</v>
      </c>
      <c r="E29" s="30">
        <v>42534.314733796295</v>
      </c>
      <c r="F29" s="30">
        <v>42534.315451388888</v>
      </c>
      <c r="G29" s="38">
        <v>1</v>
      </c>
      <c r="H29" s="30" t="s">
        <v>72</v>
      </c>
      <c r="I29" s="30">
        <v>42534.348043981481</v>
      </c>
      <c r="J29" s="60">
        <v>0</v>
      </c>
      <c r="K29" s="60" t="str">
        <f t="shared" si="0"/>
        <v>4023/4024</v>
      </c>
      <c r="L29" s="60" t="str">
        <f>VLOOKUP(A29,'Trips&amp;Operators'!$C$1:$E$9999,3,FALSE)</f>
        <v>SANTIZO</v>
      </c>
      <c r="M29" s="12">
        <f t="shared" si="1"/>
        <v>3.2592592593573499E-2</v>
      </c>
      <c r="N29" s="13">
        <f t="shared" si="13"/>
        <v>46.933333334745839</v>
      </c>
      <c r="O29" s="13"/>
      <c r="P29" s="13"/>
      <c r="Q29" s="61"/>
      <c r="R29" s="61"/>
      <c r="S29" s="108">
        <f t="shared" si="7"/>
        <v>1</v>
      </c>
      <c r="T29" s="86" t="str">
        <f t="shared" si="8"/>
        <v>Southbound</v>
      </c>
      <c r="U29" s="109">
        <f>COUNTIFS([1]Variables!$M$2:$M$19,IF(T29="NorthBound","&gt;=","&lt;=")&amp;Y29,[1]Variables!$M$2:$M$19,IF(T29="NorthBound","&lt;=","&gt;=")&amp;Z29)</f>
        <v>12</v>
      </c>
      <c r="V29" s="73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https://search-rtdc-monitor-bjffxe2xuh6vdkpspy63sjmuny.us-east-1.es.amazonaws.com/_plugin/kibana/#/discover/Steve-Slow-Train-Analysis-(2080s-and-2083s)?_g=(refreshInterval:(display:Off,section:0,value:0),time:(from:'2016-06-13 07:32:13-0600',mode:absolute,to:'2016-06-13 08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29" s="73" t="str">
        <f t="shared" si="11"/>
        <v>N</v>
      </c>
      <c r="X29" s="73">
        <f>VALUE(LEFT(A29,3))-VALUE(LEFT(A28,3))</f>
        <v>1</v>
      </c>
      <c r="Y29" s="73">
        <f>RIGHT(D29,LEN(D29)-4)/10000</f>
        <v>23.300599999999999</v>
      </c>
      <c r="Z29" s="73">
        <f>RIGHT(H29,LEN(H29)-4)/10000</f>
        <v>1.4999999999999999E-2</v>
      </c>
      <c r="AA29" s="73">
        <f t="shared" si="12"/>
        <v>23.285599999999999</v>
      </c>
      <c r="AB29" s="74" t="e">
        <f>VLOOKUP(A29,Enforcements!$C$21:$J$74,8,0)</f>
        <v>#N/A</v>
      </c>
      <c r="AC29" s="74" t="e">
        <f>VLOOKUP(A29,Enforcements!$C$21:$J$74,3,0)</f>
        <v>#N/A</v>
      </c>
    </row>
    <row r="30" spans="1:29" s="2" customFormat="1" x14ac:dyDescent="0.25">
      <c r="A30" s="60" t="s">
        <v>374</v>
      </c>
      <c r="B30" s="60">
        <v>4031</v>
      </c>
      <c r="C30" s="60" t="s">
        <v>62</v>
      </c>
      <c r="D30" s="60" t="s">
        <v>507</v>
      </c>
      <c r="E30" s="30">
        <v>42534.287743055553</v>
      </c>
      <c r="F30" s="30">
        <v>42534.289363425924</v>
      </c>
      <c r="G30" s="38">
        <v>2</v>
      </c>
      <c r="H30" s="30" t="s">
        <v>106</v>
      </c>
      <c r="I30" s="30">
        <v>42534.318796296298</v>
      </c>
      <c r="J30" s="60">
        <v>0</v>
      </c>
      <c r="K30" s="60" t="str">
        <f t="shared" si="0"/>
        <v>4031/4032</v>
      </c>
      <c r="L30" s="60" t="str">
        <f>VLOOKUP(A30,'Trips&amp;Operators'!$C$1:$E$9999,3,FALSE)</f>
        <v>CANFIELD</v>
      </c>
      <c r="M30" s="12">
        <f t="shared" si="1"/>
        <v>2.9432870374876074E-2</v>
      </c>
      <c r="N30" s="13">
        <f t="shared" si="13"/>
        <v>42.383333339821547</v>
      </c>
      <c r="O30" s="13"/>
      <c r="P30" s="13"/>
      <c r="Q30" s="61"/>
      <c r="R30" s="61"/>
      <c r="S30" s="108">
        <f t="shared" si="7"/>
        <v>1</v>
      </c>
      <c r="T30" s="86" t="str">
        <f t="shared" si="8"/>
        <v>NorthBound</v>
      </c>
      <c r="U30" s="109">
        <f>COUNTIFS([1]Variables!$M$2:$M$19,IF(T30="NorthBound","&gt;=","&lt;=")&amp;Y30,[1]Variables!$M$2:$M$19,IF(T30="NorthBound","&lt;=","&gt;=")&amp;Z30)</f>
        <v>12</v>
      </c>
      <c r="V30" s="73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https://search-rtdc-monitor-bjffxe2xuh6vdkpspy63sjmuny.us-east-1.es.amazonaws.com/_plugin/kibana/#/discover/Steve-Slow-Train-Analysis-(2080s-and-2083s)?_g=(refreshInterval:(display:Off,section:0,value:0),time:(from:'2016-06-13 06:53:21-0600',mode:absolute,to:'2016-06-13 07:40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0" s="73" t="str">
        <f t="shared" si="11"/>
        <v>N</v>
      </c>
      <c r="X30" s="73">
        <f>VALUE(LEFT(A30,3))-VALUE(LEFT(A29,3))</f>
        <v>1</v>
      </c>
      <c r="Y30" s="73">
        <f>RIGHT(D30,LEN(D30)-4)/10000</f>
        <v>6.93E-2</v>
      </c>
      <c r="Z30" s="73">
        <f>RIGHT(H30,LEN(H30)-4)/10000</f>
        <v>23.329899999999999</v>
      </c>
      <c r="AA30" s="73">
        <f t="shared" si="12"/>
        <v>23.2606</v>
      </c>
      <c r="AB30" s="74" t="e">
        <f>VLOOKUP(A30,Enforcements!$C$21:$J$74,8,0)</f>
        <v>#N/A</v>
      </c>
      <c r="AC30" s="74" t="e">
        <f>VLOOKUP(A30,Enforcements!$C$21:$J$74,3,0)</f>
        <v>#N/A</v>
      </c>
    </row>
    <row r="31" spans="1:29" s="2" customFormat="1" x14ac:dyDescent="0.25">
      <c r="A31" s="60" t="s">
        <v>422</v>
      </c>
      <c r="B31" s="60">
        <v>4032</v>
      </c>
      <c r="C31" s="60" t="s">
        <v>62</v>
      </c>
      <c r="D31" s="60" t="s">
        <v>126</v>
      </c>
      <c r="E31" s="30">
        <v>42534.325729166667</v>
      </c>
      <c r="F31" s="30">
        <v>42534.326736111114</v>
      </c>
      <c r="G31" s="38">
        <v>1</v>
      </c>
      <c r="H31" s="30" t="s">
        <v>264</v>
      </c>
      <c r="I31" s="30">
        <v>42534.358715277776</v>
      </c>
      <c r="J31" s="60">
        <v>2</v>
      </c>
      <c r="K31" s="60" t="str">
        <f t="shared" si="0"/>
        <v>4031/4032</v>
      </c>
      <c r="L31" s="60" t="str">
        <f>VLOOKUP(A31,'Trips&amp;Operators'!$C$1:$E$9999,3,FALSE)</f>
        <v>CANFIELD</v>
      </c>
      <c r="M31" s="12">
        <f t="shared" si="1"/>
        <v>3.1979166662495118E-2</v>
      </c>
      <c r="N31" s="13">
        <f t="shared" si="13"/>
        <v>46.049999993992969</v>
      </c>
      <c r="O31" s="13"/>
      <c r="P31" s="13"/>
      <c r="Q31" s="61"/>
      <c r="R31" s="61"/>
      <c r="S31" s="108">
        <f t="shared" si="7"/>
        <v>1</v>
      </c>
      <c r="T31" s="86" t="str">
        <f t="shared" si="8"/>
        <v>Southbound</v>
      </c>
      <c r="U31" s="109">
        <f>COUNTIFS([1]Variables!$M$2:$M$19,IF(T31="NorthBound","&gt;=","&lt;=")&amp;Y31,[1]Variables!$M$2:$M$19,IF(T31="NorthBound","&lt;=","&gt;=")&amp;Z31)</f>
        <v>12</v>
      </c>
      <c r="V31" s="73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https://search-rtdc-monitor-bjffxe2xuh6vdkpspy63sjmuny.us-east-1.es.amazonaws.com/_plugin/kibana/#/discover/Steve-Slow-Train-Analysis-(2080s-and-2083s)?_g=(refreshInterval:(display:Off,section:0,value:0),time:(from:'2016-06-13 07:48:03-0600',mode:absolute,to:'2016-06-13 08:37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1" s="73" t="str">
        <f t="shared" si="11"/>
        <v>N</v>
      </c>
      <c r="X31" s="73">
        <f>VALUE(LEFT(A31,3))-VALUE(LEFT(A30,3))</f>
        <v>1</v>
      </c>
      <c r="Y31" s="73">
        <f>RIGHT(D31,LEN(D31)-4)/10000</f>
        <v>23.298200000000001</v>
      </c>
      <c r="Z31" s="73">
        <f>RIGHT(H31,LEN(H31)-4)/10000</f>
        <v>1.61E-2</v>
      </c>
      <c r="AA31" s="73">
        <f t="shared" si="12"/>
        <v>23.2821</v>
      </c>
      <c r="AB31" s="74">
        <f>VLOOKUP(A31,Enforcements!$C$21:$J$74,8,0)</f>
        <v>127587</v>
      </c>
      <c r="AC31" s="74" t="str">
        <f>VLOOKUP(A31,Enforcements!$C$21:$J$74,3,0)</f>
        <v>SIGNAL</v>
      </c>
    </row>
    <row r="32" spans="1:29" s="2" customFormat="1" x14ac:dyDescent="0.25">
      <c r="A32" s="60" t="s">
        <v>346</v>
      </c>
      <c r="B32" s="60">
        <v>4044</v>
      </c>
      <c r="C32" s="60" t="s">
        <v>62</v>
      </c>
      <c r="D32" s="60" t="s">
        <v>84</v>
      </c>
      <c r="E32" s="30">
        <v>42534.302222222221</v>
      </c>
      <c r="F32" s="30">
        <v>42534.302893518521</v>
      </c>
      <c r="G32" s="38">
        <v>0</v>
      </c>
      <c r="H32" s="30" t="s">
        <v>508</v>
      </c>
      <c r="I32" s="30">
        <v>42534.329629629632</v>
      </c>
      <c r="J32" s="60">
        <v>2</v>
      </c>
      <c r="K32" s="60" t="str">
        <f t="shared" si="0"/>
        <v>4043/4044</v>
      </c>
      <c r="L32" s="60" t="str">
        <f>VLOOKUP(A32,'Trips&amp;Operators'!$C$1:$E$9999,3,FALSE)</f>
        <v>MALAVE</v>
      </c>
      <c r="M32" s="12">
        <f t="shared" si="1"/>
        <v>2.6736111110949423E-2</v>
      </c>
      <c r="N32" s="13">
        <f t="shared" si="13"/>
        <v>38.499999999767169</v>
      </c>
      <c r="O32" s="13"/>
      <c r="P32" s="13"/>
      <c r="Q32" s="61"/>
      <c r="R32" s="61"/>
      <c r="S32" s="108">
        <f t="shared" si="7"/>
        <v>1</v>
      </c>
      <c r="T32" s="86" t="str">
        <f t="shared" si="8"/>
        <v>NorthBound</v>
      </c>
      <c r="U32" s="109">
        <f>COUNTIFS([1]Variables!$M$2:$M$19,IF(T32="NorthBound","&gt;=","&lt;=")&amp;Y32,[1]Variables!$M$2:$M$19,IF(T32="NorthBound","&lt;=","&gt;=")&amp;Z32)</f>
        <v>12</v>
      </c>
      <c r="V32" s="73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https://search-rtdc-monitor-bjffxe2xuh6vdkpspy63sjmuny.us-east-1.es.amazonaws.com/_plugin/kibana/#/discover/Steve-Slow-Train-Analysis-(2080s-and-2083s)?_g=(refreshInterval:(display:Off,section:0,value:0),time:(from:'2016-06-13 07:14:12-0600',mode:absolute,to:'2016-06-13 07:55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2" s="73" t="str">
        <f t="shared" si="11"/>
        <v>N</v>
      </c>
      <c r="X32" s="73">
        <f>VALUE(LEFT(A32,3))-VALUE(LEFT(A31,3))</f>
        <v>1</v>
      </c>
      <c r="Y32" s="73">
        <f>RIGHT(D32,LEN(D32)-4)/10000</f>
        <v>4.6199999999999998E-2</v>
      </c>
      <c r="Z32" s="73">
        <f>RIGHT(H32,LEN(H32)-4)/10000</f>
        <v>23.328700000000001</v>
      </c>
      <c r="AA32" s="73">
        <f t="shared" si="12"/>
        <v>23.282500000000002</v>
      </c>
      <c r="AB32" s="74">
        <f>VLOOKUP(A32,Enforcements!$C$21:$J$74,8,0)</f>
        <v>233491</v>
      </c>
      <c r="AC32" s="74" t="str">
        <f>VLOOKUP(A32,Enforcements!$C$21:$J$74,3,0)</f>
        <v>TRACK WARRANT AUTHORITY</v>
      </c>
    </row>
    <row r="33" spans="1:29" s="2" customFormat="1" x14ac:dyDescent="0.25">
      <c r="A33" s="60" t="s">
        <v>423</v>
      </c>
      <c r="B33" s="60">
        <v>4043</v>
      </c>
      <c r="C33" s="60" t="s">
        <v>62</v>
      </c>
      <c r="D33" s="60" t="s">
        <v>269</v>
      </c>
      <c r="E33" s="30">
        <v>42534.338460648149</v>
      </c>
      <c r="F33" s="30">
        <v>42534.33965277778</v>
      </c>
      <c r="G33" s="38">
        <v>1</v>
      </c>
      <c r="H33" s="30" t="s">
        <v>509</v>
      </c>
      <c r="I33" s="30">
        <v>42534.365567129629</v>
      </c>
      <c r="J33" s="60">
        <v>0</v>
      </c>
      <c r="K33" s="60" t="str">
        <f t="shared" si="0"/>
        <v>4043/4044</v>
      </c>
      <c r="L33" s="60" t="str">
        <f>VLOOKUP(A33,'Trips&amp;Operators'!$C$1:$E$9999,3,FALSE)</f>
        <v>MALAVE</v>
      </c>
      <c r="M33" s="12">
        <f t="shared" si="1"/>
        <v>2.5914351848769002E-2</v>
      </c>
      <c r="N33" s="13"/>
      <c r="O33" s="13"/>
      <c r="P33" s="13">
        <f>24*60*SUM($M33:$M33)</f>
        <v>37.316666662227362</v>
      </c>
      <c r="Q33" s="61"/>
      <c r="R33" s="61" t="s">
        <v>607</v>
      </c>
      <c r="S33" s="108">
        <f t="shared" si="7"/>
        <v>1</v>
      </c>
      <c r="T33" s="86" t="str">
        <f t="shared" si="8"/>
        <v>Southbound</v>
      </c>
      <c r="U33" s="109">
        <f>COUNTIFS([1]Variables!$M$2:$M$19,IF(T33="NorthBound","&gt;=","&lt;=")&amp;Y33,[1]Variables!$M$2:$M$19,IF(T33="NorthBound","&lt;=","&gt;=")&amp;Z33)</f>
        <v>12</v>
      </c>
      <c r="V33" s="73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https://search-rtdc-monitor-bjffxe2xuh6vdkpspy63sjmuny.us-east-1.es.amazonaws.com/_plugin/kibana/#/discover/Steve-Slow-Train-Analysis-(2080s-and-2083s)?_g=(refreshInterval:(display:Off,section:0,value:0),time:(from:'2016-06-13 08:06:23-0600',mode:absolute,to:'2016-06-13 08:47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3" s="73" t="str">
        <f t="shared" si="11"/>
        <v>Y</v>
      </c>
      <c r="X33" s="73">
        <f>VALUE(LEFT(A33,3))-VALUE(LEFT(A32,3))</f>
        <v>1</v>
      </c>
      <c r="Y33" s="73">
        <f>RIGHT(D33,LEN(D33)-4)/10000</f>
        <v>23.298100000000002</v>
      </c>
      <c r="Z33" s="73">
        <f>RIGHT(H33,LEN(H33)-4)/10000</f>
        <v>2.2444999999999999</v>
      </c>
      <c r="AA33" s="73">
        <f t="shared" si="12"/>
        <v>21.053600000000003</v>
      </c>
      <c r="AB33" s="74" t="e">
        <f>VLOOKUP(A33,Enforcements!$C$21:$J$74,8,0)</f>
        <v>#N/A</v>
      </c>
      <c r="AC33" s="74" t="e">
        <f>VLOOKUP(A33,Enforcements!$C$21:$J$74,3,0)</f>
        <v>#N/A</v>
      </c>
    </row>
    <row r="34" spans="1:29" s="2" customFormat="1" x14ac:dyDescent="0.25">
      <c r="A34" s="60" t="s">
        <v>405</v>
      </c>
      <c r="B34" s="60">
        <v>4025</v>
      </c>
      <c r="C34" s="60" t="s">
        <v>62</v>
      </c>
      <c r="D34" s="60" t="s">
        <v>318</v>
      </c>
      <c r="E34" s="30">
        <v>42534.30804398148</v>
      </c>
      <c r="F34" s="30">
        <v>42534.309189814812</v>
      </c>
      <c r="G34" s="38">
        <v>1</v>
      </c>
      <c r="H34" s="30" t="s">
        <v>510</v>
      </c>
      <c r="I34" s="30">
        <v>42534.338101851848</v>
      </c>
      <c r="J34" s="60">
        <v>0</v>
      </c>
      <c r="K34" s="60" t="str">
        <f t="shared" si="0"/>
        <v>4025/4026</v>
      </c>
      <c r="L34" s="60" t="str">
        <f>VLOOKUP(A34,'Trips&amp;Operators'!$C$1:$E$9999,3,FALSE)</f>
        <v>STURGEON</v>
      </c>
      <c r="M34" s="12">
        <f t="shared" si="1"/>
        <v>2.8912037036207039E-2</v>
      </c>
      <c r="N34" s="13">
        <f>24*60*SUM($M34:$M34)</f>
        <v>41.633333332138136</v>
      </c>
      <c r="O34" s="13"/>
      <c r="P34" s="13"/>
      <c r="Q34" s="61"/>
      <c r="R34" s="61"/>
      <c r="S34" s="108">
        <f t="shared" si="7"/>
        <v>1</v>
      </c>
      <c r="T34" s="86" t="str">
        <f t="shared" si="8"/>
        <v>NorthBound</v>
      </c>
      <c r="U34" s="109">
        <f>COUNTIFS([1]Variables!$M$2:$M$19,IF(T34="NorthBound","&gt;=","&lt;=")&amp;Y34,[1]Variables!$M$2:$M$19,IF(T34="NorthBound","&lt;=","&gt;=")&amp;Z34)</f>
        <v>12</v>
      </c>
      <c r="V34" s="73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https://search-rtdc-monitor-bjffxe2xuh6vdkpspy63sjmuny.us-east-1.es.amazonaws.com/_plugin/kibana/#/discover/Steve-Slow-Train-Analysis-(2080s-and-2083s)?_g=(refreshInterval:(display:Off,section:0,value:0),time:(from:'2016-06-13 07:22:35-0600',mode:absolute,to:'2016-06-13 08:07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4" s="73" t="str">
        <f t="shared" si="11"/>
        <v>N</v>
      </c>
      <c r="X34" s="73">
        <f>VALUE(LEFT(A34,3))-VALUE(LEFT(A33,3))</f>
        <v>1</v>
      </c>
      <c r="Y34" s="73">
        <f>RIGHT(D34,LEN(D34)-4)/10000</f>
        <v>4.4699999999999997E-2</v>
      </c>
      <c r="Z34" s="73">
        <f>RIGHT(H34,LEN(H34)-4)/10000</f>
        <v>23.327000000000002</v>
      </c>
      <c r="AA34" s="73">
        <f t="shared" si="12"/>
        <v>23.282300000000003</v>
      </c>
      <c r="AB34" s="74" t="e">
        <f>VLOOKUP(A34,Enforcements!$C$21:$J$74,8,0)</f>
        <v>#N/A</v>
      </c>
      <c r="AC34" s="74" t="e">
        <f>VLOOKUP(A34,Enforcements!$C$21:$J$74,3,0)</f>
        <v>#N/A</v>
      </c>
    </row>
    <row r="35" spans="1:29" s="2" customFormat="1" x14ac:dyDescent="0.25">
      <c r="A35" s="60" t="s">
        <v>411</v>
      </c>
      <c r="B35" s="60">
        <v>4026</v>
      </c>
      <c r="C35" s="60" t="s">
        <v>62</v>
      </c>
      <c r="D35" s="60" t="s">
        <v>511</v>
      </c>
      <c r="E35" s="30">
        <v>42534.344236111108</v>
      </c>
      <c r="F35" s="30">
        <v>42534.345138888886</v>
      </c>
      <c r="G35" s="38">
        <v>1</v>
      </c>
      <c r="H35" s="30" t="s">
        <v>512</v>
      </c>
      <c r="I35" s="30">
        <v>42534.376157407409</v>
      </c>
      <c r="J35" s="60">
        <v>0</v>
      </c>
      <c r="K35" s="60" t="str">
        <f t="shared" ref="K35:K66" si="14">IF(ISEVEN(B35),(B35-1)&amp;"/"&amp;B35,B35&amp;"/"&amp;(B35+1))</f>
        <v>4025/4026</v>
      </c>
      <c r="L35" s="60" t="str">
        <f>VLOOKUP(A35,'Trips&amp;Operators'!$C$1:$E$9999,3,FALSE)</f>
        <v>STURGEON</v>
      </c>
      <c r="M35" s="12">
        <f t="shared" ref="M35:M66" si="15">I35-F35</f>
        <v>3.1018518522614613E-2</v>
      </c>
      <c r="N35" s="13"/>
      <c r="O35" s="13"/>
      <c r="P35" s="13">
        <f>24*60*SUM($M35:$M35)</f>
        <v>44.666666672565043</v>
      </c>
      <c r="Q35" s="61"/>
      <c r="R35" s="61" t="s">
        <v>607</v>
      </c>
      <c r="S35" s="108">
        <f t="shared" si="7"/>
        <v>1</v>
      </c>
      <c r="T35" s="86" t="str">
        <f t="shared" si="8"/>
        <v>Southbound</v>
      </c>
      <c r="U35" s="109">
        <f>COUNTIFS([1]Variables!$M$2:$M$19,IF(T35="NorthBound","&gt;=","&lt;=")&amp;Y35,[1]Variables!$M$2:$M$19,IF(T35="NorthBound","&lt;=","&gt;=")&amp;Z35)</f>
        <v>12</v>
      </c>
      <c r="V35" s="73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https://search-rtdc-monitor-bjffxe2xuh6vdkpspy63sjmuny.us-east-1.es.amazonaws.com/_plugin/kibana/#/discover/Steve-Slow-Train-Analysis-(2080s-and-2083s)?_g=(refreshInterval:(display:Off,section:0,value:0),time:(from:'2016-06-13 08:14:42-0600',mode:absolute,to:'2016-06-13 09:02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5" s="73" t="str">
        <f t="shared" si="11"/>
        <v>Y</v>
      </c>
      <c r="X35" s="73">
        <f>VALUE(LEFT(A35,3))-VALUE(LEFT(A34,3))</f>
        <v>1</v>
      </c>
      <c r="Y35" s="73">
        <f>RIGHT(D35,LEN(D35)-4)/10000</f>
        <v>23.295300000000001</v>
      </c>
      <c r="Z35" s="73">
        <f>RIGHT(H35,LEN(H35)-4)/10000</f>
        <v>2.3881999999999999</v>
      </c>
      <c r="AA35" s="73">
        <f t="shared" si="12"/>
        <v>20.9071</v>
      </c>
      <c r="AB35" s="74" t="e">
        <f>VLOOKUP(A35,Enforcements!$C$21:$J$74,8,0)</f>
        <v>#N/A</v>
      </c>
      <c r="AC35" s="74" t="e">
        <f>VLOOKUP(A35,Enforcements!$C$21:$J$74,3,0)</f>
        <v>#N/A</v>
      </c>
    </row>
    <row r="36" spans="1:29" s="2" customFormat="1" x14ac:dyDescent="0.25">
      <c r="A36" s="60" t="s">
        <v>396</v>
      </c>
      <c r="B36" s="60">
        <v>4009</v>
      </c>
      <c r="C36" s="60" t="s">
        <v>62</v>
      </c>
      <c r="D36" s="60" t="s">
        <v>513</v>
      </c>
      <c r="E36" s="30">
        <v>42534.319166666668</v>
      </c>
      <c r="F36" s="30">
        <v>42534.324305555558</v>
      </c>
      <c r="G36" s="38">
        <v>7</v>
      </c>
      <c r="H36" s="30" t="s">
        <v>270</v>
      </c>
      <c r="I36" s="30">
        <v>42534.349965277775</v>
      </c>
      <c r="J36" s="60">
        <v>0</v>
      </c>
      <c r="K36" s="60" t="str">
        <f t="shared" si="14"/>
        <v>4009/4010</v>
      </c>
      <c r="L36" s="60" t="str">
        <f>VLOOKUP(A36,'Trips&amp;Operators'!$C$1:$E$9999,3,FALSE)</f>
        <v>COOLAHAN</v>
      </c>
      <c r="M36" s="12">
        <f t="shared" si="15"/>
        <v>2.565972221782431E-2</v>
      </c>
      <c r="N36" s="13">
        <f>24*60*SUM($M36:$M36)</f>
        <v>36.949999993667006</v>
      </c>
      <c r="O36" s="13"/>
      <c r="P36" s="13"/>
      <c r="Q36" s="61"/>
      <c r="R36" s="61"/>
      <c r="S36" s="108">
        <f t="shared" si="7"/>
        <v>1</v>
      </c>
      <c r="T36" s="86" t="str">
        <f t="shared" si="8"/>
        <v>NorthBound</v>
      </c>
      <c r="U36" s="109">
        <f>COUNTIFS([1]Variables!$M$2:$M$19,IF(T36="NorthBound","&gt;=","&lt;=")&amp;Y36,[1]Variables!$M$2:$M$19,IF(T36="NorthBound","&lt;=","&gt;=")&amp;Z36)</f>
        <v>12</v>
      </c>
      <c r="V36" s="73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https://search-rtdc-monitor-bjffxe2xuh6vdkpspy63sjmuny.us-east-1.es.amazonaws.com/_plugin/kibana/#/discover/Steve-Slow-Train-Analysis-(2080s-and-2083s)?_g=(refreshInterval:(display:Off,section:0,value:0),time:(from:'2016-06-13 07:38:36-0600',mode:absolute,to:'2016-06-13 08:24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36" s="73" t="str">
        <f t="shared" si="11"/>
        <v>Y</v>
      </c>
      <c r="X36" s="73">
        <f>VALUE(LEFT(A36,3))-VALUE(LEFT(A35,3))</f>
        <v>1</v>
      </c>
      <c r="Y36" s="73">
        <f>RIGHT(D36,LEN(D36)-4)/10000</f>
        <v>0.37319999999999998</v>
      </c>
      <c r="Z36" s="73">
        <f>RIGHT(H36,LEN(H36)-4)/10000</f>
        <v>23.3291</v>
      </c>
      <c r="AA36" s="73">
        <f t="shared" si="12"/>
        <v>22.9559</v>
      </c>
      <c r="AB36" s="74" t="e">
        <f>VLOOKUP(A36,Enforcements!$C$21:$J$74,8,0)</f>
        <v>#N/A</v>
      </c>
      <c r="AC36" s="74" t="e">
        <f>VLOOKUP(A36,Enforcements!$C$21:$J$74,3,0)</f>
        <v>#N/A</v>
      </c>
    </row>
    <row r="37" spans="1:29" s="2" customFormat="1" x14ac:dyDescent="0.25">
      <c r="A37" s="60" t="s">
        <v>471</v>
      </c>
      <c r="B37" s="60">
        <v>4010</v>
      </c>
      <c r="C37" s="60" t="s">
        <v>62</v>
      </c>
      <c r="D37" s="60" t="s">
        <v>269</v>
      </c>
      <c r="E37" s="30">
        <v>42534.359560185185</v>
      </c>
      <c r="F37" s="30">
        <v>42534.360833333332</v>
      </c>
      <c r="G37" s="38">
        <v>1</v>
      </c>
      <c r="H37" s="30" t="s">
        <v>514</v>
      </c>
      <c r="I37" s="30">
        <v>42534.384618055556</v>
      </c>
      <c r="J37" s="60">
        <v>0</v>
      </c>
      <c r="K37" s="60" t="str">
        <f t="shared" si="14"/>
        <v>4009/4010</v>
      </c>
      <c r="L37" s="60" t="str">
        <f>VLOOKUP(A37,'Trips&amp;Operators'!$C$1:$E$9999,3,FALSE)</f>
        <v>COOLAHAN</v>
      </c>
      <c r="M37" s="12">
        <f t="shared" si="15"/>
        <v>2.3784722223354038E-2</v>
      </c>
      <c r="N37" s="13"/>
      <c r="O37" s="13"/>
      <c r="P37" s="13">
        <f>24*60*SUM($M37:$M37)</f>
        <v>34.250000001629815</v>
      </c>
      <c r="Q37" s="61"/>
      <c r="R37" s="61" t="s">
        <v>607</v>
      </c>
      <c r="S37" s="108">
        <f t="shared" si="7"/>
        <v>1</v>
      </c>
      <c r="T37" s="86" t="str">
        <f t="shared" si="8"/>
        <v>Southbound</v>
      </c>
      <c r="U37" s="109">
        <f>COUNTIFS([1]Variables!$M$2:$M$19,IF(T37="NorthBound","&gt;=","&lt;=")&amp;Y37,[1]Variables!$M$2:$M$19,IF(T37="NorthBound","&lt;=","&gt;=")&amp;Z37)</f>
        <v>12</v>
      </c>
      <c r="V37" s="73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https://search-rtdc-monitor-bjffxe2xuh6vdkpspy63sjmuny.us-east-1.es.amazonaws.com/_plugin/kibana/#/discover/Steve-Slow-Train-Analysis-(2080s-and-2083s)?_g=(refreshInterval:(display:Off,section:0,value:0),time:(from:'2016-06-13 08:36:46-0600',mode:absolute,to:'2016-06-13 09:14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37" s="73" t="str">
        <f t="shared" si="11"/>
        <v>Y</v>
      </c>
      <c r="X37" s="73">
        <f>VALUE(LEFT(A37,3))-VALUE(LEFT(A36,3))</f>
        <v>1</v>
      </c>
      <c r="Y37" s="73">
        <f>RIGHT(D37,LEN(D37)-4)/10000</f>
        <v>23.298100000000002</v>
      </c>
      <c r="Z37" s="73">
        <f>RIGHT(H37,LEN(H37)-4)/10000</f>
        <v>2.665</v>
      </c>
      <c r="AA37" s="73">
        <f t="shared" si="12"/>
        <v>20.633100000000002</v>
      </c>
      <c r="AB37" s="74" t="e">
        <f>VLOOKUP(A37,Enforcements!$C$21:$J$74,8,0)</f>
        <v>#N/A</v>
      </c>
      <c r="AC37" s="74" t="e">
        <f>VLOOKUP(A37,Enforcements!$C$21:$J$74,3,0)</f>
        <v>#N/A</v>
      </c>
    </row>
    <row r="38" spans="1:29" s="2" customFormat="1" x14ac:dyDescent="0.25">
      <c r="A38" s="60" t="s">
        <v>445</v>
      </c>
      <c r="B38" s="60">
        <v>4020</v>
      </c>
      <c r="C38" s="60" t="s">
        <v>62</v>
      </c>
      <c r="D38" s="60" t="s">
        <v>318</v>
      </c>
      <c r="E38" s="30">
        <v>42534.330509259256</v>
      </c>
      <c r="F38" s="30">
        <v>42534.331493055557</v>
      </c>
      <c r="G38" s="38">
        <v>1</v>
      </c>
      <c r="H38" s="30" t="s">
        <v>270</v>
      </c>
      <c r="I38" s="30">
        <v>42534.359270833331</v>
      </c>
      <c r="J38" s="60">
        <v>0</v>
      </c>
      <c r="K38" s="60" t="str">
        <f t="shared" si="14"/>
        <v>4019/4020</v>
      </c>
      <c r="L38" s="60" t="str">
        <f>VLOOKUP(A38,'Trips&amp;Operators'!$C$1:$E$9999,3,FALSE)</f>
        <v>STARKS</v>
      </c>
      <c r="M38" s="12">
        <f t="shared" si="15"/>
        <v>2.7777777773735579E-2</v>
      </c>
      <c r="N38" s="13">
        <f t="shared" ref="N38:N43" si="16">24*60*SUM($M38:$M38)</f>
        <v>39.999999994179234</v>
      </c>
      <c r="O38" s="13"/>
      <c r="P38" s="13"/>
      <c r="Q38" s="61"/>
      <c r="R38" s="61"/>
      <c r="S38" s="108">
        <f t="shared" si="7"/>
        <v>1</v>
      </c>
      <c r="T38" s="86" t="str">
        <f t="shared" si="8"/>
        <v>NorthBound</v>
      </c>
      <c r="U38" s="109">
        <f>COUNTIFS([1]Variables!$M$2:$M$19,IF(T38="NorthBound","&gt;=","&lt;=")&amp;Y38,[1]Variables!$M$2:$M$19,IF(T38="NorthBound","&lt;=","&gt;=")&amp;Z38)</f>
        <v>12</v>
      </c>
      <c r="V38" s="73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https://search-rtdc-monitor-bjffxe2xuh6vdkpspy63sjmuny.us-east-1.es.amazonaws.com/_plugin/kibana/#/discover/Steve-Slow-Train-Analysis-(2080s-and-2083s)?_g=(refreshInterval:(display:Off,section:0,value:0),time:(from:'2016-06-13 07:54:56-0600',mode:absolute,to:'2016-06-13 08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8" s="73" t="str">
        <f t="shared" si="11"/>
        <v>N</v>
      </c>
      <c r="X38" s="73">
        <f>VALUE(LEFT(A38,3))-VALUE(LEFT(A37,3))</f>
        <v>1</v>
      </c>
      <c r="Y38" s="73">
        <f>RIGHT(D38,LEN(D38)-4)/10000</f>
        <v>4.4699999999999997E-2</v>
      </c>
      <c r="Z38" s="73">
        <f>RIGHT(H38,LEN(H38)-4)/10000</f>
        <v>23.3291</v>
      </c>
      <c r="AA38" s="73">
        <f t="shared" si="12"/>
        <v>23.284400000000002</v>
      </c>
      <c r="AB38" s="74" t="e">
        <f>VLOOKUP(A38,Enforcements!$C$21:$J$74,8,0)</f>
        <v>#N/A</v>
      </c>
      <c r="AC38" s="74" t="e">
        <f>VLOOKUP(A38,Enforcements!$C$21:$J$74,3,0)</f>
        <v>#N/A</v>
      </c>
    </row>
    <row r="39" spans="1:29" s="2" customFormat="1" x14ac:dyDescent="0.25">
      <c r="A39" s="60" t="s">
        <v>426</v>
      </c>
      <c r="B39" s="60">
        <v>4019</v>
      </c>
      <c r="C39" s="60" t="s">
        <v>62</v>
      </c>
      <c r="D39" s="60" t="s">
        <v>266</v>
      </c>
      <c r="E39" s="30">
        <v>42534.369375000002</v>
      </c>
      <c r="F39" s="30">
        <v>42534.370370370372</v>
      </c>
      <c r="G39" s="38">
        <v>1</v>
      </c>
      <c r="H39" s="30" t="s">
        <v>116</v>
      </c>
      <c r="I39" s="30">
        <v>42534.401354166665</v>
      </c>
      <c r="J39" s="60">
        <v>3</v>
      </c>
      <c r="K39" s="60" t="str">
        <f t="shared" si="14"/>
        <v>4019/4020</v>
      </c>
      <c r="L39" s="60" t="str">
        <f>VLOOKUP(A39,'Trips&amp;Operators'!$C$1:$E$9999,3,FALSE)</f>
        <v>STARKS</v>
      </c>
      <c r="M39" s="12">
        <f t="shared" si="15"/>
        <v>3.0983796292275656E-2</v>
      </c>
      <c r="N39" s="13">
        <f t="shared" si="16"/>
        <v>44.616666660876945</v>
      </c>
      <c r="O39" s="13"/>
      <c r="P39" s="13"/>
      <c r="Q39" s="61"/>
      <c r="R39" s="61"/>
      <c r="S39" s="108">
        <f t="shared" si="7"/>
        <v>1</v>
      </c>
      <c r="T39" s="86" t="str">
        <f t="shared" si="8"/>
        <v>Southbound</v>
      </c>
      <c r="U39" s="109">
        <f>COUNTIFS([1]Variables!$M$2:$M$19,IF(T39="NorthBound","&gt;=","&lt;=")&amp;Y39,[1]Variables!$M$2:$M$19,IF(T39="NorthBound","&lt;=","&gt;=")&amp;Z39)</f>
        <v>12</v>
      </c>
      <c r="V39" s="73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https://search-rtdc-monitor-bjffxe2xuh6vdkpspy63sjmuny.us-east-1.es.amazonaws.com/_plugin/kibana/#/discover/Steve-Slow-Train-Analysis-(2080s-and-2083s)?_g=(refreshInterval:(display:Off,section:0,value:0),time:(from:'2016-06-13 08:50:54-0600',mode:absolute,to:'2016-06-13 09:38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9" s="73" t="str">
        <f t="shared" si="11"/>
        <v>N</v>
      </c>
      <c r="X39" s="73">
        <f>VALUE(LEFT(A39,3))-VALUE(LEFT(A38,3))</f>
        <v>1</v>
      </c>
      <c r="Y39" s="73">
        <f>RIGHT(D39,LEN(D39)-4)/10000</f>
        <v>23.2971</v>
      </c>
      <c r="Z39" s="73">
        <f>RIGHT(H39,LEN(H39)-4)/10000</f>
        <v>1.32E-2</v>
      </c>
      <c r="AA39" s="73">
        <f t="shared" si="12"/>
        <v>23.283899999999999</v>
      </c>
      <c r="AB39" s="74">
        <f>VLOOKUP(A39,Enforcements!$C$21:$J$74,8,0)</f>
        <v>95986</v>
      </c>
      <c r="AC39" s="74" t="str">
        <f>VLOOKUP(A39,Enforcements!$C$21:$J$74,3,0)</f>
        <v>SIGNAL</v>
      </c>
    </row>
    <row r="40" spans="1:29" s="2" customFormat="1" x14ac:dyDescent="0.25">
      <c r="A40" s="60" t="s">
        <v>469</v>
      </c>
      <c r="B40" s="60">
        <v>4011</v>
      </c>
      <c r="C40" s="60" t="s">
        <v>62</v>
      </c>
      <c r="D40" s="60" t="s">
        <v>515</v>
      </c>
      <c r="E40" s="30">
        <v>42534.3434837963</v>
      </c>
      <c r="F40" s="30">
        <v>42534.344282407408</v>
      </c>
      <c r="G40" s="38">
        <v>1</v>
      </c>
      <c r="H40" s="30" t="s">
        <v>80</v>
      </c>
      <c r="I40" s="30">
        <v>42534.371331018519</v>
      </c>
      <c r="J40" s="60">
        <v>0</v>
      </c>
      <c r="K40" s="60" t="str">
        <f t="shared" si="14"/>
        <v>4011/4012</v>
      </c>
      <c r="L40" s="60" t="str">
        <f>VLOOKUP(A40,'Trips&amp;Operators'!$C$1:$E$9999,3,FALSE)</f>
        <v>SPECTOR</v>
      </c>
      <c r="M40" s="12">
        <f t="shared" si="15"/>
        <v>2.7048611111240461E-2</v>
      </c>
      <c r="N40" s="13">
        <f t="shared" si="16"/>
        <v>38.950000000186265</v>
      </c>
      <c r="O40" s="13"/>
      <c r="P40" s="13"/>
      <c r="Q40" s="61"/>
      <c r="R40" s="61"/>
      <c r="S40" s="108">
        <f t="shared" si="7"/>
        <v>1</v>
      </c>
      <c r="T40" s="86" t="str">
        <f t="shared" si="8"/>
        <v>NorthBound</v>
      </c>
      <c r="U40" s="109">
        <f>COUNTIFS([1]Variables!$M$2:$M$19,IF(T40="NorthBound","&gt;=","&lt;=")&amp;Y40,[1]Variables!$M$2:$M$19,IF(T40="NorthBound","&lt;=","&gt;=")&amp;Z40)</f>
        <v>12</v>
      </c>
      <c r="V40" s="73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https://search-rtdc-monitor-bjffxe2xuh6vdkpspy63sjmuny.us-east-1.es.amazonaws.com/_plugin/kibana/#/discover/Steve-Slow-Train-Analysis-(2080s-and-2083s)?_g=(refreshInterval:(display:Off,section:0,value:0),time:(from:'2016-06-13 08:13:37-0600',mode:absolute,to:'2016-06-13 08:55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0" s="73" t="str">
        <f t="shared" si="11"/>
        <v>N</v>
      </c>
      <c r="X40" s="73">
        <f>VALUE(LEFT(A40,3))-VALUE(LEFT(A39,3))</f>
        <v>1</v>
      </c>
      <c r="Y40" s="73">
        <f>RIGHT(D40,LEN(D40)-4)/10000</f>
        <v>5.5300000000000002E-2</v>
      </c>
      <c r="Z40" s="73">
        <f>RIGHT(H40,LEN(H40)-4)/10000</f>
        <v>23.331399999999999</v>
      </c>
      <c r="AA40" s="73">
        <f t="shared" si="12"/>
        <v>23.2761</v>
      </c>
      <c r="AB40" s="74" t="e">
        <f>VLOOKUP(A40,Enforcements!$C$21:$J$74,8,0)</f>
        <v>#N/A</v>
      </c>
      <c r="AC40" s="74" t="e">
        <f>VLOOKUP(A40,Enforcements!$C$21:$J$74,3,0)</f>
        <v>#N/A</v>
      </c>
    </row>
    <row r="41" spans="1:29" s="2" customFormat="1" x14ac:dyDescent="0.25">
      <c r="A41" s="60" t="s">
        <v>369</v>
      </c>
      <c r="B41" s="60">
        <v>4012</v>
      </c>
      <c r="C41" s="60" t="s">
        <v>62</v>
      </c>
      <c r="D41" s="60" t="s">
        <v>516</v>
      </c>
      <c r="E41" s="30">
        <v>42534.380254629628</v>
      </c>
      <c r="F41" s="30">
        <v>42534.381493055553</v>
      </c>
      <c r="G41" s="38">
        <v>1</v>
      </c>
      <c r="H41" s="30" t="s">
        <v>63</v>
      </c>
      <c r="I41" s="30">
        <v>42534.408958333333</v>
      </c>
      <c r="J41" s="60">
        <v>0</v>
      </c>
      <c r="K41" s="60" t="str">
        <f t="shared" si="14"/>
        <v>4011/4012</v>
      </c>
      <c r="L41" s="60" t="str">
        <f>VLOOKUP(A41,'Trips&amp;Operators'!$C$1:$E$9999,3,FALSE)</f>
        <v>SPECTOR</v>
      </c>
      <c r="M41" s="12">
        <f t="shared" si="15"/>
        <v>2.7465277780720498E-2</v>
      </c>
      <c r="N41" s="13">
        <f t="shared" si="16"/>
        <v>39.550000004237518</v>
      </c>
      <c r="O41" s="13"/>
      <c r="P41" s="13"/>
      <c r="Q41" s="61"/>
      <c r="R41" s="61"/>
      <c r="S41" s="108">
        <f t="shared" si="7"/>
        <v>1</v>
      </c>
      <c r="T41" s="86" t="str">
        <f t="shared" si="8"/>
        <v>Southbound</v>
      </c>
      <c r="U41" s="109">
        <f>COUNTIFS([1]Variables!$M$2:$M$19,IF(T41="NorthBound","&gt;=","&lt;=")&amp;Y41,[1]Variables!$M$2:$M$19,IF(T41="NorthBound","&lt;=","&gt;=")&amp;Z41)</f>
        <v>12</v>
      </c>
      <c r="V41" s="73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https://search-rtdc-monitor-bjffxe2xuh6vdkpspy63sjmuny.us-east-1.es.amazonaws.com/_plugin/kibana/#/discover/Steve-Slow-Train-Analysis-(2080s-and-2083s)?_g=(refreshInterval:(display:Off,section:0,value:0),time:(from:'2016-06-13 09:06:34-0600',mode:absolute,to:'2016-06-13 09:49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1" s="73" t="str">
        <f t="shared" si="11"/>
        <v>N</v>
      </c>
      <c r="X41" s="73">
        <f>VALUE(LEFT(A41,3))-VALUE(LEFT(A40,3))</f>
        <v>1</v>
      </c>
      <c r="Y41" s="73">
        <f>RIGHT(D41,LEN(D41)-4)/10000</f>
        <v>23.299299999999999</v>
      </c>
      <c r="Z41" s="73">
        <f>RIGHT(H41,LEN(H41)-4)/10000</f>
        <v>1.4500000000000001E-2</v>
      </c>
      <c r="AA41" s="73">
        <f t="shared" si="12"/>
        <v>23.284799999999997</v>
      </c>
      <c r="AB41" s="74" t="e">
        <f>VLOOKUP(A41,Enforcements!$C$21:$J$74,8,0)</f>
        <v>#N/A</v>
      </c>
      <c r="AC41" s="74" t="e">
        <f>VLOOKUP(A41,Enforcements!$C$21:$J$74,3,0)</f>
        <v>#N/A</v>
      </c>
    </row>
    <row r="42" spans="1:29" s="2" customFormat="1" x14ac:dyDescent="0.25">
      <c r="A42" s="60" t="s">
        <v>376</v>
      </c>
      <c r="B42" s="60">
        <v>4024</v>
      </c>
      <c r="C42" s="60" t="s">
        <v>62</v>
      </c>
      <c r="D42" s="60" t="s">
        <v>517</v>
      </c>
      <c r="E42" s="30">
        <v>42534.350891203707</v>
      </c>
      <c r="F42" s="30">
        <v>42534.352094907408</v>
      </c>
      <c r="G42" s="38">
        <v>1</v>
      </c>
      <c r="H42" s="30" t="s">
        <v>518</v>
      </c>
      <c r="I42" s="30">
        <v>42534.379351851851</v>
      </c>
      <c r="J42" s="60">
        <v>1</v>
      </c>
      <c r="K42" s="60" t="str">
        <f t="shared" si="14"/>
        <v>4023/4024</v>
      </c>
      <c r="L42" s="60" t="str">
        <f>VLOOKUP(A42,'Trips&amp;Operators'!$C$1:$E$9999,3,FALSE)</f>
        <v>SANTIZO</v>
      </c>
      <c r="M42" s="12">
        <f t="shared" si="15"/>
        <v>2.7256944442342501E-2</v>
      </c>
      <c r="N42" s="13">
        <f t="shared" si="16"/>
        <v>39.249999996973202</v>
      </c>
      <c r="O42" s="13"/>
      <c r="P42" s="13"/>
      <c r="Q42" s="61"/>
      <c r="R42" s="61"/>
      <c r="S42" s="108">
        <f t="shared" si="7"/>
        <v>1</v>
      </c>
      <c r="T42" s="86" t="str">
        <f t="shared" si="8"/>
        <v>NorthBound</v>
      </c>
      <c r="U42" s="109">
        <f>COUNTIFS([1]Variables!$M$2:$M$19,IF(T42="NorthBound","&gt;=","&lt;=")&amp;Y42,[1]Variables!$M$2:$M$19,IF(T42="NorthBound","&lt;=","&gt;=")&amp;Z42)</f>
        <v>12</v>
      </c>
      <c r="V42" s="73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https://search-rtdc-monitor-bjffxe2xuh6vdkpspy63sjmuny.us-east-1.es.amazonaws.com/_plugin/kibana/#/discover/Steve-Slow-Train-Analysis-(2080s-and-2083s)?_g=(refreshInterval:(display:Off,section:0,value:0),time:(from:'2016-06-13 08:24:17-0600',mode:absolute,to:'2016-06-13 09:07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2" s="73" t="str">
        <f t="shared" si="11"/>
        <v>N</v>
      </c>
      <c r="X42" s="73">
        <f>VALUE(LEFT(A42,3))-VALUE(LEFT(A41,3))</f>
        <v>1</v>
      </c>
      <c r="Y42" s="73">
        <f>RIGHT(D42,LEN(D42)-4)/10000</f>
        <v>4.7699999999999999E-2</v>
      </c>
      <c r="Z42" s="73">
        <f>RIGHT(H42,LEN(H42)-4)/10000</f>
        <v>23.3278</v>
      </c>
      <c r="AA42" s="73">
        <f t="shared" si="12"/>
        <v>23.280100000000001</v>
      </c>
      <c r="AB42" s="74">
        <f>VLOOKUP(A42,Enforcements!$C$21:$J$74,8,0)</f>
        <v>233491</v>
      </c>
      <c r="AC42" s="74" t="str">
        <f>VLOOKUP(A42,Enforcements!$C$21:$J$74,3,0)</f>
        <v>TRACK WARRANT AUTHORITY</v>
      </c>
    </row>
    <row r="43" spans="1:29" s="2" customFormat="1" x14ac:dyDescent="0.25">
      <c r="A43" s="60" t="s">
        <v>403</v>
      </c>
      <c r="B43" s="60">
        <v>4023</v>
      </c>
      <c r="C43" s="60" t="s">
        <v>62</v>
      </c>
      <c r="D43" s="60" t="s">
        <v>519</v>
      </c>
      <c r="E43" s="30">
        <v>42534.389178240737</v>
      </c>
      <c r="F43" s="30">
        <v>42534.390104166669</v>
      </c>
      <c r="G43" s="38">
        <v>1</v>
      </c>
      <c r="H43" s="30" t="s">
        <v>74</v>
      </c>
      <c r="I43" s="30">
        <v>42534.42392361111</v>
      </c>
      <c r="J43" s="60">
        <v>0</v>
      </c>
      <c r="K43" s="60" t="str">
        <f t="shared" si="14"/>
        <v>4023/4024</v>
      </c>
      <c r="L43" s="60" t="str">
        <f>VLOOKUP(A43,'Trips&amp;Operators'!$C$1:$E$9999,3,FALSE)</f>
        <v>SANTIZO</v>
      </c>
      <c r="M43" s="12">
        <f t="shared" si="15"/>
        <v>3.3819444441178348E-2</v>
      </c>
      <c r="N43" s="13">
        <f t="shared" si="16"/>
        <v>48.699999995296821</v>
      </c>
      <c r="O43" s="13"/>
      <c r="P43" s="13"/>
      <c r="Q43" s="61"/>
      <c r="R43" s="61"/>
      <c r="S43" s="108">
        <f t="shared" si="7"/>
        <v>1</v>
      </c>
      <c r="T43" s="86" t="str">
        <f t="shared" si="8"/>
        <v>Southbound</v>
      </c>
      <c r="U43" s="109">
        <f>COUNTIFS([1]Variables!$M$2:$M$19,IF(T43="NorthBound","&gt;=","&lt;=")&amp;Y43,[1]Variables!$M$2:$M$19,IF(T43="NorthBound","&lt;=","&gt;=")&amp;Z43)</f>
        <v>12</v>
      </c>
      <c r="V43" s="73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https://search-rtdc-monitor-bjffxe2xuh6vdkpspy63sjmuny.us-east-1.es.amazonaws.com/_plugin/kibana/#/discover/Steve-Slow-Train-Analysis-(2080s-and-2083s)?_g=(refreshInterval:(display:Off,section:0,value:0),time:(from:'2016-06-13 09:19:25-0600',mode:absolute,to:'2016-06-13 10:11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3" s="73" t="str">
        <f t="shared" si="11"/>
        <v>N</v>
      </c>
      <c r="X43" s="73">
        <f>VALUE(LEFT(A43,3))-VALUE(LEFT(A42,3))</f>
        <v>1</v>
      </c>
      <c r="Y43" s="73">
        <f>RIGHT(D43,LEN(D43)-4)/10000</f>
        <v>23.295500000000001</v>
      </c>
      <c r="Z43" s="73">
        <f>RIGHT(H43,LEN(H43)-4)/10000</f>
        <v>1.47E-2</v>
      </c>
      <c r="AA43" s="73">
        <f t="shared" si="12"/>
        <v>23.280799999999999</v>
      </c>
      <c r="AB43" s="74" t="e">
        <f>VLOOKUP(A43,Enforcements!$C$21:$J$74,8,0)</f>
        <v>#N/A</v>
      </c>
      <c r="AC43" s="74" t="e">
        <f>VLOOKUP(A43,Enforcements!$C$21:$J$74,3,0)</f>
        <v>#N/A</v>
      </c>
    </row>
    <row r="44" spans="1:29" s="2" customFormat="1" x14ac:dyDescent="0.25">
      <c r="A44" s="60" t="s">
        <v>351</v>
      </c>
      <c r="B44" s="60">
        <v>4031</v>
      </c>
      <c r="C44" s="60" t="s">
        <v>62</v>
      </c>
      <c r="D44" s="60" t="s">
        <v>517</v>
      </c>
      <c r="E44" s="30">
        <v>42534.361226851855</v>
      </c>
      <c r="F44" s="30">
        <v>42534.362430555557</v>
      </c>
      <c r="G44" s="38">
        <v>1</v>
      </c>
      <c r="H44" s="30" t="s">
        <v>520</v>
      </c>
      <c r="I44" s="30">
        <v>42534.375474537039</v>
      </c>
      <c r="J44" s="60">
        <v>0</v>
      </c>
      <c r="K44" s="60" t="str">
        <f t="shared" si="14"/>
        <v>4031/4032</v>
      </c>
      <c r="L44" s="60" t="str">
        <f>VLOOKUP(A44,'Trips&amp;Operators'!$C$1:$E$9999,3,FALSE)</f>
        <v>CANFIELD</v>
      </c>
      <c r="M44" s="12">
        <f t="shared" si="15"/>
        <v>1.3043981482042E-2</v>
      </c>
      <c r="N44" s="13"/>
      <c r="O44" s="13"/>
      <c r="P44" s="13">
        <f>24*60*SUM($M44:$M44)</f>
        <v>18.78333333414048</v>
      </c>
      <c r="Q44" s="61"/>
      <c r="R44" s="61" t="s">
        <v>607</v>
      </c>
      <c r="S44" s="108">
        <f t="shared" si="7"/>
        <v>0</v>
      </c>
      <c r="T44" s="86" t="str">
        <f t="shared" si="8"/>
        <v>NorthBound</v>
      </c>
      <c r="U44" s="109">
        <f>COUNTIFS([1]Variables!$M$2:$M$19,IF(T44="NorthBound","&gt;=","&lt;=")&amp;Y44,[1]Variables!$M$2:$M$19,IF(T44="NorthBound","&lt;=","&gt;=")&amp;Z44)</f>
        <v>0</v>
      </c>
      <c r="V44" s="73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https://search-rtdc-monitor-bjffxe2xuh6vdkpspy63sjmuny.us-east-1.es.amazonaws.com/_plugin/kibana/#/discover/Steve-Slow-Train-Analysis-(2080s-and-2083s)?_g=(refreshInterval:(display:Off,section:0,value:0),time:(from:'2016-06-13 08:39:10-0600',mode:absolute,to:'2016-06-13 09:01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4" s="73" t="str">
        <f t="shared" si="11"/>
        <v>Y</v>
      </c>
      <c r="X44" s="73">
        <f>VALUE(LEFT(A44,3))-VALUE(LEFT(A43,3))</f>
        <v>1</v>
      </c>
      <c r="Y44" s="73">
        <f>RIGHT(D44,LEN(D44)-4)/10000</f>
        <v>4.7699999999999999E-2</v>
      </c>
      <c r="Z44" s="73">
        <f>RIGHT(H44,LEN(H44)-4)/10000</f>
        <v>1.9140999999999999</v>
      </c>
      <c r="AA44" s="73">
        <f t="shared" si="12"/>
        <v>1.8663999999999998</v>
      </c>
      <c r="AB44" s="74" t="e">
        <f>VLOOKUP(A44,Enforcements!$C$21:$J$74,8,0)</f>
        <v>#N/A</v>
      </c>
      <c r="AC44" s="74" t="e">
        <f>VLOOKUP(A44,Enforcements!$C$21:$J$74,3,0)</f>
        <v>#N/A</v>
      </c>
    </row>
    <row r="45" spans="1:29" s="2" customFormat="1" x14ac:dyDescent="0.25">
      <c r="A45" s="60" t="s">
        <v>427</v>
      </c>
      <c r="B45" s="60">
        <v>4032</v>
      </c>
      <c r="C45" s="60" t="s">
        <v>62</v>
      </c>
      <c r="D45" s="60" t="s">
        <v>271</v>
      </c>
      <c r="E45" s="30">
        <v>42534.401365740741</v>
      </c>
      <c r="F45" s="30">
        <v>42534.402384259258</v>
      </c>
      <c r="G45" s="38">
        <v>1</v>
      </c>
      <c r="H45" s="30" t="s">
        <v>74</v>
      </c>
      <c r="I45" s="30">
        <v>42534.434108796297</v>
      </c>
      <c r="J45" s="60">
        <v>0</v>
      </c>
      <c r="K45" s="60" t="str">
        <f t="shared" si="14"/>
        <v>4031/4032</v>
      </c>
      <c r="L45" s="60" t="str">
        <f>VLOOKUP(A45,'Trips&amp;Operators'!$C$1:$E$9999,3,FALSE)</f>
        <v>CANFIELD</v>
      </c>
      <c r="M45" s="12">
        <f t="shared" si="15"/>
        <v>3.1724537038826384E-2</v>
      </c>
      <c r="N45" s="13">
        <f>24*60*SUM($M45:$M45)</f>
        <v>45.683333335909992</v>
      </c>
      <c r="O45" s="13"/>
      <c r="P45" s="13"/>
      <c r="Q45" s="61"/>
      <c r="R45" s="61"/>
      <c r="S45" s="108">
        <f t="shared" si="7"/>
        <v>1</v>
      </c>
      <c r="T45" s="86" t="str">
        <f t="shared" si="8"/>
        <v>Southbound</v>
      </c>
      <c r="U45" s="109">
        <f>COUNTIFS([1]Variables!$M$2:$M$19,IF(T45="NorthBound","&gt;=","&lt;=")&amp;Y45,[1]Variables!$M$2:$M$19,IF(T45="NorthBound","&lt;=","&gt;=")&amp;Z45)</f>
        <v>12</v>
      </c>
      <c r="V45" s="73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https://search-rtdc-monitor-bjffxe2xuh6vdkpspy63sjmuny.us-east-1.es.amazonaws.com/_plugin/kibana/#/discover/Steve-Slow-Train-Analysis-(2080s-and-2083s)?_g=(refreshInterval:(display:Off,section:0,value:0),time:(from:'2016-06-13 09:36:58-0600',mode:absolute,to:'2016-06-13 10:26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5" s="73" t="str">
        <f t="shared" si="11"/>
        <v>N</v>
      </c>
      <c r="X45" s="73">
        <f>VALUE(LEFT(A45,3))-VALUE(LEFT(A44,3))</f>
        <v>1</v>
      </c>
      <c r="Y45" s="73">
        <f>RIGHT(D45,LEN(D45)-4)/10000</f>
        <v>23.297899999999998</v>
      </c>
      <c r="Z45" s="73">
        <f>RIGHT(H45,LEN(H45)-4)/10000</f>
        <v>1.47E-2</v>
      </c>
      <c r="AA45" s="73">
        <f t="shared" si="12"/>
        <v>23.283199999999997</v>
      </c>
      <c r="AB45" s="74" t="e">
        <f>VLOOKUP(A45,Enforcements!$C$21:$J$74,8,0)</f>
        <v>#N/A</v>
      </c>
      <c r="AC45" s="74" t="e">
        <f>VLOOKUP(A45,Enforcements!$C$21:$J$74,3,0)</f>
        <v>#N/A</v>
      </c>
    </row>
    <row r="46" spans="1:29" s="2" customFormat="1" ht="16.5" customHeight="1" x14ac:dyDescent="0.25">
      <c r="A46" s="60" t="s">
        <v>425</v>
      </c>
      <c r="B46" s="60">
        <v>4044</v>
      </c>
      <c r="C46" s="60" t="s">
        <v>62</v>
      </c>
      <c r="D46" s="60" t="s">
        <v>273</v>
      </c>
      <c r="E46" s="30">
        <v>42534.373877314814</v>
      </c>
      <c r="F46" s="30">
        <v>42534.374895833331</v>
      </c>
      <c r="G46" s="38">
        <v>1</v>
      </c>
      <c r="H46" s="30" t="s">
        <v>524</v>
      </c>
      <c r="I46" s="30">
        <v>42534.377303240741</v>
      </c>
      <c r="J46" s="60">
        <v>0</v>
      </c>
      <c r="K46" s="60" t="str">
        <f t="shared" si="14"/>
        <v>4043/4044</v>
      </c>
      <c r="L46" s="60" t="str">
        <f>VLOOKUP(A46,'Trips&amp;Operators'!$C$1:$E$9999,3,FALSE)</f>
        <v>MALAVE</v>
      </c>
      <c r="M46" s="12">
        <f t="shared" si="15"/>
        <v>2.4074074099189602E-3</v>
      </c>
      <c r="N46" s="13"/>
      <c r="O46" s="13"/>
      <c r="P46" s="13">
        <f>24*60*SUM($M46:$M48)</f>
        <v>22.016666679410264</v>
      </c>
      <c r="Q46" s="61"/>
      <c r="R46" s="61" t="s">
        <v>609</v>
      </c>
      <c r="S46" s="108">
        <f t="shared" si="7"/>
        <v>0</v>
      </c>
      <c r="T46" s="86" t="str">
        <f t="shared" si="8"/>
        <v>NorthBound</v>
      </c>
      <c r="U46" s="109">
        <f>COUNTIFS([1]Variables!$M$2:$M$19,IF(T46="NorthBound","&gt;=","&lt;=")&amp;Y46,[1]Variables!$M$2:$M$19,IF(T46="NorthBound","&lt;=","&gt;=")&amp;Z46)</f>
        <v>0</v>
      </c>
      <c r="V46" s="73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https://search-rtdc-monitor-bjffxe2xuh6vdkpspy63sjmuny.us-east-1.es.amazonaws.com/_plugin/kibana/#/discover/Steve-Slow-Train-Analysis-(2080s-and-2083s)?_g=(refreshInterval:(display:Off,section:0,value:0),time:(from:'2016-06-13 08:57:23-0600',mode:absolute,to:'2016-06-13 09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6" s="73" t="str">
        <f t="shared" si="11"/>
        <v>Y</v>
      </c>
      <c r="X46" s="73">
        <f>VALUE(LEFT(A46,3))-VALUE(LEFT(A45,3))</f>
        <v>1</v>
      </c>
      <c r="Y46" s="73">
        <f>RIGHT(D46,LEN(D46)-4)/10000</f>
        <v>4.6699999999999998E-2</v>
      </c>
      <c r="Z46" s="73">
        <f>RIGHT(H46,LEN(H46)-4)/10000</f>
        <v>0.5615</v>
      </c>
      <c r="AA46" s="73">
        <f t="shared" si="12"/>
        <v>0.51480000000000004</v>
      </c>
      <c r="AB46" s="74" t="e">
        <f>VLOOKUP(A46,Enforcements!$C$21:$J$74,8,0)</f>
        <v>#N/A</v>
      </c>
      <c r="AC46" s="74" t="e">
        <f>VLOOKUP(A46,Enforcements!$C$21:$J$74,3,0)</f>
        <v>#N/A</v>
      </c>
    </row>
    <row r="47" spans="1:29" s="2" customFormat="1" ht="16.5" customHeight="1" x14ac:dyDescent="0.25">
      <c r="A47" s="60" t="s">
        <v>425</v>
      </c>
      <c r="B47" s="60">
        <v>4044</v>
      </c>
      <c r="C47" s="60" t="s">
        <v>62</v>
      </c>
      <c r="D47" s="60" t="s">
        <v>522</v>
      </c>
      <c r="E47" s="30">
        <v>42534.381585648145</v>
      </c>
      <c r="F47" s="30">
        <v>42534.382488425923</v>
      </c>
      <c r="G47" s="38">
        <v>1</v>
      </c>
      <c r="H47" s="30" t="s">
        <v>523</v>
      </c>
      <c r="I47" s="30">
        <v>42534.383356481485</v>
      </c>
      <c r="J47" s="60">
        <v>0</v>
      </c>
      <c r="K47" s="60" t="str">
        <f t="shared" si="14"/>
        <v>4043/4044</v>
      </c>
      <c r="L47" s="60" t="str">
        <f>VLOOKUP(A47,'Trips&amp;Operators'!$C$1:$E$9999,3,FALSE)</f>
        <v>MALAVE</v>
      </c>
      <c r="M47" s="12">
        <f t="shared" si="15"/>
        <v>8.6805556202307343E-4</v>
      </c>
      <c r="N47" s="13"/>
      <c r="O47" s="13"/>
      <c r="P47" s="13"/>
      <c r="Q47" s="61"/>
      <c r="R47" s="61"/>
      <c r="S47" s="108">
        <f t="shared" si="7"/>
        <v>0</v>
      </c>
      <c r="T47" s="86" t="str">
        <f t="shared" si="8"/>
        <v>NorthBound</v>
      </c>
      <c r="U47" s="109">
        <f>COUNTIFS([1]Variables!$M$2:$M$19,IF(T47="NorthBound","&gt;=","&lt;=")&amp;Y47,[1]Variables!$M$2:$M$19,IF(T47="NorthBound","&lt;=","&gt;=")&amp;Z47)</f>
        <v>0</v>
      </c>
      <c r="V47" s="73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https://search-rtdc-monitor-bjffxe2xuh6vdkpspy63sjmuny.us-east-1.es.amazonaws.com/_plugin/kibana/#/discover/Steve-Slow-Train-Analysis-(2080s-and-2083s)?_g=(refreshInterval:(display:Off,section:0,value:0),time:(from:'2016-06-13 09:08:29-0600',mode:absolute,to:'2016-06-13 09:13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7" s="73" t="str">
        <f t="shared" si="11"/>
        <v>Y</v>
      </c>
      <c r="X47" s="73">
        <f>VALUE(LEFT(A47,3))-VALUE(LEFT(A46,3))</f>
        <v>0</v>
      </c>
      <c r="Y47" s="73">
        <f>RIGHT(D47,LEN(D47)-4)/10000</f>
        <v>1.9137999999999999</v>
      </c>
      <c r="Z47" s="73">
        <f>RIGHT(H47,LEN(H47)-4)/10000</f>
        <v>1.9766999999999999</v>
      </c>
      <c r="AA47" s="73">
        <f t="shared" si="12"/>
        <v>6.2899999999999956E-2</v>
      </c>
      <c r="AB47" s="74" t="e">
        <f>VLOOKUP(A47,Enforcements!$C$21:$J$74,8,0)</f>
        <v>#N/A</v>
      </c>
      <c r="AC47" s="74" t="e">
        <f>VLOOKUP(A47,Enforcements!$C$21:$J$74,3,0)</f>
        <v>#N/A</v>
      </c>
    </row>
    <row r="48" spans="1:29" s="2" customFormat="1" x14ac:dyDescent="0.25">
      <c r="A48" s="60" t="s">
        <v>425</v>
      </c>
      <c r="B48" s="60">
        <v>4044</v>
      </c>
      <c r="C48" s="60" t="s">
        <v>62</v>
      </c>
      <c r="D48" s="60" t="s">
        <v>521</v>
      </c>
      <c r="E48" s="30">
        <v>42534.394895833335</v>
      </c>
      <c r="F48" s="30">
        <v>42534.39570601852</v>
      </c>
      <c r="G48" s="38">
        <v>1</v>
      </c>
      <c r="H48" s="30" t="s">
        <v>112</v>
      </c>
      <c r="I48" s="30">
        <v>42534.407719907409</v>
      </c>
      <c r="J48" s="60">
        <v>0</v>
      </c>
      <c r="K48" s="60" t="str">
        <f t="shared" si="14"/>
        <v>4043/4044</v>
      </c>
      <c r="L48" s="60" t="str">
        <f>VLOOKUP(A48,'Trips&amp;Operators'!$C$1:$E$9999,3,FALSE)</f>
        <v>MALAVE</v>
      </c>
      <c r="M48" s="12">
        <f t="shared" si="15"/>
        <v>1.2013888888759539E-2</v>
      </c>
      <c r="N48" s="13"/>
      <c r="O48" s="13"/>
      <c r="P48" s="13"/>
      <c r="Q48" s="61"/>
      <c r="R48" s="61"/>
      <c r="S48" s="108">
        <f t="shared" si="7"/>
        <v>8.3333333333333329E-2</v>
      </c>
      <c r="T48" s="86" t="str">
        <f t="shared" si="8"/>
        <v>NorthBound</v>
      </c>
      <c r="U48" s="109">
        <f>COUNTIFS([1]Variables!$M$2:$M$19,IF(T48="NorthBound","&gt;=","&lt;=")&amp;Y48,[1]Variables!$M$2:$M$19,IF(T48="NorthBound","&lt;=","&gt;=")&amp;Z48)</f>
        <v>1</v>
      </c>
      <c r="V48" s="73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https://search-rtdc-monitor-bjffxe2xuh6vdkpspy63sjmuny.us-east-1.es.amazonaws.com/_plugin/kibana/#/discover/Steve-Slow-Train-Analysis-(2080s-and-2083s)?_g=(refreshInterval:(display:Off,section:0,value:0),time:(from:'2016-06-13 09:27:39-0600',mode:absolute,to:'2016-06-13 09:48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8" s="73" t="str">
        <f t="shared" si="11"/>
        <v>Y</v>
      </c>
      <c r="X48" s="73">
        <f>VALUE(LEFT(A48,3))-VALUE(LEFT(A47,3))</f>
        <v>0</v>
      </c>
      <c r="Y48" s="73">
        <f>RIGHT(D48,LEN(D48)-4)/10000</f>
        <v>10.4697</v>
      </c>
      <c r="Z48" s="73">
        <f>RIGHT(H48,LEN(H48)-4)/10000</f>
        <v>23.330300000000001</v>
      </c>
      <c r="AA48" s="73">
        <f t="shared" si="12"/>
        <v>12.860600000000002</v>
      </c>
      <c r="AB48" s="74" t="e">
        <f>VLOOKUP(A48,Enforcements!$C$21:$J$74,8,0)</f>
        <v>#N/A</v>
      </c>
      <c r="AC48" s="74" t="e">
        <f>VLOOKUP(A48,Enforcements!$C$21:$J$74,3,0)</f>
        <v>#N/A</v>
      </c>
    </row>
    <row r="49" spans="1:29" s="2" customFormat="1" x14ac:dyDescent="0.25">
      <c r="A49" s="60" t="s">
        <v>353</v>
      </c>
      <c r="B49" s="60">
        <v>4043</v>
      </c>
      <c r="C49" s="60" t="s">
        <v>62</v>
      </c>
      <c r="D49" s="60" t="s">
        <v>98</v>
      </c>
      <c r="E49" s="30">
        <v>42534.412442129629</v>
      </c>
      <c r="F49" s="30">
        <v>42534.4140162037</v>
      </c>
      <c r="G49" s="38">
        <v>2</v>
      </c>
      <c r="H49" s="30" t="s">
        <v>90</v>
      </c>
      <c r="I49" s="30">
        <v>42534.447685185187</v>
      </c>
      <c r="J49" s="60">
        <v>1</v>
      </c>
      <c r="K49" s="60" t="str">
        <f t="shared" si="14"/>
        <v>4043/4044</v>
      </c>
      <c r="L49" s="60" t="str">
        <f>VLOOKUP(A49,'Trips&amp;Operators'!$C$1:$E$9999,3,FALSE)</f>
        <v>MALAVE</v>
      </c>
      <c r="M49" s="12">
        <f t="shared" si="15"/>
        <v>3.3668981486698613E-2</v>
      </c>
      <c r="N49" s="13">
        <f t="shared" ref="N49:N71" si="17">24*60*SUM($M49:$M49)</f>
        <v>48.483333340846002</v>
      </c>
      <c r="O49" s="13"/>
      <c r="P49" s="13"/>
      <c r="Q49" s="61"/>
      <c r="R49" s="61"/>
      <c r="S49" s="108">
        <f t="shared" si="7"/>
        <v>1</v>
      </c>
      <c r="T49" s="86" t="str">
        <f t="shared" si="8"/>
        <v>Southbound</v>
      </c>
      <c r="U49" s="109">
        <f>COUNTIFS([1]Variables!$M$2:$M$19,IF(T49="NorthBound","&gt;=","&lt;=")&amp;Y49,[1]Variables!$M$2:$M$19,IF(T49="NorthBound","&lt;=","&gt;=")&amp;Z49)</f>
        <v>12</v>
      </c>
      <c r="V49" s="73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https://search-rtdc-monitor-bjffxe2xuh6vdkpspy63sjmuny.us-east-1.es.amazonaws.com/_plugin/kibana/#/discover/Steve-Slow-Train-Analysis-(2080s-and-2083s)?_g=(refreshInterval:(display:Off,section:0,value:0),time:(from:'2016-06-13 09:52:55-0600',mode:absolute,to:'2016-06-13 10:45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9" s="73" t="str">
        <f t="shared" ref="W49:W80" si="18">IF(AA49&lt;23,"Y","N")</f>
        <v>N</v>
      </c>
      <c r="X49" s="73">
        <f>VALUE(LEFT(A49,3))-VALUE(LEFT(A48,3))</f>
        <v>1</v>
      </c>
      <c r="Y49" s="73">
        <f>RIGHT(D49,LEN(D49)-4)/10000</f>
        <v>23.297799999999999</v>
      </c>
      <c r="Z49" s="73">
        <f>RIGHT(H49,LEN(H49)-4)/10000</f>
        <v>1.5599999999999999E-2</v>
      </c>
      <c r="AA49" s="73">
        <f t="shared" ref="AA49:AA80" si="19">ABS(Z49-Y49)</f>
        <v>23.2822</v>
      </c>
      <c r="AB49" s="74">
        <f>VLOOKUP(A49,Enforcements!$C$21:$J$74,8,0)</f>
        <v>1</v>
      </c>
      <c r="AC49" s="74" t="str">
        <f>VLOOKUP(A49,Enforcements!$C$21:$J$74,3,0)</f>
        <v>TRACK WARRANT AUTHORITY</v>
      </c>
    </row>
    <row r="50" spans="1:29" s="2" customFormat="1" x14ac:dyDescent="0.25">
      <c r="A50" s="60" t="s">
        <v>409</v>
      </c>
      <c r="B50" s="60">
        <v>4025</v>
      </c>
      <c r="C50" s="60" t="s">
        <v>62</v>
      </c>
      <c r="D50" s="60" t="s">
        <v>64</v>
      </c>
      <c r="E50" s="30">
        <v>42534.384872685187</v>
      </c>
      <c r="F50" s="30">
        <v>42534.385879629626</v>
      </c>
      <c r="G50" s="38">
        <v>1</v>
      </c>
      <c r="H50" s="30" t="s">
        <v>508</v>
      </c>
      <c r="I50" s="30">
        <v>42534.41847222222</v>
      </c>
      <c r="J50" s="60">
        <v>1</v>
      </c>
      <c r="K50" s="60" t="str">
        <f t="shared" si="14"/>
        <v>4025/4026</v>
      </c>
      <c r="L50" s="60" t="str">
        <f>VLOOKUP(A50,'Trips&amp;Operators'!$C$1:$E$9999,3,FALSE)</f>
        <v>STURGEON</v>
      </c>
      <c r="M50" s="12">
        <f t="shared" si="15"/>
        <v>3.2592592593573499E-2</v>
      </c>
      <c r="N50" s="13">
        <f t="shared" si="17"/>
        <v>46.933333334745839</v>
      </c>
      <c r="O50" s="13"/>
      <c r="P50" s="13"/>
      <c r="Q50" s="61"/>
      <c r="R50" s="61"/>
      <c r="S50" s="108">
        <f t="shared" si="7"/>
        <v>1</v>
      </c>
      <c r="T50" s="86" t="str">
        <f t="shared" si="8"/>
        <v>NorthBound</v>
      </c>
      <c r="U50" s="109">
        <f>COUNTIFS([1]Variables!$M$2:$M$19,IF(T50="NorthBound","&gt;=","&lt;=")&amp;Y50,[1]Variables!$M$2:$M$19,IF(T50="NorthBound","&lt;=","&gt;=")&amp;Z50)</f>
        <v>12</v>
      </c>
      <c r="V50" s="73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https://search-rtdc-monitor-bjffxe2xuh6vdkpspy63sjmuny.us-east-1.es.amazonaws.com/_plugin/kibana/#/discover/Steve-Slow-Train-Analysis-(2080s-and-2083s)?_g=(refreshInterval:(display:Off,section:0,value:0),time:(from:'2016-06-13 09:13:13-0600',mode:absolute,to:'2016-06-13 10:03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0" s="73" t="str">
        <f t="shared" si="18"/>
        <v>N</v>
      </c>
      <c r="X50" s="73">
        <f>VALUE(LEFT(A50,3))-VALUE(LEFT(A49,3))</f>
        <v>1</v>
      </c>
      <c r="Y50" s="73">
        <f>RIGHT(D50,LEN(D50)-4)/10000</f>
        <v>4.5499999999999999E-2</v>
      </c>
      <c r="Z50" s="73">
        <f>RIGHT(H50,LEN(H50)-4)/10000</f>
        <v>23.328700000000001</v>
      </c>
      <c r="AA50" s="73">
        <f t="shared" si="19"/>
        <v>23.283200000000001</v>
      </c>
      <c r="AB50" s="74">
        <f>VLOOKUP(A50,Enforcements!$C$21:$J$74,8,0)</f>
        <v>233491</v>
      </c>
      <c r="AC50" s="74" t="str">
        <f>VLOOKUP(A50,Enforcements!$C$21:$J$74,3,0)</f>
        <v>TRACK WARRANT AUTHORITY</v>
      </c>
    </row>
    <row r="51" spans="1:29" s="2" customFormat="1" x14ac:dyDescent="0.25">
      <c r="A51" s="60" t="s">
        <v>381</v>
      </c>
      <c r="B51" s="60">
        <v>4026</v>
      </c>
      <c r="C51" s="60" t="s">
        <v>62</v>
      </c>
      <c r="D51" s="60" t="s">
        <v>110</v>
      </c>
      <c r="E51" s="30">
        <v>42534.420231481483</v>
      </c>
      <c r="F51" s="30">
        <v>42534.4215625</v>
      </c>
      <c r="G51" s="38">
        <v>1</v>
      </c>
      <c r="H51" s="30" t="s">
        <v>63</v>
      </c>
      <c r="I51" s="30">
        <v>42534.458634259259</v>
      </c>
      <c r="J51" s="60">
        <v>1</v>
      </c>
      <c r="K51" s="60" t="str">
        <f t="shared" si="14"/>
        <v>4025/4026</v>
      </c>
      <c r="L51" s="60" t="str">
        <f>VLOOKUP(A51,'Trips&amp;Operators'!$C$1:$E$9999,3,FALSE)</f>
        <v>STURGEON</v>
      </c>
      <c r="M51" s="12">
        <f t="shared" si="15"/>
        <v>3.7071759259561077E-2</v>
      </c>
      <c r="N51" s="13">
        <f t="shared" si="17"/>
        <v>53.383333333767951</v>
      </c>
      <c r="O51" s="13"/>
      <c r="P51" s="13"/>
      <c r="Q51" s="61"/>
      <c r="R51" s="61"/>
      <c r="S51" s="108">
        <f t="shared" si="7"/>
        <v>1</v>
      </c>
      <c r="T51" s="86" t="str">
        <f t="shared" si="8"/>
        <v>Southbound</v>
      </c>
      <c r="U51" s="109">
        <f>COUNTIFS([1]Variables!$M$2:$M$19,IF(T51="NorthBound","&gt;=","&lt;=")&amp;Y51,[1]Variables!$M$2:$M$19,IF(T51="NorthBound","&lt;=","&gt;=")&amp;Z51)</f>
        <v>12</v>
      </c>
      <c r="V51" s="73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https://search-rtdc-monitor-bjffxe2xuh6vdkpspy63sjmuny.us-east-1.es.amazonaws.com/_plugin/kibana/#/discover/Steve-Slow-Train-Analysis-(2080s-and-2083s)?_g=(refreshInterval:(display:Off,section:0,value:0),time:(from:'2016-06-13 10:04:08-0600',mode:absolute,to:'2016-06-13 11:01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1" s="73" t="str">
        <f t="shared" si="18"/>
        <v>N</v>
      </c>
      <c r="X51" s="73">
        <f>VALUE(LEFT(A51,3))-VALUE(LEFT(A50,3))</f>
        <v>1</v>
      </c>
      <c r="Y51" s="73">
        <f>RIGHT(D51,LEN(D51)-4)/10000</f>
        <v>23.298300000000001</v>
      </c>
      <c r="Z51" s="73">
        <f>RIGHT(H51,LEN(H51)-4)/10000</f>
        <v>1.4500000000000001E-2</v>
      </c>
      <c r="AA51" s="73">
        <f t="shared" si="19"/>
        <v>23.283799999999999</v>
      </c>
      <c r="AB51" s="74">
        <f>VLOOKUP(A51,Enforcements!$C$21:$J$74,8,0)</f>
        <v>95986</v>
      </c>
      <c r="AC51" s="74" t="str">
        <f>VLOOKUP(A51,Enforcements!$C$21:$J$74,3,0)</f>
        <v>SIGNAL</v>
      </c>
    </row>
    <row r="52" spans="1:29" s="2" customFormat="1" x14ac:dyDescent="0.25">
      <c r="A52" s="60" t="s">
        <v>407</v>
      </c>
      <c r="B52" s="60">
        <v>4009</v>
      </c>
      <c r="C52" s="60" t="s">
        <v>62</v>
      </c>
      <c r="D52" s="60" t="s">
        <v>525</v>
      </c>
      <c r="E52" s="30">
        <v>42534.39329861111</v>
      </c>
      <c r="F52" s="30">
        <v>42534.394131944442</v>
      </c>
      <c r="G52" s="38">
        <v>1</v>
      </c>
      <c r="H52" s="30" t="s">
        <v>270</v>
      </c>
      <c r="I52" s="30">
        <v>42534.421388888892</v>
      </c>
      <c r="J52" s="60">
        <v>0</v>
      </c>
      <c r="K52" s="60" t="str">
        <f t="shared" si="14"/>
        <v>4009/4010</v>
      </c>
      <c r="L52" s="60" t="str">
        <f>VLOOKUP(A52,'Trips&amp;Operators'!$C$1:$E$9999,3,FALSE)</f>
        <v>COOLAHAN</v>
      </c>
      <c r="M52" s="12">
        <f t="shared" si="15"/>
        <v>2.7256944449618459E-2</v>
      </c>
      <c r="N52" s="13">
        <f t="shared" si="17"/>
        <v>39.250000007450581</v>
      </c>
      <c r="O52" s="13"/>
      <c r="P52" s="13"/>
      <c r="Q52" s="61"/>
      <c r="R52" s="61"/>
      <c r="S52" s="108">
        <f t="shared" si="7"/>
        <v>1</v>
      </c>
      <c r="T52" s="86" t="str">
        <f t="shared" si="8"/>
        <v>NorthBound</v>
      </c>
      <c r="U52" s="109">
        <f>COUNTIFS([1]Variables!$M$2:$M$19,IF(T52="NorthBound","&gt;=","&lt;=")&amp;Y52,[1]Variables!$M$2:$M$19,IF(T52="NorthBound","&lt;=","&gt;=")&amp;Z52)</f>
        <v>12</v>
      </c>
      <c r="V52" s="73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https://search-rtdc-monitor-bjffxe2xuh6vdkpspy63sjmuny.us-east-1.es.amazonaws.com/_plugin/kibana/#/discover/Steve-Slow-Train-Analysis-(2080s-and-2083s)?_g=(refreshInterval:(display:Off,section:0,value:0),time:(from:'2016-06-13 09:25:21-0600',mode:absolute,to:'2016-06-13 10:07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2" s="73" t="str">
        <f t="shared" si="18"/>
        <v>N</v>
      </c>
      <c r="X52" s="73">
        <f>VALUE(LEFT(A52,3))-VALUE(LEFT(A51,3))</f>
        <v>1</v>
      </c>
      <c r="Y52" s="73">
        <f>RIGHT(D52,LEN(D52)-4)/10000</f>
        <v>4.3499999999999997E-2</v>
      </c>
      <c r="Z52" s="73">
        <f>RIGHT(H52,LEN(H52)-4)/10000</f>
        <v>23.3291</v>
      </c>
      <c r="AA52" s="73">
        <f t="shared" si="19"/>
        <v>23.285599999999999</v>
      </c>
      <c r="AB52" s="74" t="e">
        <f>VLOOKUP(A52,Enforcements!$C$21:$J$74,8,0)</f>
        <v>#N/A</v>
      </c>
      <c r="AC52" s="74" t="e">
        <f>VLOOKUP(A52,Enforcements!$C$21:$J$74,3,0)</f>
        <v>#N/A</v>
      </c>
    </row>
    <row r="53" spans="1:29" s="94" customFormat="1" x14ac:dyDescent="0.25">
      <c r="A53" s="60" t="s">
        <v>406</v>
      </c>
      <c r="B53" s="60">
        <v>4010</v>
      </c>
      <c r="C53" s="60" t="s">
        <v>62</v>
      </c>
      <c r="D53" s="60" t="s">
        <v>274</v>
      </c>
      <c r="E53" s="30">
        <v>42534.428715277776</v>
      </c>
      <c r="F53" s="30">
        <v>42534.430219907408</v>
      </c>
      <c r="G53" s="38">
        <v>2</v>
      </c>
      <c r="H53" s="30" t="s">
        <v>90</v>
      </c>
      <c r="I53" s="30">
        <v>42534.465648148151</v>
      </c>
      <c r="J53" s="60">
        <v>0</v>
      </c>
      <c r="K53" s="60" t="str">
        <f t="shared" si="14"/>
        <v>4009/4010</v>
      </c>
      <c r="L53" s="60" t="str">
        <f>VLOOKUP(A53,'Trips&amp;Operators'!$C$1:$E$9999,3,FALSE)</f>
        <v>COOLAHAN</v>
      </c>
      <c r="M53" s="12">
        <f t="shared" si="15"/>
        <v>3.5428240742476191E-2</v>
      </c>
      <c r="N53" s="13">
        <f t="shared" si="17"/>
        <v>51.016666669165716</v>
      </c>
      <c r="O53" s="13"/>
      <c r="P53" s="13"/>
      <c r="Q53" s="61"/>
      <c r="R53" s="61"/>
      <c r="S53" s="108">
        <f t="shared" si="7"/>
        <v>1</v>
      </c>
      <c r="T53" s="86" t="str">
        <f t="shared" si="8"/>
        <v>Southbound</v>
      </c>
      <c r="U53" s="109">
        <f>COUNTIFS([1]Variables!$M$2:$M$19,IF(T53="NorthBound","&gt;=","&lt;=")&amp;Y53,[1]Variables!$M$2:$M$19,IF(T53="NorthBound","&lt;=","&gt;=")&amp;Z53)</f>
        <v>12</v>
      </c>
      <c r="V53" s="73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https://search-rtdc-monitor-bjffxe2xuh6vdkpspy63sjmuny.us-east-1.es.amazonaws.com/_plugin/kibana/#/discover/Steve-Slow-Train-Analysis-(2080s-and-2083s)?_g=(refreshInterval:(display:Off,section:0,value:0),time:(from:'2016-06-13 10:16:21-0600',mode:absolute,to:'2016-06-13 11:11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3" s="73" t="str">
        <f t="shared" si="18"/>
        <v>N</v>
      </c>
      <c r="X53" s="73">
        <f>VALUE(LEFT(A53,3))-VALUE(LEFT(A52,3))</f>
        <v>1</v>
      </c>
      <c r="Y53" s="73">
        <f>RIGHT(D53,LEN(D53)-4)/10000</f>
        <v>23.296900000000001</v>
      </c>
      <c r="Z53" s="73">
        <f>RIGHT(H53,LEN(H53)-4)/10000</f>
        <v>1.5599999999999999E-2</v>
      </c>
      <c r="AA53" s="73">
        <f t="shared" si="19"/>
        <v>23.281300000000002</v>
      </c>
      <c r="AB53" s="74" t="e">
        <f>VLOOKUP(A53,Enforcements!$C$21:$J$74,8,0)</f>
        <v>#N/A</v>
      </c>
      <c r="AC53" s="74" t="e">
        <f>VLOOKUP(A53,Enforcements!$C$21:$J$74,3,0)</f>
        <v>#N/A</v>
      </c>
    </row>
    <row r="54" spans="1:29" s="2" customFormat="1" x14ac:dyDescent="0.25">
      <c r="A54" s="60" t="s">
        <v>378</v>
      </c>
      <c r="B54" s="60">
        <v>4020</v>
      </c>
      <c r="C54" s="60" t="s">
        <v>62</v>
      </c>
      <c r="D54" s="60" t="s">
        <v>525</v>
      </c>
      <c r="E54" s="30">
        <v>42534.404340277775</v>
      </c>
      <c r="F54" s="30">
        <v>42534.40525462963</v>
      </c>
      <c r="G54" s="38">
        <v>1</v>
      </c>
      <c r="H54" s="30" t="s">
        <v>526</v>
      </c>
      <c r="I54" s="30">
        <v>42534.43677083333</v>
      </c>
      <c r="J54" s="60">
        <v>1</v>
      </c>
      <c r="K54" s="60" t="str">
        <f t="shared" si="14"/>
        <v>4019/4020</v>
      </c>
      <c r="L54" s="60" t="str">
        <f>VLOOKUP(A54,'Trips&amp;Operators'!$C$1:$E$9999,3,FALSE)</f>
        <v>STARKS</v>
      </c>
      <c r="M54" s="12">
        <f t="shared" si="15"/>
        <v>3.1516203700448386E-2</v>
      </c>
      <c r="N54" s="13">
        <f t="shared" si="17"/>
        <v>45.383333328645676</v>
      </c>
      <c r="O54" s="13"/>
      <c r="P54" s="13"/>
      <c r="Q54" s="61"/>
      <c r="R54" s="61"/>
      <c r="S54" s="108">
        <f t="shared" si="7"/>
        <v>1</v>
      </c>
      <c r="T54" s="86" t="str">
        <f t="shared" si="8"/>
        <v>NorthBound</v>
      </c>
      <c r="U54" s="109">
        <f>COUNTIFS([1]Variables!$M$2:$M$19,IF(T54="NorthBound","&gt;=","&lt;=")&amp;Y54,[1]Variables!$M$2:$M$19,IF(T54="NorthBound","&lt;=","&gt;=")&amp;Z54)</f>
        <v>12</v>
      </c>
      <c r="V54" s="73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https://search-rtdc-monitor-bjffxe2xuh6vdkpspy63sjmuny.us-east-1.es.amazonaws.com/_plugin/kibana/#/discover/Steve-Slow-Train-Analysis-(2080s-and-2083s)?_g=(refreshInterval:(display:Off,section:0,value:0),time:(from:'2016-06-13 09:41:15-0600',mode:absolute,to:'2016-06-13 10:29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4" s="73" t="str">
        <f t="shared" si="18"/>
        <v>N</v>
      </c>
      <c r="X54" s="73">
        <f>VALUE(LEFT(A54,3))-VALUE(LEFT(A53,3))</f>
        <v>1</v>
      </c>
      <c r="Y54" s="73">
        <f>RIGHT(D54,LEN(D54)-4)/10000</f>
        <v>4.3499999999999997E-2</v>
      </c>
      <c r="Z54" s="73">
        <f>RIGHT(H54,LEN(H54)-4)/10000</f>
        <v>23.338699999999999</v>
      </c>
      <c r="AA54" s="73">
        <f t="shared" si="19"/>
        <v>23.295199999999998</v>
      </c>
      <c r="AB54" s="74">
        <f>VLOOKUP(A54,Enforcements!$C$21:$J$74,8,0)</f>
        <v>233491</v>
      </c>
      <c r="AC54" s="74" t="str">
        <f>VLOOKUP(A54,Enforcements!$C$21:$J$74,3,0)</f>
        <v>TRACK WARRANT AUTHORITY</v>
      </c>
    </row>
    <row r="55" spans="1:29" s="2" customFormat="1" ht="14.25" customHeight="1" x14ac:dyDescent="0.25">
      <c r="A55" s="60" t="s">
        <v>355</v>
      </c>
      <c r="B55" s="60">
        <v>4019</v>
      </c>
      <c r="C55" s="60" t="s">
        <v>62</v>
      </c>
      <c r="D55" s="60" t="s">
        <v>527</v>
      </c>
      <c r="E55" s="30">
        <v>42534.443240740744</v>
      </c>
      <c r="F55" s="30">
        <v>42534.444155092591</v>
      </c>
      <c r="G55" s="38">
        <v>1</v>
      </c>
      <c r="H55" s="30" t="s">
        <v>91</v>
      </c>
      <c r="I55" s="30">
        <v>42534.475497685184</v>
      </c>
      <c r="J55" s="60">
        <v>1</v>
      </c>
      <c r="K55" s="60" t="str">
        <f t="shared" si="14"/>
        <v>4019/4020</v>
      </c>
      <c r="L55" s="60" t="str">
        <f>VLOOKUP(A55,'Trips&amp;Operators'!$C$1:$E$9999,3,FALSE)</f>
        <v>STARKS</v>
      </c>
      <c r="M55" s="12">
        <f t="shared" si="15"/>
        <v>3.1342592592409346E-2</v>
      </c>
      <c r="N55" s="13">
        <f t="shared" si="17"/>
        <v>45.133333333069459</v>
      </c>
      <c r="O55" s="13"/>
      <c r="P55" s="13"/>
      <c r="Q55" s="61"/>
      <c r="R55" s="61"/>
      <c r="S55" s="108">
        <f t="shared" si="7"/>
        <v>1</v>
      </c>
      <c r="T55" s="86" t="str">
        <f t="shared" si="8"/>
        <v>Southbound</v>
      </c>
      <c r="U55" s="109">
        <f>COUNTIFS([1]Variables!$M$2:$M$19,IF(T55="NorthBound","&gt;=","&lt;=")&amp;Y55,[1]Variables!$M$2:$M$19,IF(T55="NorthBound","&lt;=","&gt;=")&amp;Z55)</f>
        <v>12</v>
      </c>
      <c r="V55" s="73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https://search-rtdc-monitor-bjffxe2xuh6vdkpspy63sjmuny.us-east-1.es.amazonaws.com/_plugin/kibana/#/discover/Steve-Slow-Train-Analysis-(2080s-and-2083s)?_g=(refreshInterval:(display:Off,section:0,value:0),time:(from:'2016-06-13 10:37:16-0600',mode:absolute,to:'2016-06-13 11:25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5" s="73" t="str">
        <f t="shared" si="18"/>
        <v>N</v>
      </c>
      <c r="X55" s="73">
        <f>VALUE(LEFT(A55,3))-VALUE(LEFT(A54,3))</f>
        <v>1</v>
      </c>
      <c r="Y55" s="73">
        <f>RIGHT(D55,LEN(D55)-4)/10000</f>
        <v>23.306799999999999</v>
      </c>
      <c r="Z55" s="73">
        <f>RIGHT(H55,LEN(H55)-4)/10000</f>
        <v>1.49E-2</v>
      </c>
      <c r="AA55" s="73">
        <f t="shared" si="19"/>
        <v>23.291899999999998</v>
      </c>
      <c r="AB55" s="74">
        <f>VLOOKUP(A55,Enforcements!$C$21:$J$74,8,0)</f>
        <v>1</v>
      </c>
      <c r="AC55" s="74" t="str">
        <f>VLOOKUP(A55,Enforcements!$C$21:$J$74,3,0)</f>
        <v>TRACK WARRANT AUTHORITY</v>
      </c>
    </row>
    <row r="56" spans="1:29" s="2" customFormat="1" x14ac:dyDescent="0.25">
      <c r="A56" s="60" t="s">
        <v>432</v>
      </c>
      <c r="B56" s="60">
        <v>4011</v>
      </c>
      <c r="C56" s="60" t="s">
        <v>62</v>
      </c>
      <c r="D56" s="60" t="s">
        <v>96</v>
      </c>
      <c r="E56" s="30">
        <v>42534.415729166663</v>
      </c>
      <c r="F56" s="30">
        <v>42534.417731481481</v>
      </c>
      <c r="G56" s="38">
        <v>2</v>
      </c>
      <c r="H56" s="30" t="s">
        <v>528</v>
      </c>
      <c r="I56" s="30">
        <v>42534.445937500001</v>
      </c>
      <c r="J56" s="60">
        <v>0</v>
      </c>
      <c r="K56" s="60" t="str">
        <f t="shared" si="14"/>
        <v>4011/4012</v>
      </c>
      <c r="L56" s="60" t="str">
        <f>VLOOKUP(A56,'Trips&amp;Operators'!$C$1:$E$9999,3,FALSE)</f>
        <v>SPECTOR</v>
      </c>
      <c r="M56" s="12">
        <f t="shared" si="15"/>
        <v>2.8206018519995268E-2</v>
      </c>
      <c r="N56" s="13">
        <f t="shared" si="17"/>
        <v>40.616666668793187</v>
      </c>
      <c r="O56" s="13"/>
      <c r="P56" s="13"/>
      <c r="Q56" s="61"/>
      <c r="R56" s="61"/>
      <c r="S56" s="108">
        <f t="shared" si="7"/>
        <v>1</v>
      </c>
      <c r="T56" s="86" t="str">
        <f t="shared" si="8"/>
        <v>NorthBound</v>
      </c>
      <c r="U56" s="109">
        <f>COUNTIFS([1]Variables!$M$2:$M$19,IF(T56="NorthBound","&gt;=","&lt;=")&amp;Y56,[1]Variables!$M$2:$M$19,IF(T56="NorthBound","&lt;=","&gt;=")&amp;Z56)</f>
        <v>12</v>
      </c>
      <c r="V56" s="73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https://search-rtdc-monitor-bjffxe2xuh6vdkpspy63sjmuny.us-east-1.es.amazonaws.com/_plugin/kibana/#/discover/Steve-Slow-Train-Analysis-(2080s-and-2083s)?_g=(refreshInterval:(display:Off,section:0,value:0),time:(from:'2016-06-13 09:57:39-0600',mode:absolute,to:'2016-06-13 10:43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6" s="73" t="str">
        <f t="shared" si="18"/>
        <v>N</v>
      </c>
      <c r="X56" s="73">
        <f>VALUE(LEFT(A56,3))-VALUE(LEFT(A55,3))</f>
        <v>1</v>
      </c>
      <c r="Y56" s="73">
        <f>RIGHT(D56,LEN(D56)-4)/10000</f>
        <v>4.53E-2</v>
      </c>
      <c r="Z56" s="73">
        <f>RIGHT(H56,LEN(H56)-4)/10000</f>
        <v>23.3324</v>
      </c>
      <c r="AA56" s="73">
        <f t="shared" si="19"/>
        <v>23.287099999999999</v>
      </c>
      <c r="AB56" s="74" t="e">
        <f>VLOOKUP(A56,Enforcements!$C$21:$J$74,8,0)</f>
        <v>#N/A</v>
      </c>
      <c r="AC56" s="74" t="e">
        <f>VLOOKUP(A56,Enforcements!$C$21:$J$74,3,0)</f>
        <v>#N/A</v>
      </c>
    </row>
    <row r="57" spans="1:29" s="2" customFormat="1" x14ac:dyDescent="0.25">
      <c r="A57" s="60" t="s">
        <v>400</v>
      </c>
      <c r="B57" s="60">
        <v>4012</v>
      </c>
      <c r="C57" s="60" t="s">
        <v>62</v>
      </c>
      <c r="D57" s="60" t="s">
        <v>529</v>
      </c>
      <c r="E57" s="30">
        <v>42534.451550925929</v>
      </c>
      <c r="F57" s="30">
        <v>42534.452418981484</v>
      </c>
      <c r="G57" s="38">
        <v>1</v>
      </c>
      <c r="H57" s="30" t="s">
        <v>89</v>
      </c>
      <c r="I57" s="30">
        <v>42534.48333333333</v>
      </c>
      <c r="J57" s="60">
        <v>0</v>
      </c>
      <c r="K57" s="60" t="str">
        <f t="shared" si="14"/>
        <v>4011/4012</v>
      </c>
      <c r="L57" s="60" t="str">
        <f>VLOOKUP(A57,'Trips&amp;Operators'!$C$1:$E$9999,3,FALSE)</f>
        <v>SPECTOR</v>
      </c>
      <c r="M57" s="12">
        <f t="shared" si="15"/>
        <v>3.0914351846149657E-2</v>
      </c>
      <c r="N57" s="13">
        <f t="shared" si="17"/>
        <v>44.516666658455506</v>
      </c>
      <c r="O57" s="13"/>
      <c r="P57" s="13"/>
      <c r="Q57" s="61"/>
      <c r="R57" s="61"/>
      <c r="S57" s="108">
        <f t="shared" si="7"/>
        <v>1</v>
      </c>
      <c r="T57" s="86" t="str">
        <f t="shared" si="8"/>
        <v>Southbound</v>
      </c>
      <c r="U57" s="109">
        <f>COUNTIFS([1]Variables!$M$2:$M$19,IF(T57="NorthBound","&gt;=","&lt;=")&amp;Y57,[1]Variables!$M$2:$M$19,IF(T57="NorthBound","&lt;=","&gt;=")&amp;Z57)</f>
        <v>12</v>
      </c>
      <c r="V57" s="73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https://search-rtdc-monitor-bjffxe2xuh6vdkpspy63sjmuny.us-east-1.es.amazonaws.com/_plugin/kibana/#/discover/Steve-Slow-Train-Analysis-(2080s-and-2083s)?_g=(refreshInterval:(display:Off,section:0,value:0),time:(from:'2016-06-13 10:49:14-0600',mode:absolute,to:'2016-06-13 11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7" s="73" t="str">
        <f t="shared" si="18"/>
        <v>N</v>
      </c>
      <c r="X57" s="73">
        <f>VALUE(LEFT(A57,3))-VALUE(LEFT(A56,3))</f>
        <v>1</v>
      </c>
      <c r="Y57" s="73">
        <f>RIGHT(D57,LEN(D57)-4)/10000</f>
        <v>23.3003</v>
      </c>
      <c r="Z57" s="73">
        <f>RIGHT(H57,LEN(H57)-4)/10000</f>
        <v>1.41E-2</v>
      </c>
      <c r="AA57" s="73">
        <f t="shared" si="19"/>
        <v>23.286200000000001</v>
      </c>
      <c r="AB57" s="74" t="e">
        <f>VLOOKUP(A57,Enforcements!$C$21:$J$74,8,0)</f>
        <v>#N/A</v>
      </c>
      <c r="AC57" s="74" t="e">
        <f>VLOOKUP(A57,Enforcements!$C$21:$J$74,3,0)</f>
        <v>#N/A</v>
      </c>
    </row>
    <row r="58" spans="1:29" s="2" customFormat="1" x14ac:dyDescent="0.25">
      <c r="A58" s="60" t="s">
        <v>402</v>
      </c>
      <c r="B58" s="60">
        <v>4024</v>
      </c>
      <c r="C58" s="60" t="s">
        <v>62</v>
      </c>
      <c r="D58" s="60" t="s">
        <v>65</v>
      </c>
      <c r="E58" s="30">
        <v>42534.426249999997</v>
      </c>
      <c r="F58" s="30">
        <v>42534.427210648151</v>
      </c>
      <c r="G58" s="38">
        <v>1</v>
      </c>
      <c r="H58" s="30" t="s">
        <v>530</v>
      </c>
      <c r="I58" s="30">
        <v>42534.458761574075</v>
      </c>
      <c r="J58" s="60">
        <v>0</v>
      </c>
      <c r="K58" s="60" t="str">
        <f t="shared" si="14"/>
        <v>4023/4024</v>
      </c>
      <c r="L58" s="60" t="str">
        <f>VLOOKUP(A58,'Trips&amp;Operators'!$C$1:$E$9999,3,FALSE)</f>
        <v>ACKERMAN</v>
      </c>
      <c r="M58" s="12">
        <f t="shared" si="15"/>
        <v>3.1550925923511386E-2</v>
      </c>
      <c r="N58" s="13">
        <f t="shared" si="17"/>
        <v>45.433333329856396</v>
      </c>
      <c r="O58" s="13"/>
      <c r="P58" s="13"/>
      <c r="Q58" s="61"/>
      <c r="R58" s="61"/>
      <c r="S58" s="108">
        <f t="shared" si="7"/>
        <v>1</v>
      </c>
      <c r="T58" s="86" t="str">
        <f t="shared" si="8"/>
        <v>NorthBound</v>
      </c>
      <c r="U58" s="109">
        <f>COUNTIFS([1]Variables!$M$2:$M$19,IF(T58="NorthBound","&gt;=","&lt;=")&amp;Y58,[1]Variables!$M$2:$M$19,IF(T58="NorthBound","&lt;=","&gt;=")&amp;Z58)</f>
        <v>12</v>
      </c>
      <c r="V58" s="73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https://search-rtdc-monitor-bjffxe2xuh6vdkpspy63sjmuny.us-east-1.es.amazonaws.com/_plugin/kibana/#/discover/Steve-Slow-Train-Analysis-(2080s-and-2083s)?_g=(refreshInterval:(display:Off,section:0,value:0),time:(from:'2016-06-13 10:12:48-0600',mode:absolute,to:'2016-06-13 11:01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58" s="73" t="str">
        <f t="shared" si="18"/>
        <v>N</v>
      </c>
      <c r="X58" s="73">
        <f>VALUE(LEFT(A58,3))-VALUE(LEFT(A57,3))</f>
        <v>1</v>
      </c>
      <c r="Y58" s="73">
        <f>RIGHT(D58,LEN(D58)-4)/10000</f>
        <v>4.5100000000000001E-2</v>
      </c>
      <c r="Z58" s="73">
        <f>RIGHT(H58,LEN(H58)-4)/10000</f>
        <v>23.330200000000001</v>
      </c>
      <c r="AA58" s="73">
        <f t="shared" si="19"/>
        <v>23.2851</v>
      </c>
      <c r="AB58" s="74" t="e">
        <f>VLOOKUP(A58,Enforcements!$C$21:$J$74,8,0)</f>
        <v>#N/A</v>
      </c>
      <c r="AC58" s="74" t="e">
        <f>VLOOKUP(A58,Enforcements!$C$21:$J$74,3,0)</f>
        <v>#N/A</v>
      </c>
    </row>
    <row r="59" spans="1:29" s="2" customFormat="1" x14ac:dyDescent="0.25">
      <c r="A59" s="60" t="s">
        <v>385</v>
      </c>
      <c r="B59" s="60">
        <v>4023</v>
      </c>
      <c r="C59" s="60" t="s">
        <v>62</v>
      </c>
      <c r="D59" s="60" t="s">
        <v>87</v>
      </c>
      <c r="E59" s="30">
        <v>42534.462812500002</v>
      </c>
      <c r="F59" s="30">
        <v>42534.464444444442</v>
      </c>
      <c r="G59" s="38">
        <v>2</v>
      </c>
      <c r="H59" s="30" t="s">
        <v>89</v>
      </c>
      <c r="I59" s="30">
        <v>42534.492673611108</v>
      </c>
      <c r="J59" s="60">
        <v>0</v>
      </c>
      <c r="K59" s="60" t="str">
        <f t="shared" si="14"/>
        <v>4023/4024</v>
      </c>
      <c r="L59" s="60" t="str">
        <f>VLOOKUP(A59,'Trips&amp;Operators'!$C$1:$E$9999,3,FALSE)</f>
        <v>ACKERMAN</v>
      </c>
      <c r="M59" s="12">
        <f t="shared" si="15"/>
        <v>2.8229166666278616E-2</v>
      </c>
      <c r="N59" s="13">
        <f t="shared" si="17"/>
        <v>40.649999999441206</v>
      </c>
      <c r="O59" s="13"/>
      <c r="P59" s="13"/>
      <c r="Q59" s="61"/>
      <c r="R59" s="61"/>
      <c r="S59" s="108">
        <f t="shared" si="7"/>
        <v>1</v>
      </c>
      <c r="T59" s="86" t="str">
        <f t="shared" si="8"/>
        <v>Southbound</v>
      </c>
      <c r="U59" s="109">
        <f>COUNTIFS([1]Variables!$M$2:$M$19,IF(T59="NorthBound","&gt;=","&lt;=")&amp;Y59,[1]Variables!$M$2:$M$19,IF(T59="NorthBound","&lt;=","&gt;=")&amp;Z59)</f>
        <v>12</v>
      </c>
      <c r="V59" s="73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https://search-rtdc-monitor-bjffxe2xuh6vdkpspy63sjmuny.us-east-1.es.amazonaws.com/_plugin/kibana/#/discover/Steve-Slow-Train-Analysis-(2080s-and-2083s)?_g=(refreshInterval:(display:Off,section:0,value:0),time:(from:'2016-06-13 11:05:27-0600',mode:absolute,to:'2016-06-13 11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59" s="73" t="str">
        <f t="shared" si="18"/>
        <v>N</v>
      </c>
      <c r="X59" s="73">
        <f>VALUE(LEFT(A59,3))-VALUE(LEFT(A58,3))</f>
        <v>1</v>
      </c>
      <c r="Y59" s="73">
        <f>RIGHT(D59,LEN(D59)-4)/10000</f>
        <v>23.299099999999999</v>
      </c>
      <c r="Z59" s="73">
        <f>RIGHT(H59,LEN(H59)-4)/10000</f>
        <v>1.41E-2</v>
      </c>
      <c r="AA59" s="73">
        <f t="shared" si="19"/>
        <v>23.285</v>
      </c>
      <c r="AB59" s="74" t="e">
        <f>VLOOKUP(A59,Enforcements!$C$21:$J$74,8,0)</f>
        <v>#N/A</v>
      </c>
      <c r="AC59" s="74" t="e">
        <f>VLOOKUP(A59,Enforcements!$C$21:$J$74,3,0)</f>
        <v>#N/A</v>
      </c>
    </row>
    <row r="60" spans="1:29" s="2" customFormat="1" x14ac:dyDescent="0.25">
      <c r="A60" s="60" t="s">
        <v>383</v>
      </c>
      <c r="B60" s="60">
        <v>4031</v>
      </c>
      <c r="C60" s="60" t="s">
        <v>62</v>
      </c>
      <c r="D60" s="60" t="s">
        <v>319</v>
      </c>
      <c r="E60" s="30">
        <v>42534.436180555553</v>
      </c>
      <c r="F60" s="30">
        <v>42534.437638888892</v>
      </c>
      <c r="G60" s="38">
        <v>2</v>
      </c>
      <c r="H60" s="30" t="s">
        <v>531</v>
      </c>
      <c r="I60" s="30">
        <v>42534.463587962964</v>
      </c>
      <c r="J60" s="60">
        <v>0</v>
      </c>
      <c r="K60" s="60" t="str">
        <f t="shared" si="14"/>
        <v>4031/4032</v>
      </c>
      <c r="L60" s="60" t="str">
        <f>VLOOKUP(A60,'Trips&amp;Operators'!$C$1:$E$9999,3,FALSE)</f>
        <v>SANTIZO</v>
      </c>
      <c r="M60" s="12">
        <f t="shared" si="15"/>
        <v>2.5949074071832001E-2</v>
      </c>
      <c r="N60" s="13">
        <f t="shared" si="17"/>
        <v>37.366666663438082</v>
      </c>
      <c r="O60" s="13"/>
      <c r="P60" s="13"/>
      <c r="Q60" s="61"/>
      <c r="R60" s="61"/>
      <c r="S60" s="108">
        <f t="shared" si="7"/>
        <v>1</v>
      </c>
      <c r="T60" s="86" t="str">
        <f t="shared" si="8"/>
        <v>NorthBound</v>
      </c>
      <c r="U60" s="109">
        <f>COUNTIFS([1]Variables!$M$2:$M$19,IF(T60="NorthBound","&gt;=","&lt;=")&amp;Y60,[1]Variables!$M$2:$M$19,IF(T60="NorthBound","&lt;=","&gt;=")&amp;Z60)</f>
        <v>12</v>
      </c>
      <c r="V60" s="73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https://search-rtdc-monitor-bjffxe2xuh6vdkpspy63sjmuny.us-east-1.es.amazonaws.com/_plugin/kibana/#/discover/Steve-Slow-Train-Analysis-(2080s-and-2083s)?_g=(refreshInterval:(display:Off,section:0,value:0),time:(from:'2016-06-13 10:27:06-0600',mode:absolute,to:'2016-06-13 11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60" s="73" t="str">
        <f t="shared" si="18"/>
        <v>N</v>
      </c>
      <c r="X60" s="73">
        <f>VALUE(LEFT(A60,3))-VALUE(LEFT(A59,3))</f>
        <v>1</v>
      </c>
      <c r="Y60" s="73">
        <f>RIGHT(D60,LEN(D60)-4)/10000</f>
        <v>4.3099999999999999E-2</v>
      </c>
      <c r="Z60" s="73">
        <f>RIGHT(H60,LEN(H60)-4)/10000</f>
        <v>23.3307</v>
      </c>
      <c r="AA60" s="73">
        <f t="shared" si="19"/>
        <v>23.287600000000001</v>
      </c>
      <c r="AB60" s="74" t="e">
        <f>VLOOKUP(A60,Enforcements!$C$21:$J$74,8,0)</f>
        <v>#N/A</v>
      </c>
      <c r="AC60" s="74" t="e">
        <f>VLOOKUP(A60,Enforcements!$C$21:$J$74,3,0)</f>
        <v>#N/A</v>
      </c>
    </row>
    <row r="61" spans="1:29" s="2" customFormat="1" x14ac:dyDescent="0.25">
      <c r="A61" s="60" t="s">
        <v>429</v>
      </c>
      <c r="B61" s="60">
        <v>4032</v>
      </c>
      <c r="C61" s="60" t="s">
        <v>62</v>
      </c>
      <c r="D61" s="60" t="s">
        <v>67</v>
      </c>
      <c r="E61" s="30">
        <v>42534.472083333334</v>
      </c>
      <c r="F61" s="30">
        <v>42534.473877314813</v>
      </c>
      <c r="G61" s="38">
        <v>2</v>
      </c>
      <c r="H61" s="30" t="s">
        <v>532</v>
      </c>
      <c r="I61" s="30">
        <v>42534.505370370367</v>
      </c>
      <c r="J61" s="60">
        <v>0</v>
      </c>
      <c r="K61" s="60" t="str">
        <f t="shared" si="14"/>
        <v>4031/4032</v>
      </c>
      <c r="L61" s="60" t="str">
        <f>VLOOKUP(A61,'Trips&amp;Operators'!$C$1:$E$9999,3,FALSE)</f>
        <v>SANTIZO</v>
      </c>
      <c r="M61" s="12">
        <f t="shared" si="15"/>
        <v>3.1493055554165039E-2</v>
      </c>
      <c r="N61" s="13">
        <f t="shared" si="17"/>
        <v>45.349999997997656</v>
      </c>
      <c r="O61" s="13"/>
      <c r="P61" s="13"/>
      <c r="Q61" s="61"/>
      <c r="R61" s="61"/>
      <c r="S61" s="108">
        <f t="shared" si="7"/>
        <v>1</v>
      </c>
      <c r="T61" s="86" t="str">
        <f t="shared" si="8"/>
        <v>Southbound</v>
      </c>
      <c r="U61" s="109">
        <f>COUNTIFS([1]Variables!$M$2:$M$19,IF(T61="NorthBound","&gt;=","&lt;=")&amp;Y61,[1]Variables!$M$2:$M$19,IF(T61="NorthBound","&lt;=","&gt;=")&amp;Z61)</f>
        <v>12</v>
      </c>
      <c r="V61" s="73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https://search-rtdc-monitor-bjffxe2xuh6vdkpspy63sjmuny.us-east-1.es.amazonaws.com/_plugin/kibana/#/discover/Steve-Slow-Train-Analysis-(2080s-and-2083s)?_g=(refreshInterval:(display:Off,section:0,value:0),time:(from:'2016-06-13 11:18:48-0600',mode:absolute,to:'2016-06-13 12:08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1" s="73" t="str">
        <f t="shared" si="18"/>
        <v>N</v>
      </c>
      <c r="X61" s="73">
        <f>VALUE(LEFT(A61,3))-VALUE(LEFT(A60,3))</f>
        <v>1</v>
      </c>
      <c r="Y61" s="73">
        <f>RIGHT(D61,LEN(D61)-4)/10000</f>
        <v>23.299399999999999</v>
      </c>
      <c r="Z61" s="73">
        <f>RIGHT(H61,LEN(H61)-4)/10000</f>
        <v>1.67E-2</v>
      </c>
      <c r="AA61" s="73">
        <f t="shared" si="19"/>
        <v>23.282699999999998</v>
      </c>
      <c r="AB61" s="74" t="e">
        <f>VLOOKUP(A61,Enforcements!$C$21:$J$74,8,0)</f>
        <v>#N/A</v>
      </c>
      <c r="AC61" s="74" t="e">
        <f>VLOOKUP(A61,Enforcements!$C$21:$J$74,3,0)</f>
        <v>#N/A</v>
      </c>
    </row>
    <row r="62" spans="1:29" s="2" customFormat="1" x14ac:dyDescent="0.25">
      <c r="A62" s="60" t="s">
        <v>433</v>
      </c>
      <c r="B62" s="60">
        <v>4044</v>
      </c>
      <c r="C62" s="60" t="s">
        <v>62</v>
      </c>
      <c r="D62" s="60" t="s">
        <v>100</v>
      </c>
      <c r="E62" s="30">
        <v>42534.449826388889</v>
      </c>
      <c r="F62" s="30">
        <v>42534.450844907406</v>
      </c>
      <c r="G62" s="38">
        <v>1</v>
      </c>
      <c r="H62" s="30" t="s">
        <v>533</v>
      </c>
      <c r="I62" s="30">
        <v>42534.480833333335</v>
      </c>
      <c r="J62" s="60">
        <v>2</v>
      </c>
      <c r="K62" s="60" t="str">
        <f t="shared" si="14"/>
        <v>4043/4044</v>
      </c>
      <c r="L62" s="60" t="str">
        <f>VLOOKUP(A62,'Trips&amp;Operators'!$C$1:$E$9999,3,FALSE)</f>
        <v>ADANE</v>
      </c>
      <c r="M62" s="12">
        <f t="shared" si="15"/>
        <v>2.9988425929332152E-2</v>
      </c>
      <c r="N62" s="13">
        <f t="shared" si="17"/>
        <v>43.183333338238299</v>
      </c>
      <c r="O62" s="13"/>
      <c r="P62" s="13"/>
      <c r="Q62" s="61"/>
      <c r="R62" s="61"/>
      <c r="S62" s="108">
        <f t="shared" si="7"/>
        <v>1</v>
      </c>
      <c r="T62" s="86" t="str">
        <f t="shared" si="8"/>
        <v>NorthBound</v>
      </c>
      <c r="U62" s="109">
        <f>COUNTIFS([1]Variables!$M$2:$M$19,IF(T62="NorthBound","&gt;=","&lt;=")&amp;Y62,[1]Variables!$M$2:$M$19,IF(T62="NorthBound","&lt;=","&gt;=")&amp;Z62)</f>
        <v>12</v>
      </c>
      <c r="V62" s="73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https://search-rtdc-monitor-bjffxe2xuh6vdkpspy63sjmuny.us-east-1.es.amazonaws.com/_plugin/kibana/#/discover/Steve-Slow-Train-Analysis-(2080s-and-2083s)?_g=(refreshInterval:(display:Off,section:0,value:0),time:(from:'2016-06-13 10:46:45-0600',mode:absolute,to:'2016-06-13 11:33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2" s="73" t="str">
        <f t="shared" si="18"/>
        <v>N</v>
      </c>
      <c r="X62" s="73">
        <f>VALUE(LEFT(A62,3))-VALUE(LEFT(A61,3))</f>
        <v>1</v>
      </c>
      <c r="Y62" s="73">
        <f>RIGHT(D62,LEN(D62)-4)/10000</f>
        <v>4.6899999999999997E-2</v>
      </c>
      <c r="Z62" s="73">
        <f>RIGHT(H62,LEN(H62)-4)/10000</f>
        <v>23.325299999999999</v>
      </c>
      <c r="AA62" s="73">
        <f t="shared" si="19"/>
        <v>23.278399999999998</v>
      </c>
      <c r="AB62" s="74">
        <f>VLOOKUP(A62,Enforcements!$C$21:$J$74,8,0)</f>
        <v>233491</v>
      </c>
      <c r="AC62" s="74" t="str">
        <f>VLOOKUP(A62,Enforcements!$C$21:$J$74,3,0)</f>
        <v>TRACK WARRANT AUTHORITY</v>
      </c>
    </row>
    <row r="63" spans="1:29" s="2" customFormat="1" x14ac:dyDescent="0.25">
      <c r="A63" s="60" t="s">
        <v>470</v>
      </c>
      <c r="B63" s="60">
        <v>4043</v>
      </c>
      <c r="C63" s="60" t="s">
        <v>62</v>
      </c>
      <c r="D63" s="60" t="s">
        <v>534</v>
      </c>
      <c r="E63" s="30">
        <v>42534.483564814815</v>
      </c>
      <c r="F63" s="30">
        <v>42534.484814814816</v>
      </c>
      <c r="G63" s="38">
        <v>1</v>
      </c>
      <c r="H63" s="30" t="s">
        <v>91</v>
      </c>
      <c r="I63" s="30">
        <v>42534.514166666668</v>
      </c>
      <c r="J63" s="60">
        <v>0</v>
      </c>
      <c r="K63" s="60" t="str">
        <f t="shared" si="14"/>
        <v>4043/4044</v>
      </c>
      <c r="L63" s="60" t="str">
        <f>VLOOKUP(A63,'Trips&amp;Operators'!$C$1:$E$9999,3,FALSE)</f>
        <v>ADANE</v>
      </c>
      <c r="M63" s="12">
        <f t="shared" si="15"/>
        <v>2.9351851851970423E-2</v>
      </c>
      <c r="N63" s="13">
        <f t="shared" si="17"/>
        <v>42.266666666837409</v>
      </c>
      <c r="O63" s="13"/>
      <c r="P63" s="13"/>
      <c r="Q63" s="61"/>
      <c r="R63" s="61"/>
      <c r="S63" s="108">
        <f t="shared" si="7"/>
        <v>1</v>
      </c>
      <c r="T63" s="86" t="str">
        <f t="shared" si="8"/>
        <v>Southbound</v>
      </c>
      <c r="U63" s="109">
        <f>COUNTIFS([1]Variables!$M$2:$M$19,IF(T63="NorthBound","&gt;=","&lt;=")&amp;Y63,[1]Variables!$M$2:$M$19,IF(T63="NorthBound","&lt;=","&gt;=")&amp;Z63)</f>
        <v>12</v>
      </c>
      <c r="V63" s="73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https://search-rtdc-monitor-bjffxe2xuh6vdkpspy63sjmuny.us-east-1.es.amazonaws.com/_plugin/kibana/#/discover/Steve-Slow-Train-Analysis-(2080s-and-2083s)?_g=(refreshInterval:(display:Off,section:0,value:0),time:(from:'2016-06-13 11:35:20-0600',mode:absolute,to:'2016-06-13 12:21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3" s="73" t="str">
        <f t="shared" si="18"/>
        <v>N</v>
      </c>
      <c r="X63" s="73">
        <f>VALUE(LEFT(A63,3))-VALUE(LEFT(A62,3))</f>
        <v>1</v>
      </c>
      <c r="Y63" s="73">
        <f>RIGHT(D63,LEN(D63)-4)/10000</f>
        <v>23.2926</v>
      </c>
      <c r="Z63" s="73">
        <f>RIGHT(H63,LEN(H63)-4)/10000</f>
        <v>1.49E-2</v>
      </c>
      <c r="AA63" s="73">
        <f t="shared" si="19"/>
        <v>23.277699999999999</v>
      </c>
      <c r="AB63" s="74" t="e">
        <f>VLOOKUP(A63,Enforcements!$C$21:$J$74,8,0)</f>
        <v>#N/A</v>
      </c>
      <c r="AC63" s="74" t="e">
        <f>VLOOKUP(A63,Enforcements!$C$21:$J$74,3,0)</f>
        <v>#N/A</v>
      </c>
    </row>
    <row r="64" spans="1:29" s="2" customFormat="1" x14ac:dyDescent="0.25">
      <c r="A64" s="60" t="s">
        <v>472</v>
      </c>
      <c r="B64" s="60">
        <v>4025</v>
      </c>
      <c r="C64" s="60" t="s">
        <v>62</v>
      </c>
      <c r="D64" s="60" t="s">
        <v>535</v>
      </c>
      <c r="E64" s="30">
        <v>42534.460972222223</v>
      </c>
      <c r="F64" s="30">
        <v>42534.462500000001</v>
      </c>
      <c r="G64" s="38">
        <v>2</v>
      </c>
      <c r="H64" s="30" t="s">
        <v>320</v>
      </c>
      <c r="I64" s="30">
        <v>42534.490567129629</v>
      </c>
      <c r="J64" s="60">
        <v>0</v>
      </c>
      <c r="K64" s="60" t="str">
        <f t="shared" si="14"/>
        <v>4025/4026</v>
      </c>
      <c r="L64" s="60" t="str">
        <f>VLOOKUP(A64,'Trips&amp;Operators'!$C$1:$E$9999,3,FALSE)</f>
        <v>MALAVE</v>
      </c>
      <c r="M64" s="12">
        <f t="shared" si="15"/>
        <v>2.806712962774327E-2</v>
      </c>
      <c r="N64" s="13">
        <f t="shared" si="17"/>
        <v>40.416666663950309</v>
      </c>
      <c r="O64" s="13"/>
      <c r="P64" s="13"/>
      <c r="Q64" s="61"/>
      <c r="R64" s="61"/>
      <c r="S64" s="108">
        <f t="shared" si="7"/>
        <v>1</v>
      </c>
      <c r="T64" s="86" t="str">
        <f t="shared" si="8"/>
        <v>NorthBound</v>
      </c>
      <c r="U64" s="109">
        <f>COUNTIFS([1]Variables!$M$2:$M$19,IF(T64="NorthBound","&gt;=","&lt;=")&amp;Y64,[1]Variables!$M$2:$M$19,IF(T64="NorthBound","&lt;=","&gt;=")&amp;Z64)</f>
        <v>12</v>
      </c>
      <c r="V64" s="73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https://search-rtdc-monitor-bjffxe2xuh6vdkpspy63sjmuny.us-east-1.es.amazonaws.com/_plugin/kibana/#/discover/Steve-Slow-Train-Analysis-(2080s-and-2083s)?_g=(refreshInterval:(display:Off,section:0,value:0),time:(from:'2016-06-13 11:02:48-0600',mode:absolute,to:'2016-06-13 11:47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4" s="73" t="str">
        <f t="shared" si="18"/>
        <v>N</v>
      </c>
      <c r="X64" s="73">
        <f>VALUE(LEFT(A64,3))-VALUE(LEFT(A63,3))</f>
        <v>1</v>
      </c>
      <c r="Y64" s="73">
        <f>RIGHT(D64,LEN(D64)-4)/10000</f>
        <v>4.3700000000000003E-2</v>
      </c>
      <c r="Z64" s="73">
        <f>RIGHT(H64,LEN(H64)-4)/10000</f>
        <v>23.328900000000001</v>
      </c>
      <c r="AA64" s="73">
        <f t="shared" si="19"/>
        <v>23.2852</v>
      </c>
      <c r="AB64" s="74" t="e">
        <f>VLOOKUP(A64,Enforcements!$C$21:$J$74,8,0)</f>
        <v>#N/A</v>
      </c>
      <c r="AC64" s="74" t="e">
        <f>VLOOKUP(A64,Enforcements!$C$21:$J$74,3,0)</f>
        <v>#N/A</v>
      </c>
    </row>
    <row r="65" spans="1:29" s="2" customFormat="1" x14ac:dyDescent="0.25">
      <c r="A65" s="60" t="s">
        <v>387</v>
      </c>
      <c r="B65" s="60">
        <v>4026</v>
      </c>
      <c r="C65" s="60" t="s">
        <v>62</v>
      </c>
      <c r="D65" s="60" t="s">
        <v>536</v>
      </c>
      <c r="E65" s="30">
        <v>42534.495613425926</v>
      </c>
      <c r="F65" s="30">
        <v>42534.497523148151</v>
      </c>
      <c r="G65" s="38">
        <v>2</v>
      </c>
      <c r="H65" s="30" t="s">
        <v>76</v>
      </c>
      <c r="I65" s="30">
        <v>42534.530057870368</v>
      </c>
      <c r="J65" s="60">
        <v>1</v>
      </c>
      <c r="K65" s="60" t="str">
        <f t="shared" si="14"/>
        <v>4025/4026</v>
      </c>
      <c r="L65" s="60" t="str">
        <f>VLOOKUP(A65,'Trips&amp;Operators'!$C$1:$E$9999,3,FALSE)</f>
        <v>MALAVE</v>
      </c>
      <c r="M65" s="12">
        <f t="shared" si="15"/>
        <v>3.2534722216951195E-2</v>
      </c>
      <c r="N65" s="13">
        <f t="shared" si="17"/>
        <v>46.849999992409721</v>
      </c>
      <c r="O65" s="13"/>
      <c r="P65" s="13"/>
      <c r="Q65" s="61"/>
      <c r="R65" s="61"/>
      <c r="S65" s="108">
        <f t="shared" si="7"/>
        <v>1</v>
      </c>
      <c r="T65" s="86" t="str">
        <f t="shared" si="8"/>
        <v>Southbound</v>
      </c>
      <c r="U65" s="109">
        <f>COUNTIFS([1]Variables!$M$2:$M$19,IF(T65="NorthBound","&gt;=","&lt;=")&amp;Y65,[1]Variables!$M$2:$M$19,IF(T65="NorthBound","&lt;=","&gt;=")&amp;Z65)</f>
        <v>12</v>
      </c>
      <c r="V65" s="73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https://search-rtdc-monitor-bjffxe2xuh6vdkpspy63sjmuny.us-east-1.es.amazonaws.com/_plugin/kibana/#/discover/Steve-Slow-Train-Analysis-(2080s-and-2083s)?_g=(refreshInterval:(display:Off,section:0,value:0),time:(from:'2016-06-13 11:52:41-0600',mode:absolute,to:'2016-06-13 12:44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5" s="73" t="str">
        <f t="shared" si="18"/>
        <v>N</v>
      </c>
      <c r="X65" s="73">
        <f>VALUE(LEFT(A65,3))-VALUE(LEFT(A64,3))</f>
        <v>1</v>
      </c>
      <c r="Y65" s="73">
        <f>RIGHT(D65,LEN(D65)-4)/10000</f>
        <v>23.295200000000001</v>
      </c>
      <c r="Z65" s="73">
        <f>RIGHT(H65,LEN(H65)-4)/10000</f>
        <v>1.6E-2</v>
      </c>
      <c r="AA65" s="73">
        <f t="shared" si="19"/>
        <v>23.279200000000003</v>
      </c>
      <c r="AB65" s="74">
        <f>VLOOKUP(A65,Enforcements!$C$21:$J$74,8,0)</f>
        <v>1</v>
      </c>
      <c r="AC65" s="74" t="str">
        <f>VLOOKUP(A65,Enforcements!$C$21:$J$74,3,0)</f>
        <v>TRACK WARRANT AUTHORITY</v>
      </c>
    </row>
    <row r="66" spans="1:29" s="2" customFormat="1" x14ac:dyDescent="0.25">
      <c r="A66" s="60" t="s">
        <v>431</v>
      </c>
      <c r="B66" s="60">
        <v>4009</v>
      </c>
      <c r="C66" s="60" t="s">
        <v>62</v>
      </c>
      <c r="D66" s="60" t="s">
        <v>82</v>
      </c>
      <c r="E66" s="30">
        <v>42534.467604166668</v>
      </c>
      <c r="F66" s="30">
        <v>42534.468599537038</v>
      </c>
      <c r="G66" s="38">
        <v>1</v>
      </c>
      <c r="H66" s="30" t="s">
        <v>537</v>
      </c>
      <c r="I66" s="30">
        <v>42534.496747685182</v>
      </c>
      <c r="J66" s="60">
        <v>0</v>
      </c>
      <c r="K66" s="60" t="str">
        <f t="shared" si="14"/>
        <v>4009/4010</v>
      </c>
      <c r="L66" s="60" t="str">
        <f>VLOOKUP(A66,'Trips&amp;Operators'!$C$1:$E$9999,3,FALSE)</f>
        <v>RIVERA</v>
      </c>
      <c r="M66" s="12">
        <f t="shared" si="15"/>
        <v>2.8148148143372964E-2</v>
      </c>
      <c r="N66" s="13">
        <f t="shared" si="17"/>
        <v>40.533333326457068</v>
      </c>
      <c r="O66" s="13"/>
      <c r="P66" s="13"/>
      <c r="Q66" s="61"/>
      <c r="R66" s="61"/>
      <c r="S66" s="108">
        <f t="shared" si="7"/>
        <v>1</v>
      </c>
      <c r="T66" s="86" t="str">
        <f t="shared" si="8"/>
        <v>NorthBound</v>
      </c>
      <c r="U66" s="109">
        <f>COUNTIFS([1]Variables!$M$2:$M$19,IF(T66="NorthBound","&gt;=","&lt;=")&amp;Y66,[1]Variables!$M$2:$M$19,IF(T66="NorthBound","&lt;=","&gt;=")&amp;Z66)</f>
        <v>12</v>
      </c>
      <c r="V66" s="73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https://search-rtdc-monitor-bjffxe2xuh6vdkpspy63sjmuny.us-east-1.es.amazonaws.com/_plugin/kibana/#/discover/Steve-Slow-Train-Analysis-(2080s-and-2083s)?_g=(refreshInterval:(display:Off,section:0,value:0),time:(from:'2016-06-13 11:12:21-0600',mode:absolute,to:'2016-06-13 11:56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6" s="73" t="str">
        <f t="shared" si="18"/>
        <v>N</v>
      </c>
      <c r="X66" s="73">
        <f>VALUE(LEFT(A66,3))-VALUE(LEFT(A65,3))</f>
        <v>1</v>
      </c>
      <c r="Y66" s="73">
        <f>RIGHT(D66,LEN(D66)-4)/10000</f>
        <v>4.6600000000000003E-2</v>
      </c>
      <c r="Z66" s="73">
        <f>RIGHT(H66,LEN(H66)-4)/10000</f>
        <v>23.333400000000001</v>
      </c>
      <c r="AA66" s="73">
        <f t="shared" si="19"/>
        <v>23.286799999999999</v>
      </c>
      <c r="AB66" s="74" t="e">
        <f>VLOOKUP(A66,Enforcements!$C$21:$J$74,8,0)</f>
        <v>#N/A</v>
      </c>
      <c r="AC66" s="74" t="e">
        <f>VLOOKUP(A66,Enforcements!$C$21:$J$74,3,0)</f>
        <v>#N/A</v>
      </c>
    </row>
    <row r="67" spans="1:29" s="2" customFormat="1" x14ac:dyDescent="0.25">
      <c r="A67" s="60" t="s">
        <v>371</v>
      </c>
      <c r="B67" s="60">
        <v>4010</v>
      </c>
      <c r="C67" s="60" t="s">
        <v>62</v>
      </c>
      <c r="D67" s="60" t="s">
        <v>538</v>
      </c>
      <c r="E67" s="30">
        <v>42534.502847222226</v>
      </c>
      <c r="F67" s="30">
        <v>42534.503796296296</v>
      </c>
      <c r="G67" s="38">
        <v>1</v>
      </c>
      <c r="H67" s="30" t="s">
        <v>90</v>
      </c>
      <c r="I67" s="30">
        <v>42534.541747685187</v>
      </c>
      <c r="J67" s="60">
        <v>0</v>
      </c>
      <c r="K67" s="60" t="str">
        <f t="shared" ref="K67:K98" si="20">IF(ISEVEN(B67),(B67-1)&amp;"/"&amp;B67,B67&amp;"/"&amp;(B67+1))</f>
        <v>4009/4010</v>
      </c>
      <c r="L67" s="60" t="str">
        <f>VLOOKUP(A67,'Trips&amp;Operators'!$C$1:$E$9999,3,FALSE)</f>
        <v>RIVERA</v>
      </c>
      <c r="M67" s="12">
        <f t="shared" ref="M67:M98" si="21">I67-F67</f>
        <v>3.7951388891087845E-2</v>
      </c>
      <c r="N67" s="13">
        <f t="shared" si="17"/>
        <v>54.650000003166497</v>
      </c>
      <c r="O67" s="13"/>
      <c r="P67" s="13"/>
      <c r="Q67" s="61"/>
      <c r="R67" s="61"/>
      <c r="S67" s="108">
        <f t="shared" si="7"/>
        <v>1</v>
      </c>
      <c r="T67" s="86" t="str">
        <f t="shared" si="8"/>
        <v>Southbound</v>
      </c>
      <c r="U67" s="109">
        <f>COUNTIFS([1]Variables!$M$2:$M$19,IF(T67="NorthBound","&gt;=","&lt;=")&amp;Y67,[1]Variables!$M$2:$M$19,IF(T67="NorthBound","&lt;=","&gt;=")&amp;Z67)</f>
        <v>12</v>
      </c>
      <c r="V67" s="73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https://search-rtdc-monitor-bjffxe2xuh6vdkpspy63sjmuny.us-east-1.es.amazonaws.com/_plugin/kibana/#/discover/Steve-Slow-Train-Analysis-(2080s-and-2083s)?_g=(refreshInterval:(display:Off,section:0,value:0),time:(from:'2016-06-13 12:03:06-0600',mode:absolute,to:'2016-06-13 13:01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7" s="73" t="str">
        <f t="shared" si="18"/>
        <v>N</v>
      </c>
      <c r="X67" s="73">
        <f>VALUE(LEFT(A67,3))-VALUE(LEFT(A66,3))</f>
        <v>1</v>
      </c>
      <c r="Y67" s="73">
        <f>RIGHT(D67,LEN(D67)-4)/10000</f>
        <v>23.301300000000001</v>
      </c>
      <c r="Z67" s="73">
        <f>RIGHT(H67,LEN(H67)-4)/10000</f>
        <v>1.5599999999999999E-2</v>
      </c>
      <c r="AA67" s="73">
        <f t="shared" si="19"/>
        <v>23.285700000000002</v>
      </c>
      <c r="AB67" s="74" t="e">
        <f>VLOOKUP(A67,Enforcements!$C$21:$J$74,8,0)</f>
        <v>#N/A</v>
      </c>
      <c r="AC67" s="74" t="e">
        <f>VLOOKUP(A67,Enforcements!$C$21:$J$74,3,0)</f>
        <v>#N/A</v>
      </c>
    </row>
    <row r="68" spans="1:29" s="2" customFormat="1" x14ac:dyDescent="0.25">
      <c r="A68" s="60" t="s">
        <v>443</v>
      </c>
      <c r="B68" s="60">
        <v>4020</v>
      </c>
      <c r="C68" s="60" t="s">
        <v>62</v>
      </c>
      <c r="D68" s="60" t="s">
        <v>133</v>
      </c>
      <c r="E68" s="30">
        <v>42534.47861111111</v>
      </c>
      <c r="F68" s="30">
        <v>42534.47965277778</v>
      </c>
      <c r="G68" s="38">
        <v>1</v>
      </c>
      <c r="H68" s="30" t="s">
        <v>528</v>
      </c>
      <c r="I68" s="30">
        <v>42534.506053240744</v>
      </c>
      <c r="J68" s="60">
        <v>1</v>
      </c>
      <c r="K68" s="60" t="str">
        <f t="shared" si="20"/>
        <v>4019/4020</v>
      </c>
      <c r="L68" s="60" t="str">
        <f>VLOOKUP(A68,'Trips&amp;Operators'!$C$1:$E$9999,3,FALSE)</f>
        <v>BRABO</v>
      </c>
      <c r="M68" s="12">
        <f t="shared" si="21"/>
        <v>2.6400462964375038E-2</v>
      </c>
      <c r="N68" s="13">
        <f t="shared" si="17"/>
        <v>38.016666668700054</v>
      </c>
      <c r="O68" s="13"/>
      <c r="P68" s="13"/>
      <c r="Q68" s="61"/>
      <c r="R68" s="61"/>
      <c r="S68" s="108">
        <f t="shared" ref="S68:S131" si="22">SUM(U68:U68)/12</f>
        <v>1</v>
      </c>
      <c r="T68" s="86" t="str">
        <f t="shared" ref="T68:T131" si="23">IF(ISEVEN(LEFT(A68,3)),"Southbound","NorthBound")</f>
        <v>NorthBound</v>
      </c>
      <c r="U68" s="109">
        <f>COUNTIFS([1]Variables!$M$2:$M$19,IF(T68="NorthBound","&gt;=","&lt;=")&amp;Y68,[1]Variables!$M$2:$M$19,IF(T68="NorthBound","&lt;=","&gt;=")&amp;Z68)</f>
        <v>12</v>
      </c>
      <c r="V68" s="73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https://search-rtdc-monitor-bjffxe2xuh6vdkpspy63sjmuny.us-east-1.es.amazonaws.com/_plugin/kibana/#/discover/Steve-Slow-Train-Analysis-(2080s-and-2083s)?_g=(refreshInterval:(display:Off,section:0,value:0),time:(from:'2016-06-13 11:28:12-0600',mode:absolute,to:'2016-06-13 12:09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8" s="73" t="str">
        <f t="shared" si="18"/>
        <v>N</v>
      </c>
      <c r="X68" s="73">
        <f>VALUE(LEFT(A68,3))-VALUE(LEFT(A67,3))</f>
        <v>1</v>
      </c>
      <c r="Y68" s="73">
        <f>RIGHT(D68,LEN(D68)-4)/10000</f>
        <v>4.6399999999999997E-2</v>
      </c>
      <c r="Z68" s="73">
        <f>RIGHT(H68,LEN(H68)-4)/10000</f>
        <v>23.3324</v>
      </c>
      <c r="AA68" s="73">
        <f t="shared" si="19"/>
        <v>23.286000000000001</v>
      </c>
      <c r="AB68" s="74">
        <f>VLOOKUP(A68,Enforcements!$C$21:$J$74,8,0)</f>
        <v>20338</v>
      </c>
      <c r="AC68" s="74" t="str">
        <f>VLOOKUP(A68,Enforcements!$C$21:$J$74,3,0)</f>
        <v>PERMANENT SPEED RESTRICTION</v>
      </c>
    </row>
    <row r="69" spans="1:29" s="2" customFormat="1" x14ac:dyDescent="0.25">
      <c r="A69" s="60" t="s">
        <v>459</v>
      </c>
      <c r="B69" s="60">
        <v>4019</v>
      </c>
      <c r="C69" s="60" t="s">
        <v>62</v>
      </c>
      <c r="D69" s="60" t="s">
        <v>539</v>
      </c>
      <c r="E69" s="30">
        <v>42534.510972222219</v>
      </c>
      <c r="F69" s="30">
        <v>42534.513472222221</v>
      </c>
      <c r="G69" s="38">
        <v>3</v>
      </c>
      <c r="H69" s="30" t="s">
        <v>91</v>
      </c>
      <c r="I69" s="30">
        <v>42534.547118055554</v>
      </c>
      <c r="J69" s="60">
        <v>1</v>
      </c>
      <c r="K69" s="60" t="str">
        <f t="shared" si="20"/>
        <v>4019/4020</v>
      </c>
      <c r="L69" s="60" t="str">
        <f>VLOOKUP(A69,'Trips&amp;Operators'!$C$1:$E$9999,3,FALSE)</f>
        <v>BRABO</v>
      </c>
      <c r="M69" s="12">
        <f t="shared" si="21"/>
        <v>3.3645833333139308E-2</v>
      </c>
      <c r="N69" s="13">
        <f t="shared" si="17"/>
        <v>48.449999999720603</v>
      </c>
      <c r="O69" s="13"/>
      <c r="P69" s="13"/>
      <c r="Q69" s="61"/>
      <c r="R69" s="61"/>
      <c r="S69" s="108">
        <f t="shared" si="22"/>
        <v>1</v>
      </c>
      <c r="T69" s="86" t="str">
        <f t="shared" si="23"/>
        <v>Southbound</v>
      </c>
      <c r="U69" s="109">
        <f>COUNTIFS([1]Variables!$M$2:$M$19,IF(T69="NorthBound","&gt;=","&lt;=")&amp;Y69,[1]Variables!$M$2:$M$19,IF(T69="NorthBound","&lt;=","&gt;=")&amp;Z69)</f>
        <v>12</v>
      </c>
      <c r="V69" s="73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https://search-rtdc-monitor-bjffxe2xuh6vdkpspy63sjmuny.us-east-1.es.amazonaws.com/_plugin/kibana/#/discover/Steve-Slow-Train-Analysis-(2080s-and-2083s)?_g=(refreshInterval:(display:Off,section:0,value:0),time:(from:'2016-06-13 12:14:48-0600',mode:absolute,to:'2016-06-13 13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9" s="73" t="str">
        <f t="shared" si="18"/>
        <v>N</v>
      </c>
      <c r="X69" s="73">
        <f>VALUE(LEFT(A69,3))-VALUE(LEFT(A68,3))</f>
        <v>1</v>
      </c>
      <c r="Y69" s="73">
        <f>RIGHT(D69,LEN(D69)-4)/10000</f>
        <v>23.2986</v>
      </c>
      <c r="Z69" s="73">
        <f>RIGHT(H69,LEN(H69)-4)/10000</f>
        <v>1.49E-2</v>
      </c>
      <c r="AA69" s="73">
        <f t="shared" si="19"/>
        <v>23.2837</v>
      </c>
      <c r="AB69" s="74">
        <f>VLOOKUP(A69,Enforcements!$C$21:$J$74,8,0)</f>
        <v>127587</v>
      </c>
      <c r="AC69" s="74" t="str">
        <f>VLOOKUP(A69,Enforcements!$C$21:$J$74,3,0)</f>
        <v>SIGNAL</v>
      </c>
    </row>
    <row r="70" spans="1:29" s="2" customFormat="1" x14ac:dyDescent="0.25">
      <c r="A70" s="60" t="s">
        <v>444</v>
      </c>
      <c r="B70" s="60">
        <v>4011</v>
      </c>
      <c r="C70" s="60" t="s">
        <v>62</v>
      </c>
      <c r="D70" s="60" t="s">
        <v>319</v>
      </c>
      <c r="E70" s="30">
        <v>42534.485381944447</v>
      </c>
      <c r="F70" s="30">
        <v>42534.486770833333</v>
      </c>
      <c r="G70" s="38">
        <v>2</v>
      </c>
      <c r="H70" s="30" t="s">
        <v>130</v>
      </c>
      <c r="I70" s="30">
        <v>42534.516793981478</v>
      </c>
      <c r="J70" s="60">
        <v>0</v>
      </c>
      <c r="K70" s="60" t="str">
        <f t="shared" si="20"/>
        <v>4011/4012</v>
      </c>
      <c r="L70" s="60" t="str">
        <f>VLOOKUP(A70,'Trips&amp;Operators'!$C$1:$E$9999,3,FALSE)</f>
        <v>NELSON</v>
      </c>
      <c r="M70" s="12">
        <f t="shared" si="21"/>
        <v>3.0023148145119194E-2</v>
      </c>
      <c r="N70" s="13">
        <f t="shared" si="17"/>
        <v>43.233333328971639</v>
      </c>
      <c r="O70" s="13"/>
      <c r="P70" s="13"/>
      <c r="Q70" s="61"/>
      <c r="R70" s="61"/>
      <c r="S70" s="108">
        <f t="shared" si="22"/>
        <v>1</v>
      </c>
      <c r="T70" s="86" t="str">
        <f t="shared" si="23"/>
        <v>NorthBound</v>
      </c>
      <c r="U70" s="109">
        <f>COUNTIFS([1]Variables!$M$2:$M$19,IF(T70="NorthBound","&gt;=","&lt;=")&amp;Y70,[1]Variables!$M$2:$M$19,IF(T70="NorthBound","&lt;=","&gt;=")&amp;Z70)</f>
        <v>12</v>
      </c>
      <c r="V70" s="73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https://search-rtdc-monitor-bjffxe2xuh6vdkpspy63sjmuny.us-east-1.es.amazonaws.com/_plugin/kibana/#/discover/Steve-Slow-Train-Analysis-(2080s-and-2083s)?_g=(refreshInterval:(display:Off,section:0,value:0),time:(from:'2016-06-13 11:37:57-0600',mode:absolute,to:'2016-06-13 12:25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0" s="73" t="str">
        <f t="shared" si="18"/>
        <v>N</v>
      </c>
      <c r="X70" s="73">
        <f>VALUE(LEFT(A70,3))-VALUE(LEFT(A69,3))</f>
        <v>1</v>
      </c>
      <c r="Y70" s="73">
        <f>RIGHT(D70,LEN(D70)-4)/10000</f>
        <v>4.3099999999999999E-2</v>
      </c>
      <c r="Z70" s="73">
        <f>RIGHT(H70,LEN(H70)-4)/10000</f>
        <v>23.331499999999998</v>
      </c>
      <c r="AA70" s="73">
        <f t="shared" si="19"/>
        <v>23.288399999999999</v>
      </c>
      <c r="AB70" s="74" t="e">
        <f>VLOOKUP(A70,Enforcements!$C$21:$J$74,8,0)</f>
        <v>#N/A</v>
      </c>
      <c r="AC70" s="74" t="e">
        <f>VLOOKUP(A70,Enforcements!$C$21:$J$74,3,0)</f>
        <v>#N/A</v>
      </c>
    </row>
    <row r="71" spans="1:29" s="2" customFormat="1" x14ac:dyDescent="0.25">
      <c r="A71" s="60" t="s">
        <v>454</v>
      </c>
      <c r="B71" s="60">
        <v>4012</v>
      </c>
      <c r="C71" s="60" t="s">
        <v>62</v>
      </c>
      <c r="D71" s="60" t="s">
        <v>309</v>
      </c>
      <c r="E71" s="30">
        <v>42534.524398148147</v>
      </c>
      <c r="F71" s="30">
        <v>42534.525937500002</v>
      </c>
      <c r="G71" s="38">
        <v>2</v>
      </c>
      <c r="H71" s="30" t="s">
        <v>91</v>
      </c>
      <c r="I71" s="30">
        <v>42534.558807870373</v>
      </c>
      <c r="J71" s="60">
        <v>0</v>
      </c>
      <c r="K71" s="60" t="str">
        <f t="shared" si="20"/>
        <v>4011/4012</v>
      </c>
      <c r="L71" s="60" t="str">
        <f>VLOOKUP(A71,'Trips&amp;Operators'!$C$1:$E$9999,3,FALSE)</f>
        <v>NELSON</v>
      </c>
      <c r="M71" s="12">
        <f t="shared" si="21"/>
        <v>3.2870370370801538E-2</v>
      </c>
      <c r="N71" s="13">
        <f t="shared" si="17"/>
        <v>47.333333333954215</v>
      </c>
      <c r="O71" s="13"/>
      <c r="P71" s="13"/>
      <c r="Q71" s="61"/>
      <c r="R71" s="61"/>
      <c r="S71" s="108">
        <f t="shared" si="22"/>
        <v>1</v>
      </c>
      <c r="T71" s="86" t="str">
        <f t="shared" si="23"/>
        <v>Southbound</v>
      </c>
      <c r="U71" s="109">
        <f>COUNTIFS([1]Variables!$M$2:$M$19,IF(T71="NorthBound","&gt;=","&lt;=")&amp;Y71,[1]Variables!$M$2:$M$19,IF(T71="NorthBound","&lt;=","&gt;=")&amp;Z71)</f>
        <v>12</v>
      </c>
      <c r="V71" s="73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https://search-rtdc-monitor-bjffxe2xuh6vdkpspy63sjmuny.us-east-1.es.amazonaws.com/_plugin/kibana/#/discover/Steve-Slow-Train-Analysis-(2080s-and-2083s)?_g=(refreshInterval:(display:Off,section:0,value:0),time:(from:'2016-06-13 12:34:08-0600',mode:absolute,to:'2016-06-13 13:25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1" s="73" t="str">
        <f t="shared" si="18"/>
        <v>N</v>
      </c>
      <c r="X71" s="73">
        <f>VALUE(LEFT(A71,3))-VALUE(LEFT(A70,3))</f>
        <v>1</v>
      </c>
      <c r="Y71" s="73">
        <f>RIGHT(D71,LEN(D71)-4)/10000</f>
        <v>23.2987</v>
      </c>
      <c r="Z71" s="73">
        <f>RIGHT(H71,LEN(H71)-4)/10000</f>
        <v>1.49E-2</v>
      </c>
      <c r="AA71" s="73">
        <f t="shared" si="19"/>
        <v>23.283799999999999</v>
      </c>
      <c r="AB71" s="74" t="e">
        <f>VLOOKUP(A71,Enforcements!$C$21:$J$74,8,0)</f>
        <v>#N/A</v>
      </c>
      <c r="AC71" s="74" t="e">
        <f>VLOOKUP(A71,Enforcements!$C$21:$J$74,3,0)</f>
        <v>#N/A</v>
      </c>
    </row>
    <row r="72" spans="1:29" s="2" customFormat="1" x14ac:dyDescent="0.25">
      <c r="A72" s="60" t="s">
        <v>430</v>
      </c>
      <c r="B72" s="60">
        <v>4024</v>
      </c>
      <c r="C72" s="60" t="s">
        <v>62</v>
      </c>
      <c r="D72" s="60" t="s">
        <v>541</v>
      </c>
      <c r="E72" s="30">
        <v>42534.494745370372</v>
      </c>
      <c r="F72" s="30">
        <v>42534.495740740742</v>
      </c>
      <c r="G72" s="38">
        <v>1</v>
      </c>
      <c r="H72" s="30" t="s">
        <v>542</v>
      </c>
      <c r="I72" s="30">
        <v>42534.515879629631</v>
      </c>
      <c r="J72" s="60">
        <v>0</v>
      </c>
      <c r="K72" s="60" t="str">
        <f t="shared" si="20"/>
        <v>4023/4024</v>
      </c>
      <c r="L72" s="60" t="str">
        <f>VLOOKUP(A72,'Trips&amp;Operators'!$C$1:$E$9999,3,FALSE)</f>
        <v>ACKERMAN</v>
      </c>
      <c r="M72" s="12">
        <f t="shared" si="21"/>
        <v>2.0138888889050577E-2</v>
      </c>
      <c r="N72" s="13"/>
      <c r="O72" s="13"/>
      <c r="P72" s="13">
        <f>24*60*SUM($M72:$M73)</f>
        <v>39.883333331672475</v>
      </c>
      <c r="Q72" s="61"/>
      <c r="R72" s="61" t="s">
        <v>604</v>
      </c>
      <c r="S72" s="108">
        <f t="shared" si="22"/>
        <v>0.83333333333333337</v>
      </c>
      <c r="T72" s="86" t="str">
        <f t="shared" si="23"/>
        <v>NorthBound</v>
      </c>
      <c r="U72" s="109">
        <f>COUNTIFS([1]Variables!$M$2:$M$19,IF(T72="NorthBound","&gt;=","&lt;=")&amp;Y72,[1]Variables!$M$2:$M$19,IF(T72="NorthBound","&lt;=","&gt;=")&amp;Z72)</f>
        <v>10</v>
      </c>
      <c r="V72" s="73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https://search-rtdc-monitor-bjffxe2xuh6vdkpspy63sjmuny.us-east-1.es.amazonaws.com/_plugin/kibana/#/discover/Steve-Slow-Train-Analysis-(2080s-and-2083s)?_g=(refreshInterval:(display:Off,section:0,value:0),time:(from:'2016-06-13 11:51:26-0600',mode:absolute,to:'2016-06-13 12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2" s="73" t="str">
        <f t="shared" si="18"/>
        <v>Y</v>
      </c>
      <c r="X72" s="73">
        <f>VALUE(LEFT(A72,3))-VALUE(LEFT(A71,3))</f>
        <v>1</v>
      </c>
      <c r="Y72" s="73">
        <f>RIGHT(D72,LEN(D72)-4)/10000</f>
        <v>4.2200000000000001E-2</v>
      </c>
      <c r="Z72" s="73">
        <f>RIGHT(H72,LEN(H72)-4)/10000</f>
        <v>10.081</v>
      </c>
      <c r="AA72" s="73">
        <f t="shared" si="19"/>
        <v>10.0388</v>
      </c>
      <c r="AB72" s="74">
        <f>VLOOKUP(A72,Enforcements!$C$21:$J$74,8,0)</f>
        <v>233491</v>
      </c>
      <c r="AC72" s="74" t="str">
        <f>VLOOKUP(A72,Enforcements!$C$21:$J$74,3,0)</f>
        <v>TRACK WARRANT AUTHORITY</v>
      </c>
    </row>
    <row r="73" spans="1:29" s="2" customFormat="1" x14ac:dyDescent="0.25">
      <c r="A73" s="60" t="s">
        <v>430</v>
      </c>
      <c r="B73" s="60">
        <v>4024</v>
      </c>
      <c r="C73" s="60" t="s">
        <v>62</v>
      </c>
      <c r="D73" s="60" t="s">
        <v>540</v>
      </c>
      <c r="E73" s="30">
        <v>42534.522372685184</v>
      </c>
      <c r="F73" s="30">
        <v>42534.524722222224</v>
      </c>
      <c r="G73" s="38">
        <v>3</v>
      </c>
      <c r="H73" s="30" t="s">
        <v>322</v>
      </c>
      <c r="I73" s="30">
        <v>42534.532280092593</v>
      </c>
      <c r="J73" s="60">
        <v>1</v>
      </c>
      <c r="K73" s="60" t="str">
        <f t="shared" si="20"/>
        <v>4023/4024</v>
      </c>
      <c r="L73" s="60" t="str">
        <f>VLOOKUP(A73,'Trips&amp;Operators'!$C$1:$E$9999,3,FALSE)</f>
        <v>ACKERMAN</v>
      </c>
      <c r="M73" s="12">
        <f t="shared" si="21"/>
        <v>7.5578703690553084E-3</v>
      </c>
      <c r="N73" s="13"/>
      <c r="O73" s="13"/>
      <c r="P73" s="13"/>
      <c r="Q73" s="61"/>
      <c r="R73" s="61"/>
      <c r="S73" s="108">
        <f t="shared" si="22"/>
        <v>0</v>
      </c>
      <c r="T73" s="86" t="str">
        <f t="shared" si="23"/>
        <v>NorthBound</v>
      </c>
      <c r="U73" s="109">
        <f>COUNTIFS([1]Variables!$M$2:$M$19,IF(T73="NorthBound","&gt;=","&lt;=")&amp;Y73,[1]Variables!$M$2:$M$19,IF(T73="NorthBound","&lt;=","&gt;=")&amp;Z73)</f>
        <v>0</v>
      </c>
      <c r="V73" s="73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https://search-rtdc-monitor-bjffxe2xuh6vdkpspy63sjmuny.us-east-1.es.amazonaws.com/_plugin/kibana/#/discover/Steve-Slow-Train-Analysis-(2080s-and-2083s)?_g=(refreshInterval:(display:Off,section:0,value:0),time:(from:'2016-06-13 12:31:13-0600',mode:absolute,to:'2016-06-13 12:47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3" s="73" t="str">
        <f t="shared" si="18"/>
        <v>Y</v>
      </c>
      <c r="X73" s="73">
        <f>VALUE(LEFT(A73,3))-VALUE(LEFT(A72,3))</f>
        <v>0</v>
      </c>
      <c r="Y73" s="73">
        <f>RIGHT(D73,LEN(D73)-4)/10000</f>
        <v>15.381600000000001</v>
      </c>
      <c r="Z73" s="73">
        <f>RIGHT(H73,LEN(H73)-4)/10000</f>
        <v>23.3263</v>
      </c>
      <c r="AA73" s="73">
        <f t="shared" si="19"/>
        <v>7.9446999999999992</v>
      </c>
      <c r="AB73" s="74">
        <f>VLOOKUP(A73,Enforcements!$C$21:$J$74,8,0)</f>
        <v>233491</v>
      </c>
      <c r="AC73" s="74" t="str">
        <f>VLOOKUP(A73,Enforcements!$C$21:$J$74,3,0)</f>
        <v>TRACK WARRANT AUTHORITY</v>
      </c>
    </row>
    <row r="74" spans="1:29" s="2" customFormat="1" x14ac:dyDescent="0.25">
      <c r="A74" s="60" t="s">
        <v>380</v>
      </c>
      <c r="B74" s="60">
        <v>4023</v>
      </c>
      <c r="C74" s="60" t="s">
        <v>62</v>
      </c>
      <c r="D74" s="60" t="s">
        <v>543</v>
      </c>
      <c r="E74" s="30">
        <v>42534.536400462966</v>
      </c>
      <c r="F74" s="30">
        <v>42534.537511574075</v>
      </c>
      <c r="G74" s="38">
        <v>1</v>
      </c>
      <c r="H74" s="30" t="s">
        <v>544</v>
      </c>
      <c r="I74" s="30">
        <v>42534.566053240742</v>
      </c>
      <c r="J74" s="60">
        <v>1</v>
      </c>
      <c r="K74" s="60" t="str">
        <f t="shared" si="20"/>
        <v>4023/4024</v>
      </c>
      <c r="L74" s="60" t="str">
        <f>VLOOKUP(A74,'Trips&amp;Operators'!$C$1:$E$9999,3,FALSE)</f>
        <v>ACKERMAN</v>
      </c>
      <c r="M74" s="12">
        <f t="shared" si="21"/>
        <v>2.8541666666569654E-2</v>
      </c>
      <c r="N74" s="13">
        <f t="shared" ref="N74:N102" si="24">24*60*SUM($M74:$M74)</f>
        <v>41.099999999860302</v>
      </c>
      <c r="O74" s="13"/>
      <c r="P74" s="13"/>
      <c r="Q74" s="61"/>
      <c r="R74" s="61"/>
      <c r="S74" s="108">
        <f t="shared" si="22"/>
        <v>1</v>
      </c>
      <c r="T74" s="86" t="str">
        <f t="shared" si="23"/>
        <v>Southbound</v>
      </c>
      <c r="U74" s="109">
        <f>COUNTIFS([1]Variables!$M$2:$M$19,IF(T74="NorthBound","&gt;=","&lt;=")&amp;Y74,[1]Variables!$M$2:$M$19,IF(T74="NorthBound","&lt;=","&gt;=")&amp;Z74)</f>
        <v>12</v>
      </c>
      <c r="V74" s="73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https://search-rtdc-monitor-bjffxe2xuh6vdkpspy63sjmuny.us-east-1.es.amazonaws.com/_plugin/kibana/#/discover/Steve-Slow-Train-Analysis-(2080s-and-2083s)?_g=(refreshInterval:(display:Off,section:0,value:0),time:(from:'2016-06-13 12:51:25-0600',mode:absolute,to:'2016-06-13 13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4" s="73" t="str">
        <f t="shared" si="18"/>
        <v>N</v>
      </c>
      <c r="X74" s="73">
        <f>VALUE(LEFT(A74,3))-VALUE(LEFT(A73,3))</f>
        <v>1</v>
      </c>
      <c r="Y74" s="73">
        <f>RIGHT(D74,LEN(D74)-4)/10000</f>
        <v>23.293800000000001</v>
      </c>
      <c r="Z74" s="73">
        <f>RIGHT(H74,LEN(H74)-4)/10000</f>
        <v>2.4199999999999999E-2</v>
      </c>
      <c r="AA74" s="73">
        <f t="shared" si="19"/>
        <v>23.269600000000001</v>
      </c>
      <c r="AB74" s="74">
        <f>VLOOKUP(A74,Enforcements!$C$21:$J$74,8,0)</f>
        <v>1</v>
      </c>
      <c r="AC74" s="74" t="str">
        <f>VLOOKUP(A74,Enforcements!$C$21:$J$74,3,0)</f>
        <v>TRACK WARRANT AUTHORITY</v>
      </c>
    </row>
    <row r="75" spans="1:29" s="2" customFormat="1" x14ac:dyDescent="0.25">
      <c r="A75" s="60" t="s">
        <v>364</v>
      </c>
      <c r="B75" s="60">
        <v>4031</v>
      </c>
      <c r="C75" s="60" t="s">
        <v>62</v>
      </c>
      <c r="D75" s="60" t="s">
        <v>265</v>
      </c>
      <c r="E75" s="30">
        <v>42534.509328703702</v>
      </c>
      <c r="F75" s="30">
        <v>42534.510416666664</v>
      </c>
      <c r="G75" s="38">
        <v>1</v>
      </c>
      <c r="H75" s="30" t="s">
        <v>545</v>
      </c>
      <c r="I75" s="30">
        <v>42534.542939814812</v>
      </c>
      <c r="J75" s="60">
        <v>0</v>
      </c>
      <c r="K75" s="60" t="str">
        <f t="shared" si="20"/>
        <v>4031/4032</v>
      </c>
      <c r="L75" s="60" t="str">
        <f>VLOOKUP(A75,'Trips&amp;Operators'!$C$1:$E$9999,3,FALSE)</f>
        <v>COCA</v>
      </c>
      <c r="M75" s="12">
        <f t="shared" si="21"/>
        <v>3.25231481474475E-2</v>
      </c>
      <c r="N75" s="13">
        <f t="shared" si="24"/>
        <v>46.833333332324401</v>
      </c>
      <c r="O75" s="13"/>
      <c r="P75" s="13"/>
      <c r="Q75" s="61"/>
      <c r="R75" s="61"/>
      <c r="S75" s="108">
        <f t="shared" si="22"/>
        <v>1</v>
      </c>
      <c r="T75" s="86" t="str">
        <f t="shared" si="23"/>
        <v>NorthBound</v>
      </c>
      <c r="U75" s="109">
        <f>COUNTIFS([1]Variables!$M$2:$M$19,IF(T75="NorthBound","&gt;=","&lt;=")&amp;Y75,[1]Variables!$M$2:$M$19,IF(T75="NorthBound","&lt;=","&gt;=")&amp;Z75)</f>
        <v>12</v>
      </c>
      <c r="V75" s="73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https://search-rtdc-monitor-bjffxe2xuh6vdkpspy63sjmuny.us-east-1.es.amazonaws.com/_plugin/kibana/#/discover/Steve-Slow-Train-Analysis-(2080s-and-2083s)?_g=(refreshInterval:(display:Off,section:0,value:0),time:(from:'2016-06-13 12:12:26-0600',mode:absolute,to:'2016-06-13 13:02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5" s="73" t="str">
        <f t="shared" si="18"/>
        <v>N</v>
      </c>
      <c r="X75" s="73">
        <f>VALUE(LEFT(A75,3))-VALUE(LEFT(A74,3))</f>
        <v>1</v>
      </c>
      <c r="Y75" s="73">
        <f>RIGHT(D75,LEN(D75)-4)/10000</f>
        <v>4.7300000000000002E-2</v>
      </c>
      <c r="Z75" s="73">
        <f>RIGHT(H75,LEN(H75)-4)/10000</f>
        <v>23.333200000000001</v>
      </c>
      <c r="AA75" s="73">
        <f t="shared" si="19"/>
        <v>23.285900000000002</v>
      </c>
      <c r="AB75" s="74" t="e">
        <f>VLOOKUP(A75,Enforcements!$C$21:$J$74,8,0)</f>
        <v>#N/A</v>
      </c>
      <c r="AC75" s="74" t="e">
        <f>VLOOKUP(A75,Enforcements!$C$21:$J$74,3,0)</f>
        <v>#N/A</v>
      </c>
    </row>
    <row r="76" spans="1:29" s="2" customFormat="1" x14ac:dyDescent="0.25">
      <c r="A76" s="60" t="s">
        <v>434</v>
      </c>
      <c r="B76" s="60">
        <v>4032</v>
      </c>
      <c r="C76" s="60" t="s">
        <v>62</v>
      </c>
      <c r="D76" s="60" t="s">
        <v>506</v>
      </c>
      <c r="E76" s="30">
        <v>42534.546932870369</v>
      </c>
      <c r="F76" s="30">
        <v>42534.548032407409</v>
      </c>
      <c r="G76" s="38">
        <v>1</v>
      </c>
      <c r="H76" s="30" t="s">
        <v>83</v>
      </c>
      <c r="I76" s="30">
        <v>42534.576365740744</v>
      </c>
      <c r="J76" s="60">
        <v>0</v>
      </c>
      <c r="K76" s="60" t="str">
        <f t="shared" si="20"/>
        <v>4031/4032</v>
      </c>
      <c r="L76" s="60" t="str">
        <f>VLOOKUP(A76,'Trips&amp;Operators'!$C$1:$E$9999,3,FALSE)</f>
        <v>COCA</v>
      </c>
      <c r="M76" s="12">
        <f t="shared" si="21"/>
        <v>2.8333333335467614E-2</v>
      </c>
      <c r="N76" s="13">
        <f t="shared" si="24"/>
        <v>40.800000003073364</v>
      </c>
      <c r="O76" s="13"/>
      <c r="P76" s="13"/>
      <c r="Q76" s="61"/>
      <c r="R76" s="61"/>
      <c r="S76" s="108">
        <f t="shared" si="22"/>
        <v>1</v>
      </c>
      <c r="T76" s="86" t="str">
        <f t="shared" si="23"/>
        <v>Southbound</v>
      </c>
      <c r="U76" s="109">
        <f>COUNTIFS([1]Variables!$M$2:$M$19,IF(T76="NorthBound","&gt;=","&lt;=")&amp;Y76,[1]Variables!$M$2:$M$19,IF(T76="NorthBound","&lt;=","&gt;=")&amp;Z76)</f>
        <v>12</v>
      </c>
      <c r="V76" s="73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https://search-rtdc-monitor-bjffxe2xuh6vdkpspy63sjmuny.us-east-1.es.amazonaws.com/_plugin/kibana/#/discover/Steve-Slow-Train-Analysis-(2080s-and-2083s)?_g=(refreshInterval:(display:Off,section:0,value:0),time:(from:'2016-06-13 13:06:35-0600',mode:absolute,to:'2016-06-13 13:50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6" s="73" t="str">
        <f t="shared" si="18"/>
        <v>N</v>
      </c>
      <c r="X76" s="73">
        <f>VALUE(LEFT(A76,3))-VALUE(LEFT(A75,3))</f>
        <v>1</v>
      </c>
      <c r="Y76" s="73">
        <f>RIGHT(D76,LEN(D76)-4)/10000</f>
        <v>23.300599999999999</v>
      </c>
      <c r="Z76" s="73">
        <f>RIGHT(H76,LEN(H76)-4)/10000</f>
        <v>1.43E-2</v>
      </c>
      <c r="AA76" s="73">
        <f t="shared" si="19"/>
        <v>23.286300000000001</v>
      </c>
      <c r="AB76" s="74" t="e">
        <f>VLOOKUP(A76,Enforcements!$C$21:$J$74,8,0)</f>
        <v>#N/A</v>
      </c>
      <c r="AC76" s="74" t="e">
        <f>VLOOKUP(A76,Enforcements!$C$21:$J$74,3,0)</f>
        <v>#N/A</v>
      </c>
    </row>
    <row r="77" spans="1:29" s="2" customFormat="1" x14ac:dyDescent="0.25">
      <c r="A77" s="60" t="s">
        <v>394</v>
      </c>
      <c r="B77" s="60">
        <v>4044</v>
      </c>
      <c r="C77" s="60" t="s">
        <v>62</v>
      </c>
      <c r="D77" s="60" t="s">
        <v>517</v>
      </c>
      <c r="E77" s="30">
        <v>42534.51666666667</v>
      </c>
      <c r="F77" s="30">
        <v>42534.518634259257</v>
      </c>
      <c r="G77" s="38">
        <v>2</v>
      </c>
      <c r="H77" s="30" t="s">
        <v>546</v>
      </c>
      <c r="I77" s="30">
        <v>42534.547106481485</v>
      </c>
      <c r="J77" s="60">
        <v>1</v>
      </c>
      <c r="K77" s="60" t="str">
        <f t="shared" si="20"/>
        <v>4043/4044</v>
      </c>
      <c r="L77" s="60" t="str">
        <f>VLOOKUP(A77,'Trips&amp;Operators'!$C$1:$E$9999,3,FALSE)</f>
        <v>ADANE</v>
      </c>
      <c r="M77" s="12">
        <f t="shared" si="21"/>
        <v>2.8472222227719612E-2</v>
      </c>
      <c r="N77" s="13">
        <f t="shared" si="24"/>
        <v>41.000000007916242</v>
      </c>
      <c r="O77" s="13"/>
      <c r="P77" s="13"/>
      <c r="Q77" s="61"/>
      <c r="R77" s="61"/>
      <c r="S77" s="108">
        <f t="shared" si="22"/>
        <v>1</v>
      </c>
      <c r="T77" s="86" t="str">
        <f t="shared" si="23"/>
        <v>NorthBound</v>
      </c>
      <c r="U77" s="109">
        <f>COUNTIFS([1]Variables!$M$2:$M$19,IF(T77="NorthBound","&gt;=","&lt;=")&amp;Y77,[1]Variables!$M$2:$M$19,IF(T77="NorthBound","&lt;=","&gt;=")&amp;Z77)</f>
        <v>12</v>
      </c>
      <c r="V77" s="73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https://search-rtdc-monitor-bjffxe2xuh6vdkpspy63sjmuny.us-east-1.es.amazonaws.com/_plugin/kibana/#/discover/Steve-Slow-Train-Analysis-(2080s-and-2083s)?_g=(refreshInterval:(display:Off,section:0,value:0),time:(from:'2016-06-13 12:23:00-0600',mode:absolute,to:'2016-06-13 13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7" s="73" t="str">
        <f t="shared" si="18"/>
        <v>N</v>
      </c>
      <c r="X77" s="73">
        <f>VALUE(LEFT(A77,3))-VALUE(LEFT(A76,3))</f>
        <v>1</v>
      </c>
      <c r="Y77" s="73">
        <f>RIGHT(D77,LEN(D77)-4)/10000</f>
        <v>4.7699999999999999E-2</v>
      </c>
      <c r="Z77" s="73">
        <f>RIGHT(H77,LEN(H77)-4)/10000</f>
        <v>23.334299999999999</v>
      </c>
      <c r="AA77" s="73">
        <f t="shared" si="19"/>
        <v>23.2866</v>
      </c>
      <c r="AB77" s="74" t="e">
        <f>VLOOKUP(A77,Enforcements!$C$21:$J$74,8,0)</f>
        <v>#N/A</v>
      </c>
      <c r="AC77" s="74" t="e">
        <f>VLOOKUP(A77,Enforcements!$C$21:$J$74,3,0)</f>
        <v>#N/A</v>
      </c>
    </row>
    <row r="78" spans="1:29" s="2" customFormat="1" x14ac:dyDescent="0.25">
      <c r="A78" s="60" t="s">
        <v>474</v>
      </c>
      <c r="B78" s="60">
        <v>4043</v>
      </c>
      <c r="C78" s="60" t="s">
        <v>62</v>
      </c>
      <c r="D78" s="60" t="s">
        <v>81</v>
      </c>
      <c r="E78" s="30">
        <v>42534.556655092594</v>
      </c>
      <c r="F78" s="30">
        <v>42534.557905092595</v>
      </c>
      <c r="G78" s="38">
        <v>1</v>
      </c>
      <c r="H78" s="30" t="s">
        <v>91</v>
      </c>
      <c r="I78" s="30">
        <v>42534.587326388886</v>
      </c>
      <c r="J78" s="60">
        <v>1</v>
      </c>
      <c r="K78" s="60" t="str">
        <f t="shared" si="20"/>
        <v>4043/4044</v>
      </c>
      <c r="L78" s="60" t="str">
        <f>VLOOKUP(A78,'Trips&amp;Operators'!$C$1:$E$9999,3,FALSE)</f>
        <v>ADANE</v>
      </c>
      <c r="M78" s="12">
        <f t="shared" si="21"/>
        <v>2.9421296290820464E-2</v>
      </c>
      <c r="N78" s="13">
        <f t="shared" si="24"/>
        <v>42.366666658781469</v>
      </c>
      <c r="O78" s="13"/>
      <c r="P78" s="13"/>
      <c r="Q78" s="61"/>
      <c r="R78" s="61"/>
      <c r="S78" s="108">
        <f t="shared" si="22"/>
        <v>1</v>
      </c>
      <c r="T78" s="86" t="str">
        <f t="shared" si="23"/>
        <v>Southbound</v>
      </c>
      <c r="U78" s="109">
        <f>COUNTIFS([1]Variables!$M$2:$M$19,IF(T78="NorthBound","&gt;=","&lt;=")&amp;Y78,[1]Variables!$M$2:$M$19,IF(T78="NorthBound","&lt;=","&gt;=")&amp;Z78)</f>
        <v>12</v>
      </c>
      <c r="V78" s="73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https://search-rtdc-monitor-bjffxe2xuh6vdkpspy63sjmuny.us-east-1.es.amazonaws.com/_plugin/kibana/#/discover/Steve-Slow-Train-Analysis-(2080s-and-2083s)?_g=(refreshInterval:(display:Off,section:0,value:0),time:(from:'2016-06-13 13:20:35-0600',mode:absolute,to:'2016-06-13 14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8" s="73" t="str">
        <f t="shared" si="18"/>
        <v>N</v>
      </c>
      <c r="X78" s="73">
        <f>VALUE(LEFT(A78,3))-VALUE(LEFT(A77,3))</f>
        <v>1</v>
      </c>
      <c r="Y78" s="73">
        <f>RIGHT(D78,LEN(D78)-4)/10000</f>
        <v>23.297699999999999</v>
      </c>
      <c r="Z78" s="73">
        <f>RIGHT(H78,LEN(H78)-4)/10000</f>
        <v>1.49E-2</v>
      </c>
      <c r="AA78" s="73">
        <f t="shared" si="19"/>
        <v>23.282799999999998</v>
      </c>
      <c r="AB78" s="74" t="e">
        <f>VLOOKUP(A78,Enforcements!$C$21:$J$74,8,0)</f>
        <v>#N/A</v>
      </c>
      <c r="AC78" s="74" t="e">
        <f>VLOOKUP(A78,Enforcements!$C$21:$J$74,3,0)</f>
        <v>#N/A</v>
      </c>
    </row>
    <row r="79" spans="1:29" s="2" customFormat="1" x14ac:dyDescent="0.25">
      <c r="A79" s="60" t="s">
        <v>457</v>
      </c>
      <c r="B79" s="60">
        <v>4025</v>
      </c>
      <c r="C79" s="60" t="s">
        <v>62</v>
      </c>
      <c r="D79" s="60" t="s">
        <v>547</v>
      </c>
      <c r="E79" s="30">
        <v>42534.532511574071</v>
      </c>
      <c r="F79" s="30">
        <v>42534.533692129633</v>
      </c>
      <c r="G79" s="38">
        <v>1</v>
      </c>
      <c r="H79" s="30" t="s">
        <v>317</v>
      </c>
      <c r="I79" s="30">
        <v>42534.564062500001</v>
      </c>
      <c r="J79" s="60">
        <v>0</v>
      </c>
      <c r="K79" s="60" t="str">
        <f t="shared" si="20"/>
        <v>4025/4026</v>
      </c>
      <c r="L79" s="60" t="str">
        <f>VLOOKUP(A79,'Trips&amp;Operators'!$C$1:$E$9999,3,FALSE)</f>
        <v>WEBSTER</v>
      </c>
      <c r="M79" s="12">
        <f t="shared" si="21"/>
        <v>3.0370370368473232E-2</v>
      </c>
      <c r="N79" s="13">
        <f t="shared" si="24"/>
        <v>43.733333330601454</v>
      </c>
      <c r="O79" s="13"/>
      <c r="P79" s="13"/>
      <c r="Q79" s="61"/>
      <c r="R79" s="61"/>
      <c r="S79" s="108">
        <f t="shared" si="22"/>
        <v>1</v>
      </c>
      <c r="T79" s="86" t="str">
        <f t="shared" si="23"/>
        <v>NorthBound</v>
      </c>
      <c r="U79" s="109">
        <f>COUNTIFS([1]Variables!$M$2:$M$19,IF(T79="NorthBound","&gt;=","&lt;=")&amp;Y79,[1]Variables!$M$2:$M$19,IF(T79="NorthBound","&lt;=","&gt;=")&amp;Z79)</f>
        <v>12</v>
      </c>
      <c r="V79" s="73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https://search-rtdc-monitor-bjffxe2xuh6vdkpspy63sjmuny.us-east-1.es.amazonaws.com/_plugin/kibana/#/discover/Steve-Slow-Train-Analysis-(2080s-and-2083s)?_g=(refreshInterval:(display:Off,section:0,value:0),time:(from:'2016-06-13 12:45:49-0600',mode:absolute,to:'2016-06-13 13:33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9" s="73" t="str">
        <f t="shared" si="18"/>
        <v>N</v>
      </c>
      <c r="X79" s="73">
        <f>VALUE(LEFT(A79,3))-VALUE(LEFT(A78,3))</f>
        <v>1</v>
      </c>
      <c r="Y79" s="73">
        <f>RIGHT(D79,LEN(D79)-4)/10000</f>
        <v>4.8599999999999997E-2</v>
      </c>
      <c r="Z79" s="73">
        <f>RIGHT(H79,LEN(H79)-4)/10000</f>
        <v>23.331</v>
      </c>
      <c r="AA79" s="73">
        <f t="shared" si="19"/>
        <v>23.282399999999999</v>
      </c>
      <c r="AB79" s="74" t="e">
        <f>VLOOKUP(A79,Enforcements!$C$21:$J$74,8,0)</f>
        <v>#N/A</v>
      </c>
      <c r="AC79" s="74" t="e">
        <f>VLOOKUP(A79,Enforcements!$C$21:$J$74,3,0)</f>
        <v>#N/A</v>
      </c>
    </row>
    <row r="80" spans="1:29" s="2" customFormat="1" x14ac:dyDescent="0.25">
      <c r="A80" s="60" t="s">
        <v>392</v>
      </c>
      <c r="B80" s="60">
        <v>4026</v>
      </c>
      <c r="C80" s="60" t="s">
        <v>62</v>
      </c>
      <c r="D80" s="60" t="s">
        <v>104</v>
      </c>
      <c r="E80" s="30">
        <v>42534.565787037034</v>
      </c>
      <c r="F80" s="30">
        <v>42534.56690972222</v>
      </c>
      <c r="G80" s="38">
        <v>1</v>
      </c>
      <c r="H80" s="30" t="s">
        <v>63</v>
      </c>
      <c r="I80" s="30">
        <v>42534.597928240742</v>
      </c>
      <c r="J80" s="60">
        <v>1</v>
      </c>
      <c r="K80" s="60" t="str">
        <f t="shared" si="20"/>
        <v>4025/4026</v>
      </c>
      <c r="L80" s="60" t="str">
        <f>VLOOKUP(A80,'Trips&amp;Operators'!$C$1:$E$9999,3,FALSE)</f>
        <v>WEBSTER</v>
      </c>
      <c r="M80" s="12">
        <f t="shared" si="21"/>
        <v>3.1018518522614613E-2</v>
      </c>
      <c r="N80" s="13">
        <f t="shared" si="24"/>
        <v>44.666666672565043</v>
      </c>
      <c r="O80" s="13"/>
      <c r="P80" s="13"/>
      <c r="Q80" s="61"/>
      <c r="R80" s="61"/>
      <c r="S80" s="108">
        <f t="shared" si="22"/>
        <v>1</v>
      </c>
      <c r="T80" s="86" t="str">
        <f t="shared" si="23"/>
        <v>Southbound</v>
      </c>
      <c r="U80" s="109">
        <f>COUNTIFS([1]Variables!$M$2:$M$19,IF(T80="NorthBound","&gt;=","&lt;=")&amp;Y80,[1]Variables!$M$2:$M$19,IF(T80="NorthBound","&lt;=","&gt;=")&amp;Z80)</f>
        <v>12</v>
      </c>
      <c r="V80" s="73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https://search-rtdc-monitor-bjffxe2xuh6vdkpspy63sjmuny.us-east-1.es.amazonaws.com/_plugin/kibana/#/discover/Steve-Slow-Train-Analysis-(2080s-and-2083s)?_g=(refreshInterval:(display:Off,section:0,value:0),time:(from:'2016-06-13 13:33:44-0600',mode:absolute,to:'2016-06-13 14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0" s="73" t="str">
        <f t="shared" si="18"/>
        <v>N</v>
      </c>
      <c r="X80" s="73">
        <f>VALUE(LEFT(A80,3))-VALUE(LEFT(A79,3))</f>
        <v>1</v>
      </c>
      <c r="Y80" s="73">
        <f>RIGHT(D80,LEN(D80)-4)/10000</f>
        <v>23.2989</v>
      </c>
      <c r="Z80" s="73">
        <f>RIGHT(H80,LEN(H80)-4)/10000</f>
        <v>1.4500000000000001E-2</v>
      </c>
      <c r="AA80" s="73">
        <f t="shared" si="19"/>
        <v>23.284399999999998</v>
      </c>
      <c r="AB80" s="74">
        <f>VLOOKUP(A80,Enforcements!$C$21:$J$74,8,0)</f>
        <v>1</v>
      </c>
      <c r="AC80" s="74" t="str">
        <f>VLOOKUP(A80,Enforcements!$C$21:$J$74,3,0)</f>
        <v>TRACK WARRANT AUTHORITY</v>
      </c>
    </row>
    <row r="81" spans="1:29" s="2" customFormat="1" x14ac:dyDescent="0.25">
      <c r="A81" s="60" t="s">
        <v>446</v>
      </c>
      <c r="B81" s="60">
        <v>4010</v>
      </c>
      <c r="C81" s="60" t="s">
        <v>62</v>
      </c>
      <c r="D81" s="60" t="s">
        <v>548</v>
      </c>
      <c r="E81" s="30">
        <v>42534.580694444441</v>
      </c>
      <c r="F81" s="30">
        <v>42534.58184027778</v>
      </c>
      <c r="G81" s="38">
        <v>1</v>
      </c>
      <c r="H81" s="30" t="s">
        <v>266</v>
      </c>
      <c r="I81" s="30">
        <v>42534.618460648147</v>
      </c>
      <c r="J81" s="60">
        <v>4</v>
      </c>
      <c r="K81" s="60" t="str">
        <f t="shared" si="20"/>
        <v>4009/4010</v>
      </c>
      <c r="L81" s="60" t="str">
        <f>VLOOKUP(A81,'Trips&amp;Operators'!$C$1:$E$9999,3,FALSE)</f>
        <v>CLAIBORNE</v>
      </c>
      <c r="M81" s="12">
        <f t="shared" si="21"/>
        <v>3.662037036701804E-2</v>
      </c>
      <c r="N81" s="13">
        <f t="shared" si="24"/>
        <v>52.733333328505978</v>
      </c>
      <c r="O81" s="13"/>
      <c r="P81" s="13"/>
      <c r="Q81" s="61"/>
      <c r="R81" s="61"/>
      <c r="S81" s="108">
        <f t="shared" si="22"/>
        <v>1</v>
      </c>
      <c r="T81" s="86" t="str">
        <f t="shared" si="23"/>
        <v>Southbound</v>
      </c>
      <c r="U81" s="109">
        <f>COUNTIFS([1]Variables!$M$2:$M$19,IF(T81="NorthBound","&gt;=","&lt;=")&amp;Y81,[1]Variables!$M$2:$M$19,IF(T81="NorthBound","&lt;=","&gt;=")&amp;Z81)</f>
        <v>12</v>
      </c>
      <c r="V81" s="73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https://search-rtdc-monitor-bjffxe2xuh6vdkpspy63sjmuny.us-east-1.es.amazonaws.com/_plugin/kibana/#/discover/Steve-Slow-Train-Analysis-(2080s-and-2083s)?_g=(refreshInterval:(display:Off,section:0,value:0),time:(from:'2016-06-13 13:55:12-0600',mode:absolute,to:'2016-06-13 14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81" s="73" t="str">
        <f t="shared" ref="W81:W83" si="25">IF(AA81&lt;23,"Y","N")</f>
        <v>N</v>
      </c>
      <c r="X81" s="73">
        <f>VALUE(LEFT(A81,3))-VALUE(LEFT(A80,3))</f>
        <v>2</v>
      </c>
      <c r="Y81" s="73">
        <f>RIGHT(D81,LEN(D81)-4)/10000</f>
        <v>23.296500000000002</v>
      </c>
      <c r="Z81" s="73">
        <v>1.32E-2</v>
      </c>
      <c r="AA81" s="73">
        <f t="shared" ref="AA81:AA83" si="26">ABS(Z81-Y81)</f>
        <v>23.283300000000001</v>
      </c>
      <c r="AB81" s="74" t="e">
        <f>VLOOKUP(A81,Enforcements!$C$21:$J$74,8,0)</f>
        <v>#N/A</v>
      </c>
      <c r="AC81" s="74" t="e">
        <f>VLOOKUP(A81,Enforcements!$C$21:$J$74,3,0)</f>
        <v>#N/A</v>
      </c>
    </row>
    <row r="82" spans="1:29" s="2" customFormat="1" x14ac:dyDescent="0.25">
      <c r="A82" s="60" t="s">
        <v>357</v>
      </c>
      <c r="B82" s="60">
        <v>4020</v>
      </c>
      <c r="C82" s="60" t="s">
        <v>62</v>
      </c>
      <c r="D82" s="60" t="s">
        <v>517</v>
      </c>
      <c r="E82" s="30">
        <v>42534.548692129632</v>
      </c>
      <c r="F82" s="30">
        <v>42534.549826388888</v>
      </c>
      <c r="G82" s="38">
        <v>1</v>
      </c>
      <c r="H82" s="30" t="s">
        <v>508</v>
      </c>
      <c r="I82" s="30">
        <v>42534.585069444445</v>
      </c>
      <c r="J82" s="60">
        <v>1</v>
      </c>
      <c r="K82" s="60" t="str">
        <f t="shared" si="20"/>
        <v>4019/4020</v>
      </c>
      <c r="L82" s="60" t="str">
        <f>VLOOKUP(A82,'Trips&amp;Operators'!$C$1:$E$9999,3,FALSE)</f>
        <v>BRABO</v>
      </c>
      <c r="M82" s="12">
        <f t="shared" si="21"/>
        <v>3.5243055557657499E-2</v>
      </c>
      <c r="N82" s="13">
        <f t="shared" si="24"/>
        <v>50.750000003026798</v>
      </c>
      <c r="O82" s="13"/>
      <c r="P82" s="13"/>
      <c r="Q82" s="61"/>
      <c r="R82" s="61"/>
      <c r="S82" s="108">
        <f t="shared" si="22"/>
        <v>1</v>
      </c>
      <c r="T82" s="86" t="str">
        <f t="shared" si="23"/>
        <v>NorthBound</v>
      </c>
      <c r="U82" s="109">
        <f>COUNTIFS([1]Variables!$M$2:$M$19,IF(T82="NorthBound","&gt;=","&lt;=")&amp;Y82,[1]Variables!$M$2:$M$19,IF(T82="NorthBound","&lt;=","&gt;=")&amp;Z82)</f>
        <v>12</v>
      </c>
      <c r="V82" s="73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https://search-rtdc-monitor-bjffxe2xuh6vdkpspy63sjmuny.us-east-1.es.amazonaws.com/_plugin/kibana/#/discover/Steve-Slow-Train-Analysis-(2080s-and-2083s)?_g=(refreshInterval:(display:Off,section:0,value:0),time:(from:'2016-06-13 13:09:07-0600',mode:absolute,to:'2016-06-13 14:03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2" s="73" t="str">
        <f t="shared" si="25"/>
        <v>N</v>
      </c>
      <c r="X82" s="73">
        <f>VALUE(LEFT(A82,3))-VALUE(LEFT(A81,3))</f>
        <v>1</v>
      </c>
      <c r="Y82" s="73">
        <f>RIGHT(D82,LEN(D82)-4)/10000</f>
        <v>4.7699999999999999E-2</v>
      </c>
      <c r="Z82" s="73">
        <f>RIGHT(H82,LEN(H82)-4)/10000</f>
        <v>23.328700000000001</v>
      </c>
      <c r="AA82" s="73">
        <f t="shared" si="26"/>
        <v>23.281000000000002</v>
      </c>
      <c r="AB82" s="74" t="e">
        <f>VLOOKUP(A82,Enforcements!$C$21:$J$74,8,0)</f>
        <v>#N/A</v>
      </c>
      <c r="AC82" s="74" t="e">
        <f>VLOOKUP(A82,Enforcements!$C$21:$J$74,3,0)</f>
        <v>#N/A</v>
      </c>
    </row>
    <row r="83" spans="1:29" s="2" customFormat="1" x14ac:dyDescent="0.25">
      <c r="A83" s="60" t="s">
        <v>390</v>
      </c>
      <c r="B83" s="60">
        <v>4019</v>
      </c>
      <c r="C83" s="60" t="s">
        <v>62</v>
      </c>
      <c r="D83" s="60" t="s">
        <v>272</v>
      </c>
      <c r="E83" s="30">
        <v>42534.586956018517</v>
      </c>
      <c r="F83" s="30">
        <v>42534.588125000002</v>
      </c>
      <c r="G83" s="38">
        <v>1</v>
      </c>
      <c r="H83" s="30" t="s">
        <v>311</v>
      </c>
      <c r="I83" s="30">
        <v>42534.621238425927</v>
      </c>
      <c r="J83" s="60">
        <v>0</v>
      </c>
      <c r="K83" s="60" t="str">
        <f t="shared" si="20"/>
        <v>4019/4020</v>
      </c>
      <c r="L83" s="60" t="str">
        <f>VLOOKUP(A83,'Trips&amp;Operators'!$C$1:$E$9999,3,FALSE)</f>
        <v>BRABO</v>
      </c>
      <c r="M83" s="12">
        <f t="shared" si="21"/>
        <v>3.3113425924966577E-2</v>
      </c>
      <c r="N83" s="13">
        <f t="shared" si="24"/>
        <v>47.683333331951872</v>
      </c>
      <c r="O83" s="13"/>
      <c r="P83" s="13"/>
      <c r="Q83" s="61"/>
      <c r="R83" s="61"/>
      <c r="S83" s="108">
        <f t="shared" si="22"/>
        <v>1</v>
      </c>
      <c r="T83" s="86" t="str">
        <f t="shared" si="23"/>
        <v>Southbound</v>
      </c>
      <c r="U83" s="109">
        <f>COUNTIFS([1]Variables!$M$2:$M$19,IF(T83="NorthBound","&gt;=","&lt;=")&amp;Y83,[1]Variables!$M$2:$M$19,IF(T83="NorthBound","&lt;=","&gt;=")&amp;Z83)</f>
        <v>12</v>
      </c>
      <c r="V83" s="73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https://search-rtdc-monitor-bjffxe2xuh6vdkpspy63sjmuny.us-east-1.es.amazonaws.com/_plugin/kibana/#/discover/Steve-Slow-Train-Analysis-(2080s-and-2083s)?_g=(refreshInterval:(display:Off,section:0,value:0),time:(from:'2016-06-13 14:04:13-0600',mode:absolute,to:'2016-06-13 14:55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3" s="73" t="str">
        <f t="shared" si="25"/>
        <v>N</v>
      </c>
      <c r="X83" s="73">
        <f>VALUE(LEFT(A83,3))-VALUE(LEFT(A82,3))</f>
        <v>1</v>
      </c>
      <c r="Y83" s="73">
        <f>RIGHT(D83,LEN(D83)-4)/10000</f>
        <v>23.297000000000001</v>
      </c>
      <c r="Z83" s="73">
        <f>RIGHT(H83,LEN(H83)-4)/10000</f>
        <v>1.3599999999999999E-2</v>
      </c>
      <c r="AA83" s="73">
        <f t="shared" si="26"/>
        <v>23.2834</v>
      </c>
      <c r="AB83" s="74" t="e">
        <f>VLOOKUP(A83,Enforcements!$C$21:$J$74,8,0)</f>
        <v>#N/A</v>
      </c>
      <c r="AC83" s="74" t="e">
        <f>VLOOKUP(A83,Enforcements!$C$21:$J$74,3,0)</f>
        <v>#N/A</v>
      </c>
    </row>
    <row r="84" spans="1:29" s="2" customFormat="1" x14ac:dyDescent="0.25">
      <c r="A84" s="60" t="s">
        <v>330</v>
      </c>
      <c r="B84" s="60">
        <v>4011</v>
      </c>
      <c r="C84" s="60" t="s">
        <v>62</v>
      </c>
      <c r="D84" s="60" t="s">
        <v>318</v>
      </c>
      <c r="E84" s="30">
        <v>42534.560185185182</v>
      </c>
      <c r="F84" s="30">
        <v>42534.561354166668</v>
      </c>
      <c r="G84" s="38">
        <v>1</v>
      </c>
      <c r="H84" s="30" t="s">
        <v>270</v>
      </c>
      <c r="I84" s="30">
        <v>42534.595104166663</v>
      </c>
      <c r="J84" s="60">
        <v>0</v>
      </c>
      <c r="K84" s="60" t="str">
        <f t="shared" si="20"/>
        <v>4011/4012</v>
      </c>
      <c r="L84" s="60" t="str">
        <f>VLOOKUP(A84,'Trips&amp;Operators'!$C$1:$E$9999,3,FALSE)</f>
        <v>NELSON</v>
      </c>
      <c r="M84" s="12">
        <f t="shared" si="21"/>
        <v>3.3749999995052349E-2</v>
      </c>
      <c r="N84" s="13">
        <f t="shared" si="24"/>
        <v>48.599999992875382</v>
      </c>
      <c r="O84" s="13"/>
      <c r="P84" s="13"/>
      <c r="Q84" s="61"/>
      <c r="R84" s="61"/>
      <c r="S84" s="108">
        <f t="shared" si="22"/>
        <v>1</v>
      </c>
      <c r="T84" s="86" t="str">
        <f t="shared" si="23"/>
        <v>NorthBound</v>
      </c>
      <c r="U84" s="109">
        <f>COUNTIFS([1]Variables!$M$2:$M$19,IF(T84="NorthBound","&gt;=","&lt;=")&amp;Y84,[1]Variables!$M$2:$M$19,IF(T84="NorthBound","&lt;=","&gt;=")&amp;Z84)</f>
        <v>12</v>
      </c>
      <c r="V84" s="73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https://search-rtdc-monitor-bjffxe2xuh6vdkpspy63sjmuny.us-east-1.es.amazonaws.com/_plugin/kibana/#/discover/Steve-Slow-Train-Analysis-(2080s-and-2083s)?_g=(refreshInterval:(display:Off,section:0,value:0),time:(from:'2016-06-13 13:25:40-0600',mode:absolute,to:'2016-06-13 14:17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4" s="73" t="str">
        <f t="shared" ref="W84:W129" si="27">IF(AA84&lt;23,"Y","N")</f>
        <v>N</v>
      </c>
      <c r="X84" s="73">
        <f>VALUE(LEFT(A84,3))-VALUE(LEFT(A83,3))</f>
        <v>1</v>
      </c>
      <c r="Y84" s="73">
        <f>RIGHT(D84,LEN(D84)-4)/10000</f>
        <v>4.4699999999999997E-2</v>
      </c>
      <c r="Z84" s="73">
        <f>RIGHT(H84,LEN(H84)-4)/10000</f>
        <v>23.3291</v>
      </c>
      <c r="AA84" s="73">
        <f t="shared" ref="AA84:AA129" si="28">ABS(Z84-Y84)</f>
        <v>23.284400000000002</v>
      </c>
      <c r="AB84" s="74" t="e">
        <f>VLOOKUP(A84,Enforcements!$C$21:$J$74,8,0)</f>
        <v>#N/A</v>
      </c>
      <c r="AC84" s="74" t="e">
        <f>VLOOKUP(A84,Enforcements!$C$21:$J$74,3,0)</f>
        <v>#N/A</v>
      </c>
    </row>
    <row r="85" spans="1:29" s="2" customFormat="1" x14ac:dyDescent="0.25">
      <c r="A85" s="60" t="s">
        <v>401</v>
      </c>
      <c r="B85" s="60">
        <v>4012</v>
      </c>
      <c r="C85" s="60" t="s">
        <v>62</v>
      </c>
      <c r="D85" s="60" t="s">
        <v>132</v>
      </c>
      <c r="E85" s="30">
        <v>42534.600590277776</v>
      </c>
      <c r="F85" s="30">
        <v>42534.6015625</v>
      </c>
      <c r="G85" s="38">
        <v>1</v>
      </c>
      <c r="H85" s="30" t="s">
        <v>66</v>
      </c>
      <c r="I85" s="30">
        <v>42534.6327662037</v>
      </c>
      <c r="J85" s="60">
        <v>1</v>
      </c>
      <c r="K85" s="60" t="str">
        <f t="shared" si="20"/>
        <v>4011/4012</v>
      </c>
      <c r="L85" s="60" t="str">
        <f>VLOOKUP(A85,'Trips&amp;Operators'!$C$1:$E$9999,3,FALSE)</f>
        <v>NELSON</v>
      </c>
      <c r="M85" s="12">
        <f t="shared" si="21"/>
        <v>3.1203703700157348E-2</v>
      </c>
      <c r="N85" s="13">
        <f t="shared" si="24"/>
        <v>44.933333328226581</v>
      </c>
      <c r="O85" s="13"/>
      <c r="P85" s="13"/>
      <c r="Q85" s="61"/>
      <c r="R85" s="61"/>
      <c r="S85" s="108">
        <f t="shared" si="22"/>
        <v>1</v>
      </c>
      <c r="T85" s="86" t="str">
        <f t="shared" si="23"/>
        <v>Southbound</v>
      </c>
      <c r="U85" s="109">
        <f>COUNTIFS([1]Variables!$M$2:$M$19,IF(T85="NorthBound","&gt;=","&lt;=")&amp;Y85,[1]Variables!$M$2:$M$19,IF(T85="NorthBound","&lt;=","&gt;=")&amp;Z85)</f>
        <v>12</v>
      </c>
      <c r="V85" s="73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https://search-rtdc-monitor-bjffxe2xuh6vdkpspy63sjmuny.us-east-1.es.amazonaws.com/_plugin/kibana/#/discover/Steve-Slow-Train-Analysis-(2080s-and-2083s)?_g=(refreshInterval:(display:Off,section:0,value:0),time:(from:'2016-06-13 14:23:51-0600',mode:absolute,to:'2016-06-13 15:12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5" s="73" t="str">
        <f t="shared" si="27"/>
        <v>N</v>
      </c>
      <c r="X85" s="73">
        <f>VALUE(LEFT(A85,3))-VALUE(LEFT(A84,3))</f>
        <v>1</v>
      </c>
      <c r="Y85" s="73">
        <f>RIGHT(D85,LEN(D85)-4)/10000</f>
        <v>23.297499999999999</v>
      </c>
      <c r="Z85" s="73">
        <f>RIGHT(H85,LEN(H85)-4)/10000</f>
        <v>1.52E-2</v>
      </c>
      <c r="AA85" s="73">
        <f t="shared" si="28"/>
        <v>23.282299999999999</v>
      </c>
      <c r="AB85" s="74">
        <f>VLOOKUP(A85,Enforcements!$C$21:$J$74,8,0)</f>
        <v>191108</v>
      </c>
      <c r="AC85" s="74" t="str">
        <f>VLOOKUP(A85,Enforcements!$C$21:$J$74,3,0)</f>
        <v>PERMANENT SPEED RESTRICTION</v>
      </c>
    </row>
    <row r="86" spans="1:29" s="2" customFormat="1" x14ac:dyDescent="0.25">
      <c r="A86" s="60" t="s">
        <v>389</v>
      </c>
      <c r="B86" s="60">
        <v>4024</v>
      </c>
      <c r="C86" s="60" t="s">
        <v>62</v>
      </c>
      <c r="D86" s="60" t="s">
        <v>549</v>
      </c>
      <c r="E86" s="30">
        <v>42534.568449074075</v>
      </c>
      <c r="F86" s="30">
        <v>42534.569421296299</v>
      </c>
      <c r="G86" s="38">
        <v>1</v>
      </c>
      <c r="H86" s="30" t="s">
        <v>550</v>
      </c>
      <c r="I86" s="30">
        <v>42534.6015162037</v>
      </c>
      <c r="J86" s="60">
        <v>0</v>
      </c>
      <c r="K86" s="60" t="str">
        <f t="shared" si="20"/>
        <v>4023/4024</v>
      </c>
      <c r="L86" s="60" t="str">
        <f>VLOOKUP(A86,'Trips&amp;Operators'!$C$1:$E$9999,3,FALSE)</f>
        <v>ACKERMAN</v>
      </c>
      <c r="M86" s="12">
        <f t="shared" si="21"/>
        <v>3.2094907401187811E-2</v>
      </c>
      <c r="N86" s="13">
        <f t="shared" si="24"/>
        <v>46.216666657710448</v>
      </c>
      <c r="O86" s="13"/>
      <c r="P86" s="13"/>
      <c r="Q86" s="61"/>
      <c r="R86" s="61"/>
      <c r="S86" s="108">
        <f t="shared" si="22"/>
        <v>1</v>
      </c>
      <c r="T86" s="86" t="str">
        <f t="shared" si="23"/>
        <v>NorthBound</v>
      </c>
      <c r="U86" s="109">
        <f>COUNTIFS([1]Variables!$M$2:$M$19,IF(T86="NorthBound","&gt;=","&lt;=")&amp;Y86,[1]Variables!$M$2:$M$19,IF(T86="NorthBound","&lt;=","&gt;=")&amp;Z86)</f>
        <v>12</v>
      </c>
      <c r="V86" s="73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https://search-rtdc-monitor-bjffxe2xuh6vdkpspy63sjmuny.us-east-1.es.amazonaws.com/_plugin/kibana/#/discover/Steve-Slow-Train-Analysis-(2080s-and-2083s)?_g=(refreshInterval:(display:Off,section:0,value:0),time:(from:'2016-06-13 13:37:34-0600',mode:absolute,to:'2016-06-13 14:27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86" s="73" t="str">
        <f t="shared" si="27"/>
        <v>N</v>
      </c>
      <c r="X86" s="73">
        <f>VALUE(LEFT(A86,3))-VALUE(LEFT(A85,3))</f>
        <v>1</v>
      </c>
      <c r="Y86" s="73">
        <f>RIGHT(D86,LEN(D86)-4)/10000</f>
        <v>5.4600000000000003E-2</v>
      </c>
      <c r="Z86" s="73">
        <f>RIGHT(H86,LEN(H86)-4)/10000</f>
        <v>23.3325</v>
      </c>
      <c r="AA86" s="73">
        <f t="shared" si="28"/>
        <v>23.277899999999999</v>
      </c>
      <c r="AB86" s="74" t="e">
        <f>VLOOKUP(A86,Enforcements!$C$21:$J$74,8,0)</f>
        <v>#N/A</v>
      </c>
      <c r="AC86" s="74" t="e">
        <f>VLOOKUP(A86,Enforcements!$C$21:$J$74,3,0)</f>
        <v>#N/A</v>
      </c>
    </row>
    <row r="87" spans="1:29" s="2" customFormat="1" x14ac:dyDescent="0.25">
      <c r="A87" s="60" t="s">
        <v>377</v>
      </c>
      <c r="B87" s="60">
        <v>4023</v>
      </c>
      <c r="C87" s="60" t="s">
        <v>62</v>
      </c>
      <c r="D87" s="60" t="s">
        <v>110</v>
      </c>
      <c r="E87" s="30">
        <v>42534.607789351852</v>
      </c>
      <c r="F87" s="30">
        <v>42534.608854166669</v>
      </c>
      <c r="G87" s="38">
        <v>1</v>
      </c>
      <c r="H87" s="30" t="s">
        <v>264</v>
      </c>
      <c r="I87" s="30">
        <v>42534.64</v>
      </c>
      <c r="J87" s="60">
        <v>0</v>
      </c>
      <c r="K87" s="60" t="str">
        <f t="shared" si="20"/>
        <v>4023/4024</v>
      </c>
      <c r="L87" s="60" t="str">
        <f>VLOOKUP(A87,'Trips&amp;Operators'!$C$1:$E$9999,3,FALSE)</f>
        <v>ACKERMAN</v>
      </c>
      <c r="M87" s="12">
        <f t="shared" si="21"/>
        <v>3.1145833330811001E-2</v>
      </c>
      <c r="N87" s="13">
        <f t="shared" si="24"/>
        <v>44.849999996367842</v>
      </c>
      <c r="O87" s="13"/>
      <c r="P87" s="13"/>
      <c r="Q87" s="61"/>
      <c r="R87" s="61"/>
      <c r="S87" s="108">
        <f t="shared" si="22"/>
        <v>1</v>
      </c>
      <c r="T87" s="86" t="str">
        <f t="shared" si="23"/>
        <v>Southbound</v>
      </c>
      <c r="U87" s="109">
        <f>COUNTIFS([1]Variables!$M$2:$M$19,IF(T87="NorthBound","&gt;=","&lt;=")&amp;Y87,[1]Variables!$M$2:$M$19,IF(T87="NorthBound","&lt;=","&gt;=")&amp;Z87)</f>
        <v>12</v>
      </c>
      <c r="V87" s="73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https://search-rtdc-monitor-bjffxe2xuh6vdkpspy63sjmuny.us-east-1.es.amazonaws.com/_plugin/kibana/#/discover/Steve-Slow-Train-Analysis-(2080s-and-2083s)?_g=(refreshInterval:(display:Off,section:0,value:0),time:(from:'2016-06-13 14:34:13-0600',mode:absolute,to:'2016-06-13 15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87" s="73" t="str">
        <f t="shared" si="27"/>
        <v>N</v>
      </c>
      <c r="X87" s="73">
        <f>VALUE(LEFT(A87,3))-VALUE(LEFT(A86,3))</f>
        <v>1</v>
      </c>
      <c r="Y87" s="73">
        <f>RIGHT(D87,LEN(D87)-4)/10000</f>
        <v>23.298300000000001</v>
      </c>
      <c r="Z87" s="73">
        <f>RIGHT(H87,LEN(H87)-4)/10000</f>
        <v>1.61E-2</v>
      </c>
      <c r="AA87" s="73">
        <f t="shared" si="28"/>
        <v>23.2822</v>
      </c>
      <c r="AB87" s="74" t="e">
        <f>VLOOKUP(A87,Enforcements!$C$21:$J$74,8,0)</f>
        <v>#N/A</v>
      </c>
      <c r="AC87" s="74" t="e">
        <f>VLOOKUP(A87,Enforcements!$C$21:$J$74,3,0)</f>
        <v>#N/A</v>
      </c>
    </row>
    <row r="88" spans="1:29" s="2" customFormat="1" x14ac:dyDescent="0.25">
      <c r="A88" s="60" t="s">
        <v>412</v>
      </c>
      <c r="B88" s="60">
        <v>4031</v>
      </c>
      <c r="C88" s="60" t="s">
        <v>62</v>
      </c>
      <c r="D88" s="60" t="s">
        <v>86</v>
      </c>
      <c r="E88" s="30">
        <v>42534.578113425923</v>
      </c>
      <c r="F88" s="30">
        <v>42534.579247685186</v>
      </c>
      <c r="G88" s="38">
        <v>1</v>
      </c>
      <c r="H88" s="30" t="s">
        <v>531</v>
      </c>
      <c r="I88" s="30">
        <v>42534.612476851849</v>
      </c>
      <c r="J88" s="60">
        <v>0</v>
      </c>
      <c r="K88" s="60" t="str">
        <f t="shared" si="20"/>
        <v>4031/4032</v>
      </c>
      <c r="L88" s="60" t="str">
        <f>VLOOKUP(A88,'Trips&amp;Operators'!$C$1:$E$9999,3,FALSE)</f>
        <v>COCA</v>
      </c>
      <c r="M88" s="12">
        <f t="shared" si="21"/>
        <v>3.3229166663659271E-2</v>
      </c>
      <c r="N88" s="13">
        <f t="shared" si="24"/>
        <v>47.84999999566935</v>
      </c>
      <c r="O88" s="13"/>
      <c r="P88" s="13"/>
      <c r="Q88" s="61"/>
      <c r="R88" s="61"/>
      <c r="S88" s="108">
        <f t="shared" si="22"/>
        <v>1</v>
      </c>
      <c r="T88" s="86" t="str">
        <f t="shared" si="23"/>
        <v>NorthBound</v>
      </c>
      <c r="U88" s="109">
        <f>COUNTIFS([1]Variables!$M$2:$M$19,IF(T88="NorthBound","&gt;=","&lt;=")&amp;Y88,[1]Variables!$M$2:$M$19,IF(T88="NorthBound","&lt;=","&gt;=")&amp;Z88)</f>
        <v>12</v>
      </c>
      <c r="V88" s="73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https://search-rtdc-monitor-bjffxe2xuh6vdkpspy63sjmuny.us-east-1.es.amazonaws.com/_plugin/kibana/#/discover/Steve-Slow-Train-Analysis-(2080s-and-2083s)?_g=(refreshInterval:(display:Off,section:0,value:0),time:(from:'2016-06-13 13:51:29-0600',mode:absolute,to:'2016-06-13 14:42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8" s="73" t="str">
        <f t="shared" si="27"/>
        <v>N</v>
      </c>
      <c r="X88" s="73">
        <f>VALUE(LEFT(A88,3))-VALUE(LEFT(A87,3))</f>
        <v>1</v>
      </c>
      <c r="Y88" s="73">
        <f>RIGHT(D88,LEN(D88)-4)/10000</f>
        <v>4.5699999999999998E-2</v>
      </c>
      <c r="Z88" s="73">
        <f>RIGHT(H88,LEN(H88)-4)/10000</f>
        <v>23.3307</v>
      </c>
      <c r="AA88" s="73">
        <f t="shared" si="28"/>
        <v>23.285</v>
      </c>
      <c r="AB88" s="74" t="e">
        <f>VLOOKUP(A88,Enforcements!$C$21:$J$74,8,0)</f>
        <v>#N/A</v>
      </c>
      <c r="AC88" s="74" t="e">
        <f>VLOOKUP(A88,Enforcements!$C$21:$J$74,3,0)</f>
        <v>#N/A</v>
      </c>
    </row>
    <row r="89" spans="1:29" s="2" customFormat="1" x14ac:dyDescent="0.25">
      <c r="A89" s="60" t="s">
        <v>391</v>
      </c>
      <c r="B89" s="60">
        <v>4032</v>
      </c>
      <c r="C89" s="60" t="s">
        <v>62</v>
      </c>
      <c r="D89" s="60" t="s">
        <v>67</v>
      </c>
      <c r="E89" s="30">
        <v>42534.619895833333</v>
      </c>
      <c r="F89" s="30">
        <v>42534.620787037034</v>
      </c>
      <c r="G89" s="38">
        <v>1</v>
      </c>
      <c r="H89" s="30" t="s">
        <v>76</v>
      </c>
      <c r="I89" s="30">
        <v>42534.650914351849</v>
      </c>
      <c r="J89" s="60">
        <v>0</v>
      </c>
      <c r="K89" s="60" t="str">
        <f t="shared" si="20"/>
        <v>4031/4032</v>
      </c>
      <c r="L89" s="60" t="str">
        <f>VLOOKUP(A89,'Trips&amp;Operators'!$C$1:$E$9999,3,FALSE)</f>
        <v>COCA</v>
      </c>
      <c r="M89" s="12">
        <f t="shared" si="21"/>
        <v>3.0127314814308193E-2</v>
      </c>
      <c r="N89" s="13">
        <f t="shared" si="24"/>
        <v>43.383333332603797</v>
      </c>
      <c r="O89" s="13"/>
      <c r="P89" s="13"/>
      <c r="Q89" s="61"/>
      <c r="R89" s="61"/>
      <c r="S89" s="108">
        <f t="shared" si="22"/>
        <v>1</v>
      </c>
      <c r="T89" s="86" t="str">
        <f t="shared" si="23"/>
        <v>Southbound</v>
      </c>
      <c r="U89" s="109">
        <f>COUNTIFS([1]Variables!$M$2:$M$19,IF(T89="NorthBound","&gt;=","&lt;=")&amp;Y89,[1]Variables!$M$2:$M$19,IF(T89="NorthBound","&lt;=","&gt;=")&amp;Z89)</f>
        <v>12</v>
      </c>
      <c r="V89" s="73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https://search-rtdc-monitor-bjffxe2xuh6vdkpspy63sjmuny.us-east-1.es.amazonaws.com/_plugin/kibana/#/discover/Steve-Slow-Train-Analysis-(2080s-and-2083s)?_g=(refreshInterval:(display:Off,section:0,value:0),time:(from:'2016-06-13 14:51:39-0600',mode:absolute,to:'2016-06-13 15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9" s="73" t="str">
        <f t="shared" si="27"/>
        <v>N</v>
      </c>
      <c r="X89" s="73">
        <f>VALUE(LEFT(A89,3))-VALUE(LEFT(A88,3))</f>
        <v>1</v>
      </c>
      <c r="Y89" s="73">
        <f>RIGHT(D89,LEN(D89)-4)/10000</f>
        <v>23.299399999999999</v>
      </c>
      <c r="Z89" s="73">
        <f>RIGHT(H89,LEN(H89)-4)/10000</f>
        <v>1.6E-2</v>
      </c>
      <c r="AA89" s="73">
        <f t="shared" si="28"/>
        <v>23.2834</v>
      </c>
      <c r="AB89" s="74" t="e">
        <f>VLOOKUP(A89,Enforcements!$C$21:$J$74,8,0)</f>
        <v>#N/A</v>
      </c>
      <c r="AC89" s="74" t="e">
        <f>VLOOKUP(A89,Enforcements!$C$21:$J$74,3,0)</f>
        <v>#N/A</v>
      </c>
    </row>
    <row r="90" spans="1:29" s="2" customFormat="1" x14ac:dyDescent="0.25">
      <c r="A90" s="60" t="s">
        <v>442</v>
      </c>
      <c r="B90" s="60">
        <v>4044</v>
      </c>
      <c r="C90" s="60" t="s">
        <v>62</v>
      </c>
      <c r="D90" s="60" t="s">
        <v>65</v>
      </c>
      <c r="E90" s="30">
        <v>42534.591481481482</v>
      </c>
      <c r="F90" s="30">
        <v>42534.592395833337</v>
      </c>
      <c r="G90" s="38">
        <v>1</v>
      </c>
      <c r="H90" s="30" t="s">
        <v>270</v>
      </c>
      <c r="I90" s="30">
        <v>42534.620046296295</v>
      </c>
      <c r="J90" s="60">
        <v>0</v>
      </c>
      <c r="K90" s="60" t="str">
        <f t="shared" si="20"/>
        <v>4043/4044</v>
      </c>
      <c r="L90" s="60" t="str">
        <f>VLOOKUP(A90,'Trips&amp;Operators'!$C$1:$E$9999,3,FALSE)</f>
        <v>ADANE</v>
      </c>
      <c r="M90" s="12">
        <f t="shared" si="21"/>
        <v>2.7650462958263233E-2</v>
      </c>
      <c r="N90" s="13">
        <f t="shared" si="24"/>
        <v>39.816666659899056</v>
      </c>
      <c r="O90" s="13"/>
      <c r="P90" s="13"/>
      <c r="Q90" s="61"/>
      <c r="R90" s="61"/>
      <c r="S90" s="108">
        <f t="shared" si="22"/>
        <v>1</v>
      </c>
      <c r="T90" s="86" t="str">
        <f t="shared" si="23"/>
        <v>NorthBound</v>
      </c>
      <c r="U90" s="109">
        <f>COUNTIFS([1]Variables!$M$2:$M$19,IF(T90="NorthBound","&gt;=","&lt;=")&amp;Y90,[1]Variables!$M$2:$M$19,IF(T90="NorthBound","&lt;=","&gt;=")&amp;Z90)</f>
        <v>12</v>
      </c>
      <c r="V90" s="73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https://search-rtdc-monitor-bjffxe2xuh6vdkpspy63sjmuny.us-east-1.es.amazonaws.com/_plugin/kibana/#/discover/Steve-Slow-Train-Analysis-(2080s-and-2083s)?_g=(refreshInterval:(display:Off,section:0,value:0),time:(from:'2016-06-13 14:10:44-0600',mode:absolute,to:'2016-06-13 14:53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0" s="73" t="str">
        <f t="shared" si="27"/>
        <v>N</v>
      </c>
      <c r="X90" s="73">
        <f>VALUE(LEFT(A90,3))-VALUE(LEFT(A89,3))</f>
        <v>1</v>
      </c>
      <c r="Y90" s="73">
        <f>RIGHT(D90,LEN(D90)-4)/10000</f>
        <v>4.5100000000000001E-2</v>
      </c>
      <c r="Z90" s="73">
        <f>RIGHT(H90,LEN(H90)-4)/10000</f>
        <v>23.3291</v>
      </c>
      <c r="AA90" s="73">
        <f t="shared" si="28"/>
        <v>23.283999999999999</v>
      </c>
      <c r="AB90" s="74" t="e">
        <f>VLOOKUP(A90,Enforcements!$C$21:$J$74,8,0)</f>
        <v>#N/A</v>
      </c>
      <c r="AC90" s="74" t="e">
        <f>VLOOKUP(A90,Enforcements!$C$21:$J$74,3,0)</f>
        <v>#N/A</v>
      </c>
    </row>
    <row r="91" spans="1:29" s="2" customFormat="1" x14ac:dyDescent="0.25">
      <c r="A91" s="60" t="s">
        <v>361</v>
      </c>
      <c r="B91" s="60">
        <v>4043</v>
      </c>
      <c r="C91" s="60" t="s">
        <v>62</v>
      </c>
      <c r="D91" s="60" t="s">
        <v>271</v>
      </c>
      <c r="E91" s="30">
        <v>42534.629374999997</v>
      </c>
      <c r="F91" s="30">
        <v>42534.630474537036</v>
      </c>
      <c r="G91" s="38">
        <v>1</v>
      </c>
      <c r="H91" s="30" t="s">
        <v>551</v>
      </c>
      <c r="I91" s="30">
        <v>42534.660891203705</v>
      </c>
      <c r="J91" s="60">
        <v>0</v>
      </c>
      <c r="K91" s="60" t="str">
        <f t="shared" si="20"/>
        <v>4043/4044</v>
      </c>
      <c r="L91" s="60" t="str">
        <f>VLOOKUP(A91,'Trips&amp;Operators'!$C$1:$E$9999,3,FALSE)</f>
        <v>ADANE</v>
      </c>
      <c r="M91" s="12">
        <f t="shared" si="21"/>
        <v>3.0416666668315884E-2</v>
      </c>
      <c r="N91" s="13">
        <f t="shared" si="24"/>
        <v>43.800000002374873</v>
      </c>
      <c r="O91" s="13"/>
      <c r="P91" s="13"/>
      <c r="Q91" s="61"/>
      <c r="R91" s="61"/>
      <c r="S91" s="108">
        <f t="shared" si="22"/>
        <v>1</v>
      </c>
      <c r="T91" s="86" t="str">
        <f t="shared" si="23"/>
        <v>Southbound</v>
      </c>
      <c r="U91" s="109">
        <f>COUNTIFS([1]Variables!$M$2:$M$19,IF(T91="NorthBound","&gt;=","&lt;=")&amp;Y91,[1]Variables!$M$2:$M$19,IF(T91="NorthBound","&lt;=","&gt;=")&amp;Z91)</f>
        <v>12</v>
      </c>
      <c r="V91" s="73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https://search-rtdc-monitor-bjffxe2xuh6vdkpspy63sjmuny.us-east-1.es.amazonaws.com/_plugin/kibana/#/discover/Steve-Slow-Train-Analysis-(2080s-and-2083s)?_g=(refreshInterval:(display:Off,section:0,value:0),time:(from:'2016-06-13 15:05:18-0600',mode:absolute,to:'2016-06-13 15:52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1" s="73" t="str">
        <f t="shared" si="27"/>
        <v>N</v>
      </c>
      <c r="X91" s="73">
        <f>VALUE(LEFT(A91,3))-VALUE(LEFT(A90,3))</f>
        <v>1</v>
      </c>
      <c r="Y91" s="73">
        <f>RIGHT(D91,LEN(D91)-4)/10000</f>
        <v>23.297899999999998</v>
      </c>
      <c r="Z91" s="73">
        <f>RIGHT(H91,LEN(H91)-4)/10000</f>
        <v>1.7600000000000001E-2</v>
      </c>
      <c r="AA91" s="73">
        <f t="shared" si="28"/>
        <v>23.280299999999997</v>
      </c>
      <c r="AB91" s="74" t="e">
        <f>VLOOKUP(A91,Enforcements!$C$21:$J$74,8,0)</f>
        <v>#N/A</v>
      </c>
      <c r="AC91" s="74" t="e">
        <f>VLOOKUP(A91,Enforcements!$C$21:$J$74,3,0)</f>
        <v>#N/A</v>
      </c>
    </row>
    <row r="92" spans="1:29" s="2" customFormat="1" x14ac:dyDescent="0.25">
      <c r="A92" s="60" t="s">
        <v>379</v>
      </c>
      <c r="B92" s="60">
        <v>4025</v>
      </c>
      <c r="C92" s="60" t="s">
        <v>62</v>
      </c>
      <c r="D92" s="60" t="s">
        <v>552</v>
      </c>
      <c r="E92" s="30">
        <v>42534.599293981482</v>
      </c>
      <c r="F92" s="30">
        <v>42534.600416666668</v>
      </c>
      <c r="G92" s="38">
        <v>1</v>
      </c>
      <c r="H92" s="30" t="s">
        <v>308</v>
      </c>
      <c r="I92" s="30">
        <v>42534.630844907406</v>
      </c>
      <c r="J92" s="60">
        <v>1</v>
      </c>
      <c r="K92" s="60" t="str">
        <f t="shared" si="20"/>
        <v>4025/4026</v>
      </c>
      <c r="L92" s="60" t="str">
        <f>VLOOKUP(A92,'Trips&amp;Operators'!$C$1:$E$9999,3,FALSE)</f>
        <v>WEBSTER</v>
      </c>
      <c r="M92" s="12">
        <f t="shared" si="21"/>
        <v>3.0428240737819578E-2</v>
      </c>
      <c r="N92" s="13">
        <f t="shared" si="24"/>
        <v>43.816666662460193</v>
      </c>
      <c r="O92" s="13"/>
      <c r="P92" s="13"/>
      <c r="Q92" s="61"/>
      <c r="R92" s="61"/>
      <c r="S92" s="108">
        <f t="shared" si="22"/>
        <v>1</v>
      </c>
      <c r="T92" s="86" t="str">
        <f t="shared" si="23"/>
        <v>NorthBound</v>
      </c>
      <c r="U92" s="109">
        <f>COUNTIFS([1]Variables!$M$2:$M$19,IF(T92="NorthBound","&gt;=","&lt;=")&amp;Y92,[1]Variables!$M$2:$M$19,IF(T92="NorthBound","&lt;=","&gt;=")&amp;Z92)</f>
        <v>12</v>
      </c>
      <c r="V92" s="73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https://search-rtdc-monitor-bjffxe2xuh6vdkpspy63sjmuny.us-east-1.es.amazonaws.com/_plugin/kibana/#/discover/Steve-Slow-Train-Analysis-(2080s-and-2083s)?_g=(refreshInterval:(display:Off,section:0,value:0),time:(from:'2016-06-13 14:21:59-0600',mode:absolute,to:'2016-06-13 15:09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2" s="73" t="str">
        <f t="shared" si="27"/>
        <v>N</v>
      </c>
      <c r="X92" s="73">
        <f>VALUE(LEFT(A92,3))-VALUE(LEFT(A91,3))</f>
        <v>1</v>
      </c>
      <c r="Y92" s="73">
        <f>RIGHT(D92,LEN(D92)-4)/10000</f>
        <v>4.4900000000000002E-2</v>
      </c>
      <c r="Z92" s="73">
        <f>RIGHT(H92,LEN(H92)-4)/10000</f>
        <v>23.328800000000001</v>
      </c>
      <c r="AA92" s="73">
        <f t="shared" si="28"/>
        <v>23.283900000000003</v>
      </c>
      <c r="AB92" s="74">
        <f>VLOOKUP(A92,Enforcements!$C$21:$J$74,8,0)</f>
        <v>233491</v>
      </c>
      <c r="AC92" s="74" t="str">
        <f>VLOOKUP(A92,Enforcements!$C$21:$J$74,3,0)</f>
        <v>TRACK WARRANT AUTHORITY</v>
      </c>
    </row>
    <row r="93" spans="1:29" s="2" customFormat="1" x14ac:dyDescent="0.25">
      <c r="A93" s="60" t="s">
        <v>348</v>
      </c>
      <c r="B93" s="60">
        <v>4026</v>
      </c>
      <c r="C93" s="60" t="s">
        <v>62</v>
      </c>
      <c r="D93" s="60" t="s">
        <v>126</v>
      </c>
      <c r="E93" s="30">
        <v>42534.641388888886</v>
      </c>
      <c r="F93" s="30">
        <v>42534.642384259256</v>
      </c>
      <c r="G93" s="38">
        <v>1</v>
      </c>
      <c r="H93" s="30" t="s">
        <v>63</v>
      </c>
      <c r="I93" s="30">
        <v>42534.674201388887</v>
      </c>
      <c r="J93" s="60">
        <v>0</v>
      </c>
      <c r="K93" s="60" t="str">
        <f t="shared" si="20"/>
        <v>4025/4026</v>
      </c>
      <c r="L93" s="60" t="str">
        <f>VLOOKUP(A93,'Trips&amp;Operators'!$C$1:$E$9999,3,FALSE)</f>
        <v>WEBSTER</v>
      </c>
      <c r="M93" s="12">
        <f t="shared" si="21"/>
        <v>3.181712963123573E-2</v>
      </c>
      <c r="N93" s="13">
        <f t="shared" si="24"/>
        <v>45.816666668979451</v>
      </c>
      <c r="O93" s="13"/>
      <c r="P93" s="13"/>
      <c r="Q93" s="61"/>
      <c r="R93" s="61"/>
      <c r="S93" s="108">
        <f t="shared" si="22"/>
        <v>1</v>
      </c>
      <c r="T93" s="86" t="str">
        <f t="shared" si="23"/>
        <v>Southbound</v>
      </c>
      <c r="U93" s="109">
        <f>COUNTIFS([1]Variables!$M$2:$M$19,IF(T93="NorthBound","&gt;=","&lt;=")&amp;Y93,[1]Variables!$M$2:$M$19,IF(T93="NorthBound","&lt;=","&gt;=")&amp;Z93)</f>
        <v>12</v>
      </c>
      <c r="V93" s="73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https://search-rtdc-monitor-bjffxe2xuh6vdkpspy63sjmuny.us-east-1.es.amazonaws.com/_plugin/kibana/#/discover/Steve-Slow-Train-Analysis-(2080s-and-2083s)?_g=(refreshInterval:(display:Off,section:0,value:0),time:(from:'2016-06-13 15:22:36-0600',mode:absolute,to:'2016-06-13 16:11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3" s="73" t="str">
        <f t="shared" si="27"/>
        <v>N</v>
      </c>
      <c r="X93" s="73">
        <f>VALUE(LEFT(A93,3))-VALUE(LEFT(A92,3))</f>
        <v>1</v>
      </c>
      <c r="Y93" s="73">
        <f>RIGHT(D93,LEN(D93)-4)/10000</f>
        <v>23.298200000000001</v>
      </c>
      <c r="Z93" s="73">
        <f>RIGHT(H93,LEN(H93)-4)/10000</f>
        <v>1.4500000000000001E-2</v>
      </c>
      <c r="AA93" s="73">
        <f t="shared" si="28"/>
        <v>23.2837</v>
      </c>
      <c r="AB93" s="74" t="e">
        <f>VLOOKUP(A93,Enforcements!$C$21:$J$74,8,0)</f>
        <v>#N/A</v>
      </c>
      <c r="AC93" s="74" t="e">
        <f>VLOOKUP(A93,Enforcements!$C$21:$J$74,3,0)</f>
        <v>#N/A</v>
      </c>
    </row>
    <row r="94" spans="1:29" s="2" customFormat="1" x14ac:dyDescent="0.25">
      <c r="A94" s="60" t="s">
        <v>331</v>
      </c>
      <c r="B94" s="60">
        <v>4009</v>
      </c>
      <c r="C94" s="60" t="s">
        <v>62</v>
      </c>
      <c r="D94" s="60" t="s">
        <v>84</v>
      </c>
      <c r="E94" s="30">
        <v>42534.621423611112</v>
      </c>
      <c r="F94" s="30">
        <v>42534.622581018521</v>
      </c>
      <c r="G94" s="38">
        <v>1</v>
      </c>
      <c r="H94" s="30" t="s">
        <v>112</v>
      </c>
      <c r="I94" s="30">
        <v>42534.649861111109</v>
      </c>
      <c r="J94" s="60">
        <v>0</v>
      </c>
      <c r="K94" s="60" t="str">
        <f t="shared" si="20"/>
        <v>4009/4010</v>
      </c>
      <c r="L94" s="60" t="str">
        <f>VLOOKUP(A94,'Trips&amp;Operators'!$C$1:$E$9999,3,FALSE)</f>
        <v>HELVIE</v>
      </c>
      <c r="M94" s="12">
        <f t="shared" si="21"/>
        <v>2.7280092588625848E-2</v>
      </c>
      <c r="N94" s="13">
        <f t="shared" si="24"/>
        <v>39.283333327621222</v>
      </c>
      <c r="O94" s="13"/>
      <c r="P94" s="13"/>
      <c r="Q94" s="61"/>
      <c r="R94" s="61"/>
      <c r="S94" s="108">
        <f t="shared" si="22"/>
        <v>1</v>
      </c>
      <c r="T94" s="86" t="str">
        <f t="shared" si="23"/>
        <v>NorthBound</v>
      </c>
      <c r="U94" s="109">
        <f>COUNTIFS([1]Variables!$M$2:$M$19,IF(T94="NorthBound","&gt;=","&lt;=")&amp;Y94,[1]Variables!$M$2:$M$19,IF(T94="NorthBound","&lt;=","&gt;=")&amp;Z94)</f>
        <v>12</v>
      </c>
      <c r="V94" s="73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https://search-rtdc-monitor-bjffxe2xuh6vdkpspy63sjmuny.us-east-1.es.amazonaws.com/_plugin/kibana/#/discover/Steve-Slow-Train-Analysis-(2080s-and-2083s)?_g=(refreshInterval:(display:Off,section:0,value:0),time:(from:'2016-06-13 14:53:51-0600',mode:absolute,to:'2016-06-13 15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4" s="73" t="str">
        <f t="shared" si="27"/>
        <v>N</v>
      </c>
      <c r="X94" s="73">
        <f>VALUE(LEFT(A94,3))-VALUE(LEFT(A93,3))</f>
        <v>1</v>
      </c>
      <c r="Y94" s="73">
        <f>RIGHT(D94,LEN(D94)-4)/10000</f>
        <v>4.6199999999999998E-2</v>
      </c>
      <c r="Z94" s="73">
        <f>RIGHT(H94,LEN(H94)-4)/10000</f>
        <v>23.330300000000001</v>
      </c>
      <c r="AA94" s="73">
        <f t="shared" si="28"/>
        <v>23.284100000000002</v>
      </c>
      <c r="AB94" s="74" t="e">
        <f>VLOOKUP(A94,Enforcements!$C$21:$J$74,8,0)</f>
        <v>#N/A</v>
      </c>
      <c r="AC94" s="74" t="e">
        <f>VLOOKUP(A94,Enforcements!$C$21:$J$74,3,0)</f>
        <v>#N/A</v>
      </c>
    </row>
    <row r="95" spans="1:29" s="2" customFormat="1" x14ac:dyDescent="0.25">
      <c r="A95" s="60" t="s">
        <v>439</v>
      </c>
      <c r="B95" s="60">
        <v>4010</v>
      </c>
      <c r="C95" s="60" t="s">
        <v>62</v>
      </c>
      <c r="D95" s="60" t="s">
        <v>274</v>
      </c>
      <c r="E95" s="30">
        <v>42534.651643518519</v>
      </c>
      <c r="F95" s="30">
        <v>42534.652916666666</v>
      </c>
      <c r="G95" s="38">
        <v>1</v>
      </c>
      <c r="H95" s="30" t="s">
        <v>63</v>
      </c>
      <c r="I95" s="30">
        <v>42534.68341435185</v>
      </c>
      <c r="J95" s="60">
        <v>1</v>
      </c>
      <c r="K95" s="60" t="str">
        <f t="shared" si="20"/>
        <v>4009/4010</v>
      </c>
      <c r="L95" s="60" t="str">
        <f>VLOOKUP(A95,'Trips&amp;Operators'!$C$1:$E$9999,3,FALSE)</f>
        <v>HELVIE</v>
      </c>
      <c r="M95" s="12">
        <f t="shared" si="21"/>
        <v>3.0497685183945578E-2</v>
      </c>
      <c r="N95" s="13">
        <f t="shared" si="24"/>
        <v>43.916666664881632</v>
      </c>
      <c r="O95" s="13"/>
      <c r="P95" s="13"/>
      <c r="Q95" s="61"/>
      <c r="R95" s="61"/>
      <c r="S95" s="108">
        <f t="shared" si="22"/>
        <v>1</v>
      </c>
      <c r="T95" s="86" t="str">
        <f t="shared" si="23"/>
        <v>Southbound</v>
      </c>
      <c r="U95" s="109">
        <f>COUNTIFS([1]Variables!$M$2:$M$19,IF(T95="NorthBound","&gt;=","&lt;=")&amp;Y95,[1]Variables!$M$2:$M$19,IF(T95="NorthBound","&lt;=","&gt;=")&amp;Z95)</f>
        <v>12</v>
      </c>
      <c r="V95" s="73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https://search-rtdc-monitor-bjffxe2xuh6vdkpspy63sjmuny.us-east-1.es.amazonaws.com/_plugin/kibana/#/discover/Steve-Slow-Train-Analysis-(2080s-and-2083s)?_g=(refreshInterval:(display:Off,section:0,value:0),time:(from:'2016-06-13 15:37:22-0600',mode:absolute,to:'2016-06-13 16:25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5" s="73" t="str">
        <f t="shared" si="27"/>
        <v>N</v>
      </c>
      <c r="X95" s="73">
        <f>VALUE(LEFT(A95,3))-VALUE(LEFT(A94,3))</f>
        <v>1</v>
      </c>
      <c r="Y95" s="73">
        <f>RIGHT(D95,LEN(D95)-4)/10000</f>
        <v>23.296900000000001</v>
      </c>
      <c r="Z95" s="73">
        <f>RIGHT(H95,LEN(H95)-4)/10000</f>
        <v>1.4500000000000001E-2</v>
      </c>
      <c r="AA95" s="73">
        <f t="shared" si="28"/>
        <v>23.282399999999999</v>
      </c>
      <c r="AB95" s="74" t="e">
        <f>VLOOKUP(A95,Enforcements!$C$21:$J$74,8,0)</f>
        <v>#N/A</v>
      </c>
      <c r="AC95" s="74" t="e">
        <f>VLOOKUP(A95,Enforcements!$C$21:$J$74,3,0)</f>
        <v>#N/A</v>
      </c>
    </row>
    <row r="96" spans="1:29" s="2" customFormat="1" x14ac:dyDescent="0.25">
      <c r="A96" s="60" t="s">
        <v>455</v>
      </c>
      <c r="B96" s="60">
        <v>4020</v>
      </c>
      <c r="C96" s="60" t="s">
        <v>62</v>
      </c>
      <c r="D96" s="60" t="s">
        <v>321</v>
      </c>
      <c r="E96" s="30">
        <v>42534.622974537036</v>
      </c>
      <c r="F96" s="30">
        <v>42534.62394675926</v>
      </c>
      <c r="G96" s="38">
        <v>1</v>
      </c>
      <c r="H96" s="30" t="s">
        <v>314</v>
      </c>
      <c r="I96" s="30">
        <v>42534.652581018519</v>
      </c>
      <c r="J96" s="60">
        <v>0</v>
      </c>
      <c r="K96" s="60" t="str">
        <f t="shared" si="20"/>
        <v>4019/4020</v>
      </c>
      <c r="L96" s="60" t="str">
        <f>VLOOKUP(A96,'Trips&amp;Operators'!$C$1:$E$9999,3,FALSE)</f>
        <v>BRABO</v>
      </c>
      <c r="M96" s="12">
        <f t="shared" si="21"/>
        <v>2.8634259258979E-2</v>
      </c>
      <c r="N96" s="13">
        <f t="shared" si="24"/>
        <v>41.23333333292976</v>
      </c>
      <c r="O96" s="13"/>
      <c r="P96" s="13"/>
      <c r="Q96" s="61"/>
      <c r="R96" s="61"/>
      <c r="S96" s="108">
        <f t="shared" si="22"/>
        <v>1</v>
      </c>
      <c r="T96" s="86" t="str">
        <f t="shared" si="23"/>
        <v>NorthBound</v>
      </c>
      <c r="U96" s="109">
        <f>COUNTIFS([1]Variables!$M$2:$M$19,IF(T96="NorthBound","&gt;=","&lt;=")&amp;Y96,[1]Variables!$M$2:$M$19,IF(T96="NorthBound","&lt;=","&gt;=")&amp;Z96)</f>
        <v>12</v>
      </c>
      <c r="V96" s="73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https://search-rtdc-monitor-bjffxe2xuh6vdkpspy63sjmuny.us-east-1.es.amazonaws.com/_plugin/kibana/#/discover/Steve-Slow-Train-Analysis-(2080s-and-2083s)?_g=(refreshInterval:(display:Off,section:0,value:0),time:(from:'2016-06-13 14:56:05-0600',mode:absolute,to:'2016-06-13 15:40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6" s="73" t="str">
        <f t="shared" si="27"/>
        <v>N</v>
      </c>
      <c r="X96" s="73">
        <f>VALUE(LEFT(A96,3))-VALUE(LEFT(A95,3))</f>
        <v>1</v>
      </c>
      <c r="Y96" s="73">
        <f>RIGHT(D96,LEN(D96)-4)/10000</f>
        <v>4.4600000000000001E-2</v>
      </c>
      <c r="Z96" s="73">
        <f>RIGHT(H96,LEN(H96)-4)/10000</f>
        <v>23.331700000000001</v>
      </c>
      <c r="AA96" s="73">
        <f t="shared" si="28"/>
        <v>23.287100000000002</v>
      </c>
      <c r="AB96" s="74" t="e">
        <f>VLOOKUP(A96,Enforcements!$C$21:$J$74,8,0)</f>
        <v>#N/A</v>
      </c>
      <c r="AC96" s="74" t="e">
        <f>VLOOKUP(A96,Enforcements!$C$21:$J$74,3,0)</f>
        <v>#N/A</v>
      </c>
    </row>
    <row r="97" spans="1:29" s="2" customFormat="1" x14ac:dyDescent="0.25">
      <c r="A97" s="60" t="s">
        <v>478</v>
      </c>
      <c r="B97" s="60">
        <v>4019</v>
      </c>
      <c r="C97" s="60" t="s">
        <v>62</v>
      </c>
      <c r="D97" s="60" t="s">
        <v>309</v>
      </c>
      <c r="E97" s="30">
        <v>42534.660613425927</v>
      </c>
      <c r="F97" s="30">
        <v>42534.661736111113</v>
      </c>
      <c r="G97" s="38">
        <v>1</v>
      </c>
      <c r="H97" s="30" t="s">
        <v>88</v>
      </c>
      <c r="I97" s="30">
        <v>42534.695567129631</v>
      </c>
      <c r="J97" s="60">
        <v>4</v>
      </c>
      <c r="K97" s="60" t="str">
        <f t="shared" si="20"/>
        <v>4019/4020</v>
      </c>
      <c r="L97" s="60" t="str">
        <f>VLOOKUP(A97,'Trips&amp;Operators'!$C$1:$E$9999,3,FALSE)</f>
        <v>BRABO</v>
      </c>
      <c r="M97" s="12">
        <f t="shared" si="21"/>
        <v>3.3831018517958E-2</v>
      </c>
      <c r="N97" s="13">
        <f t="shared" si="24"/>
        <v>48.71666666585952</v>
      </c>
      <c r="O97" s="13"/>
      <c r="P97" s="13"/>
      <c r="Q97" s="61"/>
      <c r="R97" s="61"/>
      <c r="S97" s="108">
        <f t="shared" si="22"/>
        <v>1</v>
      </c>
      <c r="T97" s="86" t="str">
        <f t="shared" si="23"/>
        <v>Southbound</v>
      </c>
      <c r="U97" s="109">
        <f>COUNTIFS([1]Variables!$M$2:$M$19,IF(T97="NorthBound","&gt;=","&lt;=")&amp;Y97,[1]Variables!$M$2:$M$19,IF(T97="NorthBound","&lt;=","&gt;=")&amp;Z97)</f>
        <v>12</v>
      </c>
      <c r="V97" s="73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https://search-rtdc-monitor-bjffxe2xuh6vdkpspy63sjmuny.us-east-1.es.amazonaws.com/_plugin/kibana/#/discover/Steve-Slow-Train-Analysis-(2080s-and-2083s)?_g=(refreshInterval:(display:Off,section:0,value:0),time:(from:'2016-06-13 15:50:17-0600',mode:absolute,to:'2016-06-13 16:42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7" s="73" t="str">
        <f t="shared" si="27"/>
        <v>N</v>
      </c>
      <c r="X97" s="73">
        <f>VALUE(LEFT(A97,3))-VALUE(LEFT(A96,3))</f>
        <v>1</v>
      </c>
      <c r="Y97" s="73">
        <f>RIGHT(D97,LEN(D97)-4)/10000</f>
        <v>23.2987</v>
      </c>
      <c r="Z97" s="73">
        <f>RIGHT(H97,LEN(H97)-4)/10000</f>
        <v>1.3899999999999999E-2</v>
      </c>
      <c r="AA97" s="73">
        <f t="shared" si="28"/>
        <v>23.284800000000001</v>
      </c>
      <c r="AB97" s="74">
        <f>VLOOKUP(A97,Enforcements!$C$21:$J$74,8,0)</f>
        <v>232107</v>
      </c>
      <c r="AC97" s="74" t="str">
        <f>VLOOKUP(A97,Enforcements!$C$21:$J$74,3,0)</f>
        <v>PERMANENT SPEED RESTRICTION</v>
      </c>
    </row>
    <row r="98" spans="1:29" s="2" customFormat="1" x14ac:dyDescent="0.25">
      <c r="A98" s="60" t="s">
        <v>456</v>
      </c>
      <c r="B98" s="60">
        <v>4011</v>
      </c>
      <c r="C98" s="60" t="s">
        <v>62</v>
      </c>
      <c r="D98" s="60" t="s">
        <v>82</v>
      </c>
      <c r="E98" s="30">
        <v>42534.633622685185</v>
      </c>
      <c r="F98" s="30">
        <v>42534.634675925925</v>
      </c>
      <c r="G98" s="38">
        <v>1</v>
      </c>
      <c r="H98" s="30" t="s">
        <v>270</v>
      </c>
      <c r="I98" s="30">
        <v>42534.661990740744</v>
      </c>
      <c r="J98" s="60">
        <v>0</v>
      </c>
      <c r="K98" s="60" t="str">
        <f t="shared" si="20"/>
        <v>4011/4012</v>
      </c>
      <c r="L98" s="60" t="str">
        <f>VLOOKUP(A98,'Trips&amp;Operators'!$C$1:$E$9999,3,FALSE)</f>
        <v>NELSON</v>
      </c>
      <c r="M98" s="12">
        <f t="shared" si="21"/>
        <v>2.7314814818964805E-2</v>
      </c>
      <c r="N98" s="13">
        <f t="shared" si="24"/>
        <v>39.33333333930932</v>
      </c>
      <c r="O98" s="13"/>
      <c r="P98" s="13"/>
      <c r="Q98" s="61"/>
      <c r="R98" s="61"/>
      <c r="S98" s="108">
        <f t="shared" si="22"/>
        <v>1</v>
      </c>
      <c r="T98" s="86" t="str">
        <f t="shared" si="23"/>
        <v>NorthBound</v>
      </c>
      <c r="U98" s="109">
        <f>COUNTIFS([1]Variables!$M$2:$M$19,IF(T98="NorthBound","&gt;=","&lt;=")&amp;Y98,[1]Variables!$M$2:$M$19,IF(T98="NorthBound","&lt;=","&gt;=")&amp;Z98)</f>
        <v>12</v>
      </c>
      <c r="V98" s="73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https://search-rtdc-monitor-bjffxe2xuh6vdkpspy63sjmuny.us-east-1.es.amazonaws.com/_plugin/kibana/#/discover/Steve-Slow-Train-Analysis-(2080s-and-2083s)?_g=(refreshInterval:(display:Off,section:0,value:0),time:(from:'2016-06-13 15:11:25-0600',mode:absolute,to:'2016-06-13 15:54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8" s="73" t="str">
        <f t="shared" si="27"/>
        <v>N</v>
      </c>
      <c r="X98" s="73">
        <f>VALUE(LEFT(A98,3))-VALUE(LEFT(A97,3))</f>
        <v>1</v>
      </c>
      <c r="Y98" s="73">
        <f>RIGHT(D98,LEN(D98)-4)/10000</f>
        <v>4.6600000000000003E-2</v>
      </c>
      <c r="Z98" s="73">
        <f>RIGHT(H98,LEN(H98)-4)/10000</f>
        <v>23.3291</v>
      </c>
      <c r="AA98" s="73">
        <f t="shared" si="28"/>
        <v>23.282499999999999</v>
      </c>
      <c r="AB98" s="74" t="e">
        <f>VLOOKUP(A98,Enforcements!$C$21:$J$74,8,0)</f>
        <v>#N/A</v>
      </c>
      <c r="AC98" s="74" t="e">
        <f>VLOOKUP(A98,Enforcements!$C$21:$J$74,3,0)</f>
        <v>#N/A</v>
      </c>
    </row>
    <row r="99" spans="1:29" s="2" customFormat="1" x14ac:dyDescent="0.25">
      <c r="A99" s="60" t="s">
        <v>475</v>
      </c>
      <c r="B99" s="60">
        <v>4012</v>
      </c>
      <c r="C99" s="60" t="s">
        <v>62</v>
      </c>
      <c r="D99" s="60" t="s">
        <v>98</v>
      </c>
      <c r="E99" s="30">
        <v>42534.668356481481</v>
      </c>
      <c r="F99" s="30">
        <v>42534.669479166667</v>
      </c>
      <c r="G99" s="38">
        <v>1</v>
      </c>
      <c r="H99" s="30" t="s">
        <v>74</v>
      </c>
      <c r="I99" s="30">
        <v>42534.704652777778</v>
      </c>
      <c r="J99" s="60">
        <v>1</v>
      </c>
      <c r="K99" s="60" t="str">
        <f t="shared" ref="K99:K124" si="29">IF(ISEVEN(B99),(B99-1)&amp;"/"&amp;B99,B99&amp;"/"&amp;(B99+1))</f>
        <v>4011/4012</v>
      </c>
      <c r="L99" s="60" t="str">
        <f>VLOOKUP(A99,'Trips&amp;Operators'!$C$1:$E$9999,3,FALSE)</f>
        <v>NELSON</v>
      </c>
      <c r="M99" s="12">
        <f t="shared" ref="M99:M124" si="30">I99-F99</f>
        <v>3.51736111115315E-2</v>
      </c>
      <c r="N99" s="13">
        <f t="shared" si="24"/>
        <v>50.65000000060536</v>
      </c>
      <c r="O99" s="13"/>
      <c r="P99" s="13"/>
      <c r="Q99" s="61"/>
      <c r="R99" s="61"/>
      <c r="S99" s="108">
        <f t="shared" si="22"/>
        <v>1</v>
      </c>
      <c r="T99" s="86" t="str">
        <f t="shared" si="23"/>
        <v>Southbound</v>
      </c>
      <c r="U99" s="109">
        <f>COUNTIFS([1]Variables!$M$2:$M$19,IF(T99="NorthBound","&gt;=","&lt;=")&amp;Y99,[1]Variables!$M$2:$M$19,IF(T99="NorthBound","&lt;=","&gt;=")&amp;Z99)</f>
        <v>12</v>
      </c>
      <c r="V99" s="73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https://search-rtdc-monitor-bjffxe2xuh6vdkpspy63sjmuny.us-east-1.es.amazonaws.com/_plugin/kibana/#/discover/Steve-Slow-Train-Analysis-(2080s-and-2083s)?_g=(refreshInterval:(display:Off,section:0,value:0),time:(from:'2016-06-13 16:01:26-0600',mode:absolute,to:'2016-06-13 16:55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9" s="73" t="str">
        <f t="shared" si="27"/>
        <v>N</v>
      </c>
      <c r="X99" s="73">
        <f>VALUE(LEFT(A99,3))-VALUE(LEFT(A98,3))</f>
        <v>1</v>
      </c>
      <c r="Y99" s="73">
        <f>RIGHT(D99,LEN(D99)-4)/10000</f>
        <v>23.297799999999999</v>
      </c>
      <c r="Z99" s="73">
        <f>RIGHT(H99,LEN(H99)-4)/10000</f>
        <v>1.47E-2</v>
      </c>
      <c r="AA99" s="73">
        <f t="shared" si="28"/>
        <v>23.283099999999997</v>
      </c>
      <c r="AB99" s="74" t="e">
        <f>VLOOKUP(A99,Enforcements!$C$21:$J$74,8,0)</f>
        <v>#N/A</v>
      </c>
      <c r="AC99" s="74" t="e">
        <f>VLOOKUP(A99,Enforcements!$C$21:$J$74,3,0)</f>
        <v>#N/A</v>
      </c>
    </row>
    <row r="100" spans="1:29" s="2" customFormat="1" x14ac:dyDescent="0.25">
      <c r="A100" s="60" t="s">
        <v>388</v>
      </c>
      <c r="B100" s="60">
        <v>4024</v>
      </c>
      <c r="C100" s="60" t="s">
        <v>62</v>
      </c>
      <c r="D100" s="60" t="s">
        <v>552</v>
      </c>
      <c r="E100" s="30">
        <v>42534.642164351855</v>
      </c>
      <c r="F100" s="30">
        <v>42534.643055555556</v>
      </c>
      <c r="G100" s="38">
        <v>1</v>
      </c>
      <c r="H100" s="30" t="s">
        <v>80</v>
      </c>
      <c r="I100" s="30">
        <v>42534.671527777777</v>
      </c>
      <c r="J100" s="60">
        <v>0</v>
      </c>
      <c r="K100" s="60" t="str">
        <f t="shared" si="29"/>
        <v>4023/4024</v>
      </c>
      <c r="L100" s="60" t="str">
        <f>VLOOKUP(A100,'Trips&amp;Operators'!$C$1:$E$9999,3,FALSE)</f>
        <v>ACKERMAN</v>
      </c>
      <c r="M100" s="12">
        <f t="shared" si="30"/>
        <v>2.8472222220443655E-2</v>
      </c>
      <c r="N100" s="13">
        <f t="shared" si="24"/>
        <v>40.999999997438863</v>
      </c>
      <c r="O100" s="13"/>
      <c r="P100" s="13"/>
      <c r="Q100" s="61"/>
      <c r="R100" s="61"/>
      <c r="S100" s="108">
        <f t="shared" si="22"/>
        <v>1</v>
      </c>
      <c r="T100" s="86" t="str">
        <f t="shared" si="23"/>
        <v>NorthBound</v>
      </c>
      <c r="U100" s="109">
        <f>COUNTIFS([1]Variables!$M$2:$M$19,IF(T100="NorthBound","&gt;=","&lt;=")&amp;Y100,[1]Variables!$M$2:$M$19,IF(T100="NorthBound","&lt;=","&gt;=")&amp;Z100)</f>
        <v>12</v>
      </c>
      <c r="V100" s="73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https://search-rtdc-monitor-bjffxe2xuh6vdkpspy63sjmuny.us-east-1.es.amazonaws.com/_plugin/kibana/#/discover/Steve-Slow-Train-Analysis-(2080s-and-2083s)?_g=(refreshInterval:(display:Off,section:0,value:0),time:(from:'2016-06-13 15:23:43-0600',mode:absolute,to:'2016-06-13 16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0" s="73" t="str">
        <f t="shared" si="27"/>
        <v>N</v>
      </c>
      <c r="X100" s="73">
        <f>VALUE(LEFT(A100,3))-VALUE(LEFT(A99,3))</f>
        <v>1</v>
      </c>
      <c r="Y100" s="73">
        <f>RIGHT(D100,LEN(D100)-4)/10000</f>
        <v>4.4900000000000002E-2</v>
      </c>
      <c r="Z100" s="73">
        <f>RIGHT(H100,LEN(H100)-4)/10000</f>
        <v>23.331399999999999</v>
      </c>
      <c r="AA100" s="73">
        <f t="shared" si="28"/>
        <v>23.2865</v>
      </c>
      <c r="AB100" s="74" t="e">
        <f>VLOOKUP(A100,Enforcements!$C$21:$J$74,8,0)</f>
        <v>#N/A</v>
      </c>
      <c r="AC100" s="74" t="e">
        <f>VLOOKUP(A100,Enforcements!$C$21:$J$74,3,0)</f>
        <v>#N/A</v>
      </c>
    </row>
    <row r="101" spans="1:29" s="2" customFormat="1" x14ac:dyDescent="0.25">
      <c r="A101" s="60" t="s">
        <v>386</v>
      </c>
      <c r="B101" s="60">
        <v>4023</v>
      </c>
      <c r="C101" s="60" t="s">
        <v>62</v>
      </c>
      <c r="D101" s="60" t="s">
        <v>75</v>
      </c>
      <c r="E101" s="30">
        <v>42534.678657407407</v>
      </c>
      <c r="F101" s="30">
        <v>42534.679942129631</v>
      </c>
      <c r="G101" s="38">
        <v>1</v>
      </c>
      <c r="H101" s="30" t="s">
        <v>553</v>
      </c>
      <c r="I101" s="30">
        <v>42534.715185185189</v>
      </c>
      <c r="J101" s="60">
        <v>0</v>
      </c>
      <c r="K101" s="60" t="str">
        <f t="shared" si="29"/>
        <v>4023/4024</v>
      </c>
      <c r="L101" s="60" t="str">
        <f>VLOOKUP(A101,'Trips&amp;Operators'!$C$1:$E$9999,3,FALSE)</f>
        <v>ACKERMAN</v>
      </c>
      <c r="M101" s="12">
        <f t="shared" si="30"/>
        <v>3.5243055557657499E-2</v>
      </c>
      <c r="N101" s="13">
        <f t="shared" si="24"/>
        <v>50.750000003026798</v>
      </c>
      <c r="O101" s="13"/>
      <c r="P101" s="13"/>
      <c r="Q101" s="61"/>
      <c r="R101" s="61"/>
      <c r="S101" s="108">
        <f t="shared" si="22"/>
        <v>1</v>
      </c>
      <c r="T101" s="86" t="str">
        <f t="shared" si="23"/>
        <v>Southbound</v>
      </c>
      <c r="U101" s="109">
        <f>COUNTIFS([1]Variables!$M$2:$M$19,IF(T101="NorthBound","&gt;=","&lt;=")&amp;Y101,[1]Variables!$M$2:$M$19,IF(T101="NorthBound","&lt;=","&gt;=")&amp;Z101)</f>
        <v>12</v>
      </c>
      <c r="V101" s="73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https://search-rtdc-monitor-bjffxe2xuh6vdkpspy63sjmuny.us-east-1.es.amazonaws.com/_plugin/kibana/#/discover/Steve-Slow-Train-Analysis-(2080s-and-2083s)?_g=(refreshInterval:(display:Off,section:0,value:0),time:(from:'2016-06-13 16:16:16-0600',mode:absolute,to:'2016-06-13 17:10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1" s="73" t="str">
        <f t="shared" si="27"/>
        <v>N</v>
      </c>
      <c r="X101" s="73">
        <f>VALUE(LEFT(A101,3))-VALUE(LEFT(A100,3))</f>
        <v>1</v>
      </c>
      <c r="Y101" s="73">
        <f>RIGHT(D101,LEN(D101)-4)/10000</f>
        <v>23.299600000000002</v>
      </c>
      <c r="Z101" s="73">
        <f>RIGHT(H101,LEN(H101)-4)/10000</f>
        <v>1.2699999999999999E-2</v>
      </c>
      <c r="AA101" s="73">
        <f t="shared" si="28"/>
        <v>23.286900000000003</v>
      </c>
      <c r="AB101" s="74" t="e">
        <f>VLOOKUP(A101,Enforcements!$C$21:$J$74,8,0)</f>
        <v>#N/A</v>
      </c>
      <c r="AC101" s="74" t="e">
        <f>VLOOKUP(A101,Enforcements!$C$21:$J$74,3,0)</f>
        <v>#N/A</v>
      </c>
    </row>
    <row r="102" spans="1:29" s="2" customFormat="1" x14ac:dyDescent="0.25">
      <c r="A102" s="60" t="s">
        <v>414</v>
      </c>
      <c r="B102" s="60">
        <v>4031</v>
      </c>
      <c r="C102" s="60" t="s">
        <v>62</v>
      </c>
      <c r="D102" s="60" t="s">
        <v>109</v>
      </c>
      <c r="E102" s="30">
        <v>42534.653136574074</v>
      </c>
      <c r="F102" s="30">
        <v>42534.653912037036</v>
      </c>
      <c r="G102" s="38">
        <v>1</v>
      </c>
      <c r="H102" s="30" t="s">
        <v>99</v>
      </c>
      <c r="I102" s="30">
        <v>42534.683946759258</v>
      </c>
      <c r="J102" s="60">
        <v>0</v>
      </c>
      <c r="K102" s="60" t="str">
        <f t="shared" si="29"/>
        <v>4031/4032</v>
      </c>
      <c r="L102" s="60" t="str">
        <f>VLOOKUP(A102,'Trips&amp;Operators'!$C$1:$E$9999,3,FALSE)</f>
        <v>COCA</v>
      </c>
      <c r="M102" s="12">
        <f t="shared" si="30"/>
        <v>3.0034722221898846E-2</v>
      </c>
      <c r="N102" s="13">
        <f t="shared" si="24"/>
        <v>43.249999999534339</v>
      </c>
      <c r="O102" s="13"/>
      <c r="P102" s="13"/>
      <c r="Q102" s="61"/>
      <c r="R102" s="61"/>
      <c r="S102" s="108">
        <f t="shared" si="22"/>
        <v>1</v>
      </c>
      <c r="T102" s="86" t="str">
        <f t="shared" si="23"/>
        <v>NorthBound</v>
      </c>
      <c r="U102" s="109">
        <f>COUNTIFS([1]Variables!$M$2:$M$19,IF(T102="NorthBound","&gt;=","&lt;=")&amp;Y102,[1]Variables!$M$2:$M$19,IF(T102="NorthBound","&lt;=","&gt;=")&amp;Z102)</f>
        <v>12</v>
      </c>
      <c r="V102" s="73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https://search-rtdc-monitor-bjffxe2xuh6vdkpspy63sjmuny.us-east-1.es.amazonaws.com/_plugin/kibana/#/discover/Steve-Slow-Train-Analysis-(2080s-and-2083s)?_g=(refreshInterval:(display:Off,section:0,value:0),time:(from:'2016-06-13 15:39:31-0600',mode:absolute,to:'2016-06-13 16:25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2" s="73" t="str">
        <f t="shared" si="27"/>
        <v>N</v>
      </c>
      <c r="X102" s="73">
        <f>VALUE(LEFT(A102,3))-VALUE(LEFT(A101,3))</f>
        <v>1</v>
      </c>
      <c r="Y102" s="73">
        <f>RIGHT(D102,LEN(D102)-4)/10000</f>
        <v>4.58E-2</v>
      </c>
      <c r="Z102" s="73">
        <f>RIGHT(H102,LEN(H102)-4)/10000</f>
        <v>23.331099999999999</v>
      </c>
      <c r="AA102" s="73">
        <f t="shared" si="28"/>
        <v>23.285299999999999</v>
      </c>
      <c r="AB102" s="74" t="e">
        <f>VLOOKUP(A102,Enforcements!$C$21:$J$74,8,0)</f>
        <v>#N/A</v>
      </c>
      <c r="AC102" s="74" t="e">
        <f>VLOOKUP(A102,Enforcements!$C$21:$J$74,3,0)</f>
        <v>#N/A</v>
      </c>
    </row>
    <row r="103" spans="1:29" s="2" customFormat="1" x14ac:dyDescent="0.25">
      <c r="A103" s="60" t="s">
        <v>375</v>
      </c>
      <c r="B103" s="60">
        <v>4032</v>
      </c>
      <c r="C103" s="60" t="s">
        <v>62</v>
      </c>
      <c r="D103" s="60" t="s">
        <v>67</v>
      </c>
      <c r="E103" s="30">
        <v>42534.692650462966</v>
      </c>
      <c r="F103" s="30">
        <v>42534.693680555552</v>
      </c>
      <c r="G103" s="38">
        <v>1</v>
      </c>
      <c r="H103" s="30" t="s">
        <v>554</v>
      </c>
      <c r="I103" s="30">
        <v>42534.728877314818</v>
      </c>
      <c r="J103" s="60">
        <v>0</v>
      </c>
      <c r="K103" s="60" t="str">
        <f t="shared" si="29"/>
        <v>4031/4032</v>
      </c>
      <c r="L103" s="60" t="str">
        <f>VLOOKUP(A103,'Trips&amp;Operators'!$C$1:$E$9999,3,FALSE)</f>
        <v>COCA</v>
      </c>
      <c r="M103" s="12">
        <f t="shared" si="30"/>
        <v>3.5196759265090805E-2</v>
      </c>
      <c r="N103" s="13"/>
      <c r="O103" s="13"/>
      <c r="P103" s="13">
        <f>24*60*SUM($M103:$M103)</f>
        <v>50.683333341730759</v>
      </c>
      <c r="Q103" s="61"/>
      <c r="R103" s="61" t="s">
        <v>605</v>
      </c>
      <c r="S103" s="108">
        <f t="shared" si="22"/>
        <v>0</v>
      </c>
      <c r="T103" s="86" t="str">
        <f t="shared" si="23"/>
        <v>Southbound</v>
      </c>
      <c r="U103" s="109">
        <f>COUNTIFS([1]Variables!$M$2:$M$19,IF(T103="NorthBound","&gt;=","&lt;=")&amp;Y103,[1]Variables!$M$2:$M$19,IF(T103="NorthBound","&lt;=","&gt;=")&amp;Z103)</f>
        <v>0</v>
      </c>
      <c r="V103" s="73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https://search-rtdc-monitor-bjffxe2xuh6vdkpspy63sjmuny.us-east-1.es.amazonaws.com/_plugin/kibana/#/discover/Steve-Slow-Train-Analysis-(2080s-and-2083s)?_g=(refreshInterval:(display:Off,section:0,value:0),time:(from:'2016-06-13 16:36:25-0600',mode:absolute,to:'2016-06-13 17:30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3" s="73" t="str">
        <f t="shared" si="27"/>
        <v>Y</v>
      </c>
      <c r="X103" s="73">
        <f>VALUE(LEFT(A103,3))-VALUE(LEFT(A102,3))</f>
        <v>1</v>
      </c>
      <c r="Y103" s="73">
        <f>RIGHT(D103,LEN(D103)-4)/10000</f>
        <v>23.299399999999999</v>
      </c>
      <c r="Z103" s="73">
        <f>RIGHT(H103,LEN(H103)-4)/10000</f>
        <v>23.224499999999999</v>
      </c>
      <c r="AA103" s="73">
        <f t="shared" si="28"/>
        <v>7.4899999999999523E-2</v>
      </c>
      <c r="AB103" s="74" t="e">
        <f>VLOOKUP(A103,Enforcements!$C$21:$J$74,8,0)</f>
        <v>#N/A</v>
      </c>
      <c r="AC103" s="74" t="e">
        <f>VLOOKUP(A103,Enforcements!$C$21:$J$74,3,0)</f>
        <v>#N/A</v>
      </c>
    </row>
    <row r="104" spans="1:29" s="2" customFormat="1" x14ac:dyDescent="0.25">
      <c r="A104" s="60" t="s">
        <v>448</v>
      </c>
      <c r="B104" s="60">
        <v>4044</v>
      </c>
      <c r="C104" s="60" t="s">
        <v>62</v>
      </c>
      <c r="D104" s="60" t="s">
        <v>265</v>
      </c>
      <c r="E104" s="30">
        <v>42534.663541666669</v>
      </c>
      <c r="F104" s="30">
        <v>42534.664583333331</v>
      </c>
      <c r="G104" s="38">
        <v>1</v>
      </c>
      <c r="H104" s="30" t="s">
        <v>555</v>
      </c>
      <c r="I104" s="30">
        <v>42534.693738425929</v>
      </c>
      <c r="J104" s="60">
        <v>2</v>
      </c>
      <c r="K104" s="60" t="str">
        <f t="shared" si="29"/>
        <v>4043/4044</v>
      </c>
      <c r="L104" s="60" t="str">
        <f>VLOOKUP(A104,'Trips&amp;Operators'!$C$1:$E$9999,3,FALSE)</f>
        <v>ADANE</v>
      </c>
      <c r="M104" s="12">
        <f t="shared" si="30"/>
        <v>2.9155092597648036E-2</v>
      </c>
      <c r="N104" s="13">
        <f t="shared" ref="N104:P124" si="31">24*60*SUM($M104:$M104)</f>
        <v>41.983333340613171</v>
      </c>
      <c r="O104" s="13"/>
      <c r="P104" s="13"/>
      <c r="Q104" s="61"/>
      <c r="R104" s="61"/>
      <c r="S104" s="108">
        <f t="shared" si="22"/>
        <v>1</v>
      </c>
      <c r="T104" s="86" t="str">
        <f t="shared" si="23"/>
        <v>NorthBound</v>
      </c>
      <c r="U104" s="109">
        <f>COUNTIFS([1]Variables!$M$2:$M$19,IF(T104="NorthBound","&gt;=","&lt;=")&amp;Y104,[1]Variables!$M$2:$M$19,IF(T104="NorthBound","&lt;=","&gt;=")&amp;Z104)</f>
        <v>12</v>
      </c>
      <c r="V104" s="73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https://search-rtdc-monitor-bjffxe2xuh6vdkpspy63sjmuny.us-east-1.es.amazonaws.com/_plugin/kibana/#/discover/Steve-Slow-Train-Analysis-(2080s-and-2083s)?_g=(refreshInterval:(display:Off,section:0,value:0),time:(from:'2016-06-13 15:54:30-0600',mode:absolute,to:'2016-06-13 16:39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4" s="73" t="str">
        <f t="shared" si="27"/>
        <v>N</v>
      </c>
      <c r="X104" s="73">
        <f>VALUE(LEFT(A104,3))-VALUE(LEFT(A103,3))</f>
        <v>1</v>
      </c>
      <c r="Y104" s="73">
        <f>RIGHT(D104,LEN(D104)-4)/10000</f>
        <v>4.7300000000000002E-2</v>
      </c>
      <c r="Z104" s="73">
        <f>RIGHT(H104,LEN(H104)-4)/10000</f>
        <v>23.323599999999999</v>
      </c>
      <c r="AA104" s="73">
        <f t="shared" si="28"/>
        <v>23.276299999999999</v>
      </c>
      <c r="AB104" s="74">
        <f>VLOOKUP(A104,Enforcements!$C$21:$J$74,8,0)</f>
        <v>233491</v>
      </c>
      <c r="AC104" s="74" t="str">
        <f>VLOOKUP(A104,Enforcements!$C$21:$J$74,3,0)</f>
        <v>TRACK WARRANT AUTHORITY</v>
      </c>
    </row>
    <row r="105" spans="1:29" s="2" customFormat="1" x14ac:dyDescent="0.25">
      <c r="A105" s="60" t="s">
        <v>336</v>
      </c>
      <c r="B105" s="60">
        <v>4043</v>
      </c>
      <c r="C105" s="60" t="s">
        <v>62</v>
      </c>
      <c r="D105" s="60" t="s">
        <v>556</v>
      </c>
      <c r="E105" s="30">
        <v>42534.701655092591</v>
      </c>
      <c r="F105" s="30">
        <v>42534.702627314815</v>
      </c>
      <c r="G105" s="38">
        <v>1</v>
      </c>
      <c r="H105" s="30" t="s">
        <v>63</v>
      </c>
      <c r="I105" s="30">
        <v>42534.737199074072</v>
      </c>
      <c r="J105" s="60">
        <v>2</v>
      </c>
      <c r="K105" s="60" t="str">
        <f t="shared" si="29"/>
        <v>4043/4044</v>
      </c>
      <c r="L105" s="60" t="str">
        <f>VLOOKUP(A105,'Trips&amp;Operators'!$C$1:$E$9999,3,FALSE)</f>
        <v>ADANE</v>
      </c>
      <c r="M105" s="12">
        <f t="shared" si="30"/>
        <v>3.457175925723277E-2</v>
      </c>
      <c r="N105" s="13">
        <f t="shared" si="31"/>
        <v>49.783333330415189</v>
      </c>
      <c r="O105" s="13"/>
      <c r="P105" s="13"/>
      <c r="Q105" s="61"/>
      <c r="R105" s="61"/>
      <c r="S105" s="108">
        <f t="shared" si="22"/>
        <v>1</v>
      </c>
      <c r="T105" s="86" t="str">
        <f t="shared" si="23"/>
        <v>Southbound</v>
      </c>
      <c r="U105" s="109">
        <f>COUNTIFS([1]Variables!$M$2:$M$19,IF(T105="NorthBound","&gt;=","&lt;=")&amp;Y105,[1]Variables!$M$2:$M$19,IF(T105="NorthBound","&lt;=","&gt;=")&amp;Z105)</f>
        <v>12</v>
      </c>
      <c r="V105" s="73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https://search-rtdc-monitor-bjffxe2xuh6vdkpspy63sjmuny.us-east-1.es.amazonaws.com/_plugin/kibana/#/discover/Steve-Slow-Train-Analysis-(2080s-and-2083s)?_g=(refreshInterval:(display:Off,section:0,value:0),time:(from:'2016-06-13 16:49:23-0600',mode:absolute,to:'2016-06-13 17:42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5" s="73" t="str">
        <f t="shared" si="27"/>
        <v>N</v>
      </c>
      <c r="X105" s="73">
        <f>VALUE(LEFT(A105,3))-VALUE(LEFT(A104,3))</f>
        <v>1</v>
      </c>
      <c r="Y105" s="73">
        <f>RIGHT(D105,LEN(D105)-4)/10000</f>
        <v>23.2913</v>
      </c>
      <c r="Z105" s="73">
        <f>RIGHT(H105,LEN(H105)-4)/10000</f>
        <v>1.4500000000000001E-2</v>
      </c>
      <c r="AA105" s="73">
        <f t="shared" si="28"/>
        <v>23.276799999999998</v>
      </c>
      <c r="AB105" s="74">
        <f>VLOOKUP(A105,Enforcements!$C$21:$J$74,8,0)</f>
        <v>30562</v>
      </c>
      <c r="AC105" s="74" t="str">
        <f>VLOOKUP(A105,Enforcements!$C$21:$J$74,3,0)</f>
        <v>PERMANENT SPEED RESTRICTION</v>
      </c>
    </row>
    <row r="106" spans="1:29" s="2" customFormat="1" x14ac:dyDescent="0.25">
      <c r="A106" s="60" t="s">
        <v>428</v>
      </c>
      <c r="B106" s="60">
        <v>4025</v>
      </c>
      <c r="C106" s="60" t="s">
        <v>62</v>
      </c>
      <c r="D106" s="60" t="s">
        <v>557</v>
      </c>
      <c r="E106" s="30">
        <v>42534.675428240742</v>
      </c>
      <c r="F106" s="30">
        <v>42534.676412037035</v>
      </c>
      <c r="G106" s="38">
        <v>1</v>
      </c>
      <c r="H106" s="30" t="s">
        <v>558</v>
      </c>
      <c r="I106" s="30">
        <v>42534.706990740742</v>
      </c>
      <c r="J106" s="60">
        <v>0</v>
      </c>
      <c r="K106" s="60" t="str">
        <f t="shared" si="29"/>
        <v>4025/4026</v>
      </c>
      <c r="L106" s="60" t="str">
        <f>VLOOKUP(A106,'Trips&amp;Operators'!$C$1:$E$9999,3,FALSE)</f>
        <v>WEBSTER</v>
      </c>
      <c r="M106" s="12">
        <f t="shared" si="30"/>
        <v>3.0578703706851229E-2</v>
      </c>
      <c r="N106" s="13">
        <f t="shared" si="31"/>
        <v>44.03333333786577</v>
      </c>
      <c r="O106" s="13"/>
      <c r="P106" s="13"/>
      <c r="Q106" s="61"/>
      <c r="R106" s="61"/>
      <c r="S106" s="108">
        <f t="shared" si="22"/>
        <v>1</v>
      </c>
      <c r="T106" s="86" t="str">
        <f t="shared" si="23"/>
        <v>NorthBound</v>
      </c>
      <c r="U106" s="109">
        <f>COUNTIFS([1]Variables!$M$2:$M$19,IF(T106="NorthBound","&gt;=","&lt;=")&amp;Y106,[1]Variables!$M$2:$M$19,IF(T106="NorthBound","&lt;=","&gt;=")&amp;Z106)</f>
        <v>12</v>
      </c>
      <c r="V106" s="73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https://search-rtdc-monitor-bjffxe2xuh6vdkpspy63sjmuny.us-east-1.es.amazonaws.com/_plugin/kibana/#/discover/Steve-Slow-Train-Analysis-(2080s-and-2083s)?_g=(refreshInterval:(display:Off,section:0,value:0),time:(from:'2016-06-13 16:11:37-0600',mode:absolute,to:'2016-06-13 16:59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6" s="73" t="str">
        <f t="shared" si="27"/>
        <v>N</v>
      </c>
      <c r="X106" s="73">
        <f>VALUE(LEFT(A106,3))-VALUE(LEFT(A105,3))</f>
        <v>1</v>
      </c>
      <c r="Y106" s="73">
        <f>RIGHT(D106,LEN(D106)-4)/10000</f>
        <v>4.4400000000000002E-2</v>
      </c>
      <c r="Z106" s="73">
        <f>RIGHT(H106,LEN(H106)-4)/10000</f>
        <v>23.293399999999998</v>
      </c>
      <c r="AA106" s="73">
        <f t="shared" si="28"/>
        <v>23.248999999999999</v>
      </c>
      <c r="AB106" s="74" t="e">
        <f>VLOOKUP(A106,Enforcements!$C$21:$J$74,8,0)</f>
        <v>#N/A</v>
      </c>
      <c r="AC106" s="74" t="e">
        <f>VLOOKUP(A106,Enforcements!$C$21:$J$74,3,0)</f>
        <v>#N/A</v>
      </c>
    </row>
    <row r="107" spans="1:29" s="2" customFormat="1" x14ac:dyDescent="0.25">
      <c r="A107" s="60" t="s">
        <v>359</v>
      </c>
      <c r="B107" s="60">
        <v>4026</v>
      </c>
      <c r="C107" s="60" t="s">
        <v>62</v>
      </c>
      <c r="D107" s="60" t="s">
        <v>559</v>
      </c>
      <c r="E107" s="30">
        <v>42534.713645833333</v>
      </c>
      <c r="F107" s="30">
        <v>42534.714537037034</v>
      </c>
      <c r="G107" s="38">
        <v>1</v>
      </c>
      <c r="H107" s="30" t="s">
        <v>102</v>
      </c>
      <c r="I107" s="30">
        <v>42534.744085648148</v>
      </c>
      <c r="J107" s="60">
        <v>0</v>
      </c>
      <c r="K107" s="60" t="str">
        <f t="shared" si="29"/>
        <v>4025/4026</v>
      </c>
      <c r="L107" s="60" t="str">
        <f>VLOOKUP(A107,'Trips&amp;Operators'!$C$1:$E$9999,3,FALSE)</f>
        <v>WEBSTER</v>
      </c>
      <c r="M107" s="12">
        <f t="shared" si="30"/>
        <v>2.9548611113568768E-2</v>
      </c>
      <c r="N107" s="13">
        <f t="shared" si="31"/>
        <v>42.550000003539026</v>
      </c>
      <c r="O107" s="13"/>
      <c r="P107" s="13"/>
      <c r="Q107" s="61"/>
      <c r="R107" s="61"/>
      <c r="S107" s="108">
        <f t="shared" si="22"/>
        <v>1</v>
      </c>
      <c r="T107" s="86" t="str">
        <f t="shared" si="23"/>
        <v>Southbound</v>
      </c>
      <c r="U107" s="109">
        <f>COUNTIFS([1]Variables!$M$2:$M$19,IF(T107="NorthBound","&gt;=","&lt;=")&amp;Y107,[1]Variables!$M$2:$M$19,IF(T107="NorthBound","&lt;=","&gt;=")&amp;Z107)</f>
        <v>12</v>
      </c>
      <c r="V107" s="73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https://search-rtdc-monitor-bjffxe2xuh6vdkpspy63sjmuny.us-east-1.es.amazonaws.com/_plugin/kibana/#/discover/Steve-Slow-Train-Analysis-(2080s-and-2083s)?_g=(refreshInterval:(display:Off,section:0,value:0),time:(from:'2016-06-13 17:06:39-0600',mode:absolute,to:'2016-06-13 17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7" s="73" t="str">
        <f t="shared" si="27"/>
        <v>N</v>
      </c>
      <c r="X107" s="73">
        <f>VALUE(LEFT(A107,3))-VALUE(LEFT(A106,3))</f>
        <v>1</v>
      </c>
      <c r="Y107" s="73">
        <f>RIGHT(D107,LEN(D107)-4)/10000</f>
        <v>23.261800000000001</v>
      </c>
      <c r="Z107" s="73">
        <f>RIGHT(H107,LEN(H107)-4)/10000</f>
        <v>1.54E-2</v>
      </c>
      <c r="AA107" s="73">
        <f t="shared" si="28"/>
        <v>23.246400000000001</v>
      </c>
      <c r="AB107" s="74" t="e">
        <f>VLOOKUP(A107,Enforcements!$C$21:$J$74,8,0)</f>
        <v>#N/A</v>
      </c>
      <c r="AC107" s="74" t="e">
        <f>VLOOKUP(A107,Enforcements!$C$21:$J$74,3,0)</f>
        <v>#N/A</v>
      </c>
    </row>
    <row r="108" spans="1:29" s="2" customFormat="1" x14ac:dyDescent="0.25">
      <c r="A108" s="60" t="s">
        <v>450</v>
      </c>
      <c r="B108" s="60">
        <v>4009</v>
      </c>
      <c r="C108" s="60" t="s">
        <v>62</v>
      </c>
      <c r="D108" s="60" t="s">
        <v>321</v>
      </c>
      <c r="E108" s="30">
        <v>42534.685601851852</v>
      </c>
      <c r="F108" s="30">
        <v>42534.686620370368</v>
      </c>
      <c r="G108" s="38">
        <v>1</v>
      </c>
      <c r="H108" s="30" t="s">
        <v>270</v>
      </c>
      <c r="I108" s="30">
        <v>42534.714571759258</v>
      </c>
      <c r="J108" s="60">
        <v>0</v>
      </c>
      <c r="K108" s="60" t="str">
        <f t="shared" si="29"/>
        <v>4009/4010</v>
      </c>
      <c r="L108" s="60" t="str">
        <f>VLOOKUP(A108,'Trips&amp;Operators'!$C$1:$E$9999,3,FALSE)</f>
        <v>HELVIE</v>
      </c>
      <c r="M108" s="12">
        <f t="shared" si="30"/>
        <v>2.7951388889050577E-2</v>
      </c>
      <c r="N108" s="13">
        <f t="shared" si="31"/>
        <v>40.250000000232831</v>
      </c>
      <c r="O108" s="13"/>
      <c r="P108" s="13"/>
      <c r="Q108" s="61"/>
      <c r="R108" s="61"/>
      <c r="S108" s="108">
        <f t="shared" si="22"/>
        <v>1</v>
      </c>
      <c r="T108" s="86" t="str">
        <f t="shared" si="23"/>
        <v>NorthBound</v>
      </c>
      <c r="U108" s="109">
        <f>COUNTIFS([1]Variables!$M$2:$M$19,IF(T108="NorthBound","&gt;=","&lt;=")&amp;Y108,[1]Variables!$M$2:$M$19,IF(T108="NorthBound","&lt;=","&gt;=")&amp;Z108)</f>
        <v>12</v>
      </c>
      <c r="V108" s="73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https://search-rtdc-monitor-bjffxe2xuh6vdkpspy63sjmuny.us-east-1.es.amazonaws.com/_plugin/kibana/#/discover/Steve-Slow-Train-Analysis-(2080s-and-2083s)?_g=(refreshInterval:(display:Off,section:0,value:0),time:(from:'2016-06-13 16:26:16-0600',mode:absolute,to:'2016-06-13 17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08" s="73" t="str">
        <f t="shared" si="27"/>
        <v>N</v>
      </c>
      <c r="X108" s="73">
        <f>VALUE(LEFT(A108,3))-VALUE(LEFT(A107,3))</f>
        <v>1</v>
      </c>
      <c r="Y108" s="73">
        <f>RIGHT(D108,LEN(D108)-4)/10000</f>
        <v>4.4600000000000001E-2</v>
      </c>
      <c r="Z108" s="73">
        <f>RIGHT(H108,LEN(H108)-4)/10000</f>
        <v>23.3291</v>
      </c>
      <c r="AA108" s="73">
        <f t="shared" si="28"/>
        <v>23.284500000000001</v>
      </c>
      <c r="AB108" s="74" t="e">
        <f>VLOOKUP(A108,Enforcements!$C$21:$J$74,8,0)</f>
        <v>#N/A</v>
      </c>
      <c r="AC108" s="74" t="e">
        <f>VLOOKUP(A108,Enforcements!$C$21:$J$74,3,0)</f>
        <v>#N/A</v>
      </c>
    </row>
    <row r="109" spans="1:29" s="2" customFormat="1" x14ac:dyDescent="0.25">
      <c r="A109" s="60" t="s">
        <v>416</v>
      </c>
      <c r="B109" s="60">
        <v>4010</v>
      </c>
      <c r="C109" s="60" t="s">
        <v>62</v>
      </c>
      <c r="D109" s="60" t="s">
        <v>269</v>
      </c>
      <c r="E109" s="30">
        <v>42534.721076388887</v>
      </c>
      <c r="F109" s="30">
        <v>42534.722118055557</v>
      </c>
      <c r="G109" s="38">
        <v>1</v>
      </c>
      <c r="H109" s="30" t="s">
        <v>74</v>
      </c>
      <c r="I109" s="30">
        <v>42534.75613425926</v>
      </c>
      <c r="J109" s="60">
        <v>0</v>
      </c>
      <c r="K109" s="60" t="str">
        <f t="shared" si="29"/>
        <v>4009/4010</v>
      </c>
      <c r="L109" s="60" t="str">
        <f>VLOOKUP(A109,'Trips&amp;Operators'!$C$1:$E$9999,3,FALSE)</f>
        <v>HELVIE</v>
      </c>
      <c r="M109" s="12">
        <f t="shared" si="30"/>
        <v>3.4016203702776693E-2</v>
      </c>
      <c r="N109" s="13">
        <f t="shared" si="31"/>
        <v>48.983333331998438</v>
      </c>
      <c r="O109" s="13"/>
      <c r="P109" s="13"/>
      <c r="Q109" s="61"/>
      <c r="R109" s="61"/>
      <c r="S109" s="108">
        <f t="shared" si="22"/>
        <v>1</v>
      </c>
      <c r="T109" s="86" t="str">
        <f t="shared" si="23"/>
        <v>Southbound</v>
      </c>
      <c r="U109" s="109">
        <f>COUNTIFS([1]Variables!$M$2:$M$19,IF(T109="NorthBound","&gt;=","&lt;=")&amp;Y109,[1]Variables!$M$2:$M$19,IF(T109="NorthBound","&lt;=","&gt;=")&amp;Z109)</f>
        <v>12</v>
      </c>
      <c r="V109" s="73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https://search-rtdc-monitor-bjffxe2xuh6vdkpspy63sjmuny.us-east-1.es.amazonaws.com/_plugin/kibana/#/discover/Steve-Slow-Train-Analysis-(2080s-and-2083s)?_g=(refreshInterval:(display:Off,section:0,value:0),time:(from:'2016-06-13 17:17:21-0600',mode:absolute,to:'2016-06-13 18:09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09" s="73" t="str">
        <f t="shared" si="27"/>
        <v>N</v>
      </c>
      <c r="X109" s="73">
        <f>VALUE(LEFT(A109,3))-VALUE(LEFT(A108,3))</f>
        <v>1</v>
      </c>
      <c r="Y109" s="73">
        <f>RIGHT(D109,LEN(D109)-4)/10000</f>
        <v>23.298100000000002</v>
      </c>
      <c r="Z109" s="73">
        <f>RIGHT(H109,LEN(H109)-4)/10000</f>
        <v>1.47E-2</v>
      </c>
      <c r="AA109" s="73">
        <f t="shared" si="28"/>
        <v>23.2834</v>
      </c>
      <c r="AB109" s="74" t="e">
        <f>VLOOKUP(A109,Enforcements!$C$21:$J$74,8,0)</f>
        <v>#N/A</v>
      </c>
      <c r="AC109" s="74" t="e">
        <f>VLOOKUP(A109,Enforcements!$C$21:$J$74,3,0)</f>
        <v>#N/A</v>
      </c>
    </row>
    <row r="110" spans="1:29" s="2" customFormat="1" x14ac:dyDescent="0.25">
      <c r="A110" s="60" t="s">
        <v>437</v>
      </c>
      <c r="B110" s="60">
        <v>4020</v>
      </c>
      <c r="C110" s="60" t="s">
        <v>62</v>
      </c>
      <c r="D110" s="60" t="s">
        <v>273</v>
      </c>
      <c r="E110" s="30">
        <v>42534.696967592594</v>
      </c>
      <c r="F110" s="30">
        <v>42534.698055555556</v>
      </c>
      <c r="G110" s="38">
        <v>1</v>
      </c>
      <c r="H110" s="30" t="s">
        <v>560</v>
      </c>
      <c r="I110" s="30">
        <v>42534.731307870374</v>
      </c>
      <c r="J110" s="60">
        <v>1</v>
      </c>
      <c r="K110" s="60" t="str">
        <f t="shared" si="29"/>
        <v>4019/4020</v>
      </c>
      <c r="L110" s="60" t="str">
        <f>VLOOKUP(A110,'Trips&amp;Operators'!$C$1:$E$9999,3,FALSE)</f>
        <v>BRABO</v>
      </c>
      <c r="M110" s="12">
        <f t="shared" si="30"/>
        <v>3.3252314817218576E-2</v>
      </c>
      <c r="N110" s="13">
        <f t="shared" si="31"/>
        <v>47.883333336794749</v>
      </c>
      <c r="O110" s="13"/>
      <c r="P110" s="13"/>
      <c r="Q110" s="61"/>
      <c r="R110" s="61"/>
      <c r="S110" s="108">
        <f t="shared" si="22"/>
        <v>1</v>
      </c>
      <c r="T110" s="86" t="str">
        <f t="shared" si="23"/>
        <v>NorthBound</v>
      </c>
      <c r="U110" s="109">
        <f>COUNTIFS([1]Variables!$M$2:$M$19,IF(T110="NorthBound","&gt;=","&lt;=")&amp;Y110,[1]Variables!$M$2:$M$19,IF(T110="NorthBound","&lt;=","&gt;=")&amp;Z110)</f>
        <v>12</v>
      </c>
      <c r="V110" s="73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https://search-rtdc-monitor-bjffxe2xuh6vdkpspy63sjmuny.us-east-1.es.amazonaws.com/_plugin/kibana/#/discover/Steve-Slow-Train-Analysis-(2080s-and-2083s)?_g=(refreshInterval:(display:Off,section:0,value:0),time:(from:'2016-06-13 16:42:38-0600',mode:absolute,to:'2016-06-13 17:34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0" s="73" t="str">
        <f t="shared" si="27"/>
        <v>N</v>
      </c>
      <c r="X110" s="73">
        <f>VALUE(LEFT(A110,3))-VALUE(LEFT(A109,3))</f>
        <v>1</v>
      </c>
      <c r="Y110" s="73">
        <f>RIGHT(D110,LEN(D110)-4)/10000</f>
        <v>4.6699999999999998E-2</v>
      </c>
      <c r="Z110" s="73">
        <f>RIGHT(H110,LEN(H110)-4)/10000</f>
        <v>23.325700000000001</v>
      </c>
      <c r="AA110" s="73">
        <f t="shared" si="28"/>
        <v>23.279</v>
      </c>
      <c r="AB110" s="74">
        <f>VLOOKUP(A110,Enforcements!$C$21:$J$74,8,0)</f>
        <v>183829</v>
      </c>
      <c r="AC110" s="74" t="str">
        <f>VLOOKUP(A110,Enforcements!$C$21:$J$74,3,0)</f>
        <v>PERMANENT SPEED RESTRICTION</v>
      </c>
    </row>
    <row r="111" spans="1:29" s="2" customFormat="1" x14ac:dyDescent="0.25">
      <c r="A111" s="60" t="s">
        <v>404</v>
      </c>
      <c r="B111" s="60">
        <v>4019</v>
      </c>
      <c r="C111" s="60" t="s">
        <v>62</v>
      </c>
      <c r="D111" s="60" t="s">
        <v>313</v>
      </c>
      <c r="E111" s="30">
        <v>42534.735821759263</v>
      </c>
      <c r="F111" s="30">
        <v>42534.736759259256</v>
      </c>
      <c r="G111" s="38">
        <v>1</v>
      </c>
      <c r="H111" s="30" t="s">
        <v>72</v>
      </c>
      <c r="I111" s="30">
        <v>42534.76767361111</v>
      </c>
      <c r="J111" s="60">
        <v>0</v>
      </c>
      <c r="K111" s="60" t="str">
        <f t="shared" si="29"/>
        <v>4019/4020</v>
      </c>
      <c r="L111" s="60" t="str">
        <f>VLOOKUP(A111,'Trips&amp;Operators'!$C$1:$E$9999,3,FALSE)</f>
        <v>BRABO</v>
      </c>
      <c r="M111" s="12">
        <f t="shared" si="30"/>
        <v>3.0914351853425615E-2</v>
      </c>
      <c r="N111" s="13">
        <f t="shared" si="31"/>
        <v>44.516666668932885</v>
      </c>
      <c r="O111" s="13"/>
      <c r="P111" s="13"/>
      <c r="Q111" s="61"/>
      <c r="R111" s="61"/>
      <c r="S111" s="108">
        <f t="shared" si="22"/>
        <v>1</v>
      </c>
      <c r="T111" s="86" t="str">
        <f t="shared" si="23"/>
        <v>Southbound</v>
      </c>
      <c r="U111" s="109">
        <f>COUNTIFS([1]Variables!$M$2:$M$19,IF(T111="NorthBound","&gt;=","&lt;=")&amp;Y111,[1]Variables!$M$2:$M$19,IF(T111="NorthBound","&lt;=","&gt;=")&amp;Z111)</f>
        <v>12</v>
      </c>
      <c r="V111" s="73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https://search-rtdc-monitor-bjffxe2xuh6vdkpspy63sjmuny.us-east-1.es.amazonaws.com/_plugin/kibana/#/discover/Steve-Slow-Train-Analysis-(2080s-and-2083s)?_g=(refreshInterval:(display:Off,section:0,value:0),time:(from:'2016-06-13 17:38:35-0600',mode:absolute,to:'2016-06-13 18:26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1" s="73" t="str">
        <f t="shared" si="27"/>
        <v>N</v>
      </c>
      <c r="X111" s="73">
        <f>VALUE(LEFT(A111,3))-VALUE(LEFT(A110,3))</f>
        <v>1</v>
      </c>
      <c r="Y111" s="73">
        <f>RIGHT(D111,LEN(D111)-4)/10000</f>
        <v>23.2957</v>
      </c>
      <c r="Z111" s="73">
        <f>RIGHT(H111,LEN(H111)-4)/10000</f>
        <v>1.4999999999999999E-2</v>
      </c>
      <c r="AA111" s="73">
        <f t="shared" si="28"/>
        <v>23.2807</v>
      </c>
      <c r="AB111" s="74" t="e">
        <f>VLOOKUP(A111,Enforcements!$C$21:$J$74,8,0)</f>
        <v>#N/A</v>
      </c>
      <c r="AC111" s="74" t="e">
        <f>VLOOKUP(A111,Enforcements!$C$21:$J$74,3,0)</f>
        <v>#N/A</v>
      </c>
    </row>
    <row r="112" spans="1:29" s="2" customFormat="1" x14ac:dyDescent="0.25">
      <c r="A112" s="60" t="s">
        <v>453</v>
      </c>
      <c r="B112" s="60">
        <v>4011</v>
      </c>
      <c r="C112" s="60" t="s">
        <v>62</v>
      </c>
      <c r="D112" s="60" t="s">
        <v>552</v>
      </c>
      <c r="E112" s="30">
        <v>42534.705787037034</v>
      </c>
      <c r="F112" s="30">
        <v>42534.706747685188</v>
      </c>
      <c r="G112" s="38">
        <v>1</v>
      </c>
      <c r="H112" s="30" t="s">
        <v>561</v>
      </c>
      <c r="I112" s="30">
        <v>42534.736608796295</v>
      </c>
      <c r="J112" s="60">
        <v>0</v>
      </c>
      <c r="K112" s="60" t="str">
        <f t="shared" si="29"/>
        <v>4011/4012</v>
      </c>
      <c r="L112" s="60" t="str">
        <f>VLOOKUP(A112,'Trips&amp;Operators'!$C$1:$E$9999,3,FALSE)</f>
        <v>NELSON</v>
      </c>
      <c r="M112" s="12">
        <f t="shared" si="30"/>
        <v>2.9861111106583849E-2</v>
      </c>
      <c r="N112" s="13">
        <f t="shared" si="31"/>
        <v>42.999999993480742</v>
      </c>
      <c r="O112" s="13"/>
      <c r="P112" s="13"/>
      <c r="Q112" s="61"/>
      <c r="R112" s="61"/>
      <c r="S112" s="108">
        <f t="shared" si="22"/>
        <v>1</v>
      </c>
      <c r="T112" s="86" t="str">
        <f t="shared" si="23"/>
        <v>NorthBound</v>
      </c>
      <c r="U112" s="109">
        <f>COUNTIFS([1]Variables!$M$2:$M$19,IF(T112="NorthBound","&gt;=","&lt;=")&amp;Y112,[1]Variables!$M$2:$M$19,IF(T112="NorthBound","&lt;=","&gt;=")&amp;Z112)</f>
        <v>12</v>
      </c>
      <c r="V112" s="73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https://search-rtdc-monitor-bjffxe2xuh6vdkpspy63sjmuny.us-east-1.es.amazonaws.com/_plugin/kibana/#/discover/Steve-Slow-Train-Analysis-(2080s-and-2083s)?_g=(refreshInterval:(display:Off,section:0,value:0),time:(from:'2016-06-13 16:55:20-0600',mode:absolute,to:'2016-06-13 17:41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2" s="73" t="str">
        <f t="shared" si="27"/>
        <v>N</v>
      </c>
      <c r="X112" s="73">
        <f>VALUE(LEFT(A112,3))-VALUE(LEFT(A111,3))</f>
        <v>1</v>
      </c>
      <c r="Y112" s="73">
        <f>RIGHT(D112,LEN(D112)-4)/10000</f>
        <v>4.4900000000000002E-2</v>
      </c>
      <c r="Z112" s="73">
        <f>RIGHT(H112,LEN(H112)-4)/10000</f>
        <v>23.293199999999999</v>
      </c>
      <c r="AA112" s="73">
        <f t="shared" si="28"/>
        <v>23.2483</v>
      </c>
      <c r="AB112" s="74" t="e">
        <f>VLOOKUP(A112,Enforcements!$C$21:$J$74,8,0)</f>
        <v>#N/A</v>
      </c>
      <c r="AC112" s="74" t="e">
        <f>VLOOKUP(A112,Enforcements!$C$21:$J$74,3,0)</f>
        <v>#N/A</v>
      </c>
    </row>
    <row r="113" spans="1:29" s="2" customFormat="1" x14ac:dyDescent="0.25">
      <c r="A113" s="60" t="s">
        <v>356</v>
      </c>
      <c r="B113" s="60">
        <v>4012</v>
      </c>
      <c r="C113" s="60" t="s">
        <v>62</v>
      </c>
      <c r="D113" s="60" t="s">
        <v>559</v>
      </c>
      <c r="E113" s="30">
        <v>42534.743831018517</v>
      </c>
      <c r="F113" s="30">
        <v>42534.744745370372</v>
      </c>
      <c r="G113" s="38">
        <v>1</v>
      </c>
      <c r="H113" s="30" t="s">
        <v>74</v>
      </c>
      <c r="I113" s="30">
        <v>42534.778981481482</v>
      </c>
      <c r="J113" s="60">
        <v>0</v>
      </c>
      <c r="K113" s="60" t="str">
        <f t="shared" si="29"/>
        <v>4011/4012</v>
      </c>
      <c r="L113" s="60" t="str">
        <f>VLOOKUP(A113,'Trips&amp;Operators'!$C$1:$E$9999,3,FALSE)</f>
        <v>NELSON</v>
      </c>
      <c r="M113" s="12">
        <f t="shared" si="30"/>
        <v>3.4236111110658385E-2</v>
      </c>
      <c r="N113" s="13">
        <f t="shared" si="31"/>
        <v>49.299999999348074</v>
      </c>
      <c r="O113" s="13"/>
      <c r="P113" s="13"/>
      <c r="Q113" s="61"/>
      <c r="R113" s="61"/>
      <c r="S113" s="108">
        <f t="shared" si="22"/>
        <v>1</v>
      </c>
      <c r="T113" s="86" t="str">
        <f t="shared" si="23"/>
        <v>Southbound</v>
      </c>
      <c r="U113" s="109">
        <f>COUNTIFS([1]Variables!$M$2:$M$19,IF(T113="NorthBound","&gt;=","&lt;=")&amp;Y113,[1]Variables!$M$2:$M$19,IF(T113="NorthBound","&lt;=","&gt;=")&amp;Z113)</f>
        <v>12</v>
      </c>
      <c r="V113" s="73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https://search-rtdc-monitor-bjffxe2xuh6vdkpspy63sjmuny.us-east-1.es.amazonaws.com/_plugin/kibana/#/discover/Steve-Slow-Train-Analysis-(2080s-and-2083s)?_g=(refreshInterval:(display:Off,section:0,value:0),time:(from:'2016-06-13 17:50:07-0600',mode:absolute,to:'2016-06-13 18:42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3" s="73" t="str">
        <f t="shared" si="27"/>
        <v>N</v>
      </c>
      <c r="X113" s="73">
        <f>VALUE(LEFT(A113,3))-VALUE(LEFT(A112,3))</f>
        <v>1</v>
      </c>
      <c r="Y113" s="73">
        <f>RIGHT(D113,LEN(D113)-4)/10000</f>
        <v>23.261800000000001</v>
      </c>
      <c r="Z113" s="73">
        <f>RIGHT(H113,LEN(H113)-4)/10000</f>
        <v>1.47E-2</v>
      </c>
      <c r="AA113" s="73">
        <f t="shared" si="28"/>
        <v>23.2471</v>
      </c>
      <c r="AB113" s="74" t="e">
        <f>VLOOKUP(A113,Enforcements!$C$21:$J$74,8,0)</f>
        <v>#N/A</v>
      </c>
      <c r="AC113" s="74" t="e">
        <f>VLOOKUP(A113,Enforcements!$C$21:$J$74,3,0)</f>
        <v>#N/A</v>
      </c>
    </row>
    <row r="114" spans="1:29" s="2" customFormat="1" x14ac:dyDescent="0.25">
      <c r="A114" s="60" t="s">
        <v>436</v>
      </c>
      <c r="B114" s="60">
        <v>4024</v>
      </c>
      <c r="C114" s="60" t="s">
        <v>62</v>
      </c>
      <c r="D114" s="60" t="s">
        <v>562</v>
      </c>
      <c r="E114" s="30">
        <v>42534.718912037039</v>
      </c>
      <c r="F114" s="30">
        <v>42534.72011574074</v>
      </c>
      <c r="G114" s="38">
        <v>1</v>
      </c>
      <c r="H114" s="30" t="s">
        <v>510</v>
      </c>
      <c r="I114" s="30">
        <v>42534.721145833333</v>
      </c>
      <c r="J114" s="60">
        <v>0</v>
      </c>
      <c r="K114" s="60" t="str">
        <f t="shared" si="29"/>
        <v>4023/4024</v>
      </c>
      <c r="L114" s="60" t="str">
        <f>VLOOKUP(A114,'Trips&amp;Operators'!$C$1:$E$9999,3,FALSE)</f>
        <v>YOUNG</v>
      </c>
      <c r="M114" s="12">
        <f t="shared" si="30"/>
        <v>1.0300925932824612E-3</v>
      </c>
      <c r="N114" s="13"/>
      <c r="O114" s="13"/>
      <c r="P114" s="13">
        <f t="shared" si="31"/>
        <v>1.4833333343267441</v>
      </c>
      <c r="Q114" s="61"/>
      <c r="R114" s="61" t="s">
        <v>610</v>
      </c>
      <c r="S114" s="108">
        <f t="shared" si="22"/>
        <v>1</v>
      </c>
      <c r="T114" s="86" t="str">
        <f t="shared" si="23"/>
        <v>NorthBound</v>
      </c>
      <c r="U114" s="109">
        <f>COUNTIFS([1]Variables!$M$2:$M$19,IF(T114="NorthBound","&gt;=","&lt;=")&amp;Y114,[1]Variables!$M$2:$M$19,IF(T114="NorthBound","&lt;=","&gt;=")&amp;Z114)</f>
        <v>12</v>
      </c>
      <c r="V114" s="73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https://search-rtdc-monitor-bjffxe2xuh6vdkpspy63sjmuny.us-east-1.es.amazonaws.com/_plugin/kibana/#/discover/Steve-Slow-Train-Analysis-(2080s-and-2083s)?_g=(refreshInterval:(display:Off,section:0,value:0),time:(from:'2016-06-13 17:14:14-0600',mode:absolute,to:'2016-06-13 17:19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4" s="73" t="str">
        <f t="shared" si="27"/>
        <v>N</v>
      </c>
      <c r="X114" s="73">
        <f>VALUE(LEFT(A114,3))-VALUE(LEFT(A113,3))</f>
        <v>1</v>
      </c>
      <c r="Y114" s="73">
        <f>RIGHT(D114,LEN(D114)-4)/10000</f>
        <v>4.3299999999999998E-2</v>
      </c>
      <c r="Z114" s="73">
        <f>RIGHT(H114,LEN(H114)-4)/10000</f>
        <v>23.327000000000002</v>
      </c>
      <c r="AA114" s="73">
        <f t="shared" si="28"/>
        <v>23.283700000000003</v>
      </c>
      <c r="AB114" s="74" t="e">
        <f>VLOOKUP(A114,Enforcements!$C$21:$J$74,8,0)</f>
        <v>#N/A</v>
      </c>
      <c r="AC114" s="74" t="e">
        <f>VLOOKUP(A114,Enforcements!$C$21:$J$74,3,0)</f>
        <v>#N/A</v>
      </c>
    </row>
    <row r="115" spans="1:29" s="2" customFormat="1" x14ac:dyDescent="0.25">
      <c r="A115" s="60" t="s">
        <v>393</v>
      </c>
      <c r="B115" s="60">
        <v>4023</v>
      </c>
      <c r="C115" s="60" t="s">
        <v>62</v>
      </c>
      <c r="D115" s="60" t="s">
        <v>104</v>
      </c>
      <c r="E115" s="30">
        <v>42534.756053240744</v>
      </c>
      <c r="F115" s="30">
        <v>42534.757453703707</v>
      </c>
      <c r="G115" s="38">
        <v>2</v>
      </c>
      <c r="H115" s="30" t="s">
        <v>563</v>
      </c>
      <c r="I115" s="30">
        <v>42534.788217592592</v>
      </c>
      <c r="J115" s="60">
        <v>0</v>
      </c>
      <c r="K115" s="60" t="str">
        <f t="shared" si="29"/>
        <v>4023/4024</v>
      </c>
      <c r="L115" s="60" t="str">
        <f>VLOOKUP(A115,'Trips&amp;Operators'!$C$1:$E$9999,3,FALSE)</f>
        <v>YOUNG</v>
      </c>
      <c r="M115" s="12">
        <f t="shared" si="30"/>
        <v>3.0763888884393964E-2</v>
      </c>
      <c r="N115" s="13">
        <f t="shared" si="31"/>
        <v>44.299999993527308</v>
      </c>
      <c r="O115" s="13"/>
      <c r="P115" s="13"/>
      <c r="Q115" s="61"/>
      <c r="R115" s="61"/>
      <c r="S115" s="108">
        <f t="shared" si="22"/>
        <v>1</v>
      </c>
      <c r="T115" s="86" t="str">
        <f t="shared" si="23"/>
        <v>Southbound</v>
      </c>
      <c r="U115" s="109">
        <f>COUNTIFS([1]Variables!$M$2:$M$19,IF(T115="NorthBound","&gt;=","&lt;=")&amp;Y115,[1]Variables!$M$2:$M$19,IF(T115="NorthBound","&lt;=","&gt;=")&amp;Z115)</f>
        <v>12</v>
      </c>
      <c r="V115" s="73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https://search-rtdc-monitor-bjffxe2xuh6vdkpspy63sjmuny.us-east-1.es.amazonaws.com/_plugin/kibana/#/discover/Steve-Slow-Train-Analysis-(2080s-and-2083s)?_g=(refreshInterval:(display:Off,section:0,value:0),time:(from:'2016-06-13 18:07:43-0600',mode:absolute,to:'2016-06-13 18:56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15" s="73" t="str">
        <f t="shared" si="27"/>
        <v>N</v>
      </c>
      <c r="X115" s="73">
        <f>VALUE(LEFT(A115,3))-VALUE(LEFT(A114,3))</f>
        <v>1</v>
      </c>
      <c r="Y115" s="73">
        <f>RIGHT(D115,LEN(D115)-4)/10000</f>
        <v>23.2989</v>
      </c>
      <c r="Z115" s="73">
        <f>RIGHT(H115,LEN(H115)-4)/10000</f>
        <v>0.15670000000000001</v>
      </c>
      <c r="AA115" s="73">
        <f t="shared" si="28"/>
        <v>23.142199999999999</v>
      </c>
      <c r="AB115" s="74" t="e">
        <f>VLOOKUP(A115,Enforcements!$C$21:$J$74,8,0)</f>
        <v>#N/A</v>
      </c>
      <c r="AC115" s="74" t="e">
        <f>VLOOKUP(A115,Enforcements!$C$21:$J$74,3,0)</f>
        <v>#N/A</v>
      </c>
    </row>
    <row r="116" spans="1:29" s="2" customFormat="1" x14ac:dyDescent="0.25">
      <c r="A116" s="60" t="s">
        <v>343</v>
      </c>
      <c r="B116" s="60">
        <v>4040</v>
      </c>
      <c r="C116" s="60" t="s">
        <v>62</v>
      </c>
      <c r="D116" s="60" t="s">
        <v>557</v>
      </c>
      <c r="E116" s="30">
        <v>42534.72625</v>
      </c>
      <c r="F116" s="30">
        <v>42534.727071759262</v>
      </c>
      <c r="G116" s="38">
        <v>1</v>
      </c>
      <c r="H116" s="30" t="s">
        <v>564</v>
      </c>
      <c r="I116" s="30">
        <v>42534.759282407409</v>
      </c>
      <c r="J116" s="60">
        <v>1</v>
      </c>
      <c r="K116" s="60" t="str">
        <f t="shared" si="29"/>
        <v>4039/4040</v>
      </c>
      <c r="L116" s="60" t="str">
        <f>VLOOKUP(A116,'Trips&amp;Operators'!$C$1:$E$9999,3,FALSE)</f>
        <v>CHIONE</v>
      </c>
      <c r="M116" s="12">
        <f t="shared" si="30"/>
        <v>3.2210648147156462E-2</v>
      </c>
      <c r="N116" s="13">
        <f t="shared" si="31"/>
        <v>46.383333331905305</v>
      </c>
      <c r="O116" s="13"/>
      <c r="P116" s="13"/>
      <c r="Q116" s="61"/>
      <c r="R116" s="61"/>
      <c r="S116" s="108">
        <f t="shared" si="22"/>
        <v>1</v>
      </c>
      <c r="T116" s="86" t="str">
        <f t="shared" si="23"/>
        <v>NorthBound</v>
      </c>
      <c r="U116" s="109">
        <f>COUNTIFS([1]Variables!$M$2:$M$19,IF(T116="NorthBound","&gt;=","&lt;=")&amp;Y116,[1]Variables!$M$2:$M$19,IF(T116="NorthBound","&lt;=","&gt;=")&amp;Z116)</f>
        <v>12</v>
      </c>
      <c r="V116" s="73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https://search-rtdc-monitor-bjffxe2xuh6vdkpspy63sjmuny.us-east-1.es.amazonaws.com/_plugin/kibana/#/discover/Steve-Slow-Train-Analysis-(2080s-and-2083s)?_g=(refreshInterval:(display:Off,section:0,value:0),time:(from:'2016-06-13 17:24:48-0600',mode:absolute,to:'2016-06-13 18:14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6" s="73" t="str">
        <f t="shared" si="27"/>
        <v>N</v>
      </c>
      <c r="X116" s="73">
        <f>VALUE(LEFT(A116,3))-VALUE(LEFT(A115,3))</f>
        <v>1</v>
      </c>
      <c r="Y116" s="73">
        <f>RIGHT(D116,LEN(D116)-4)/10000</f>
        <v>4.4400000000000002E-2</v>
      </c>
      <c r="Z116" s="73">
        <f>RIGHT(H116,LEN(H116)-4)/10000</f>
        <v>23.303999999999998</v>
      </c>
      <c r="AA116" s="73">
        <f t="shared" si="28"/>
        <v>23.259599999999999</v>
      </c>
      <c r="AB116" s="74">
        <f>VLOOKUP(A116,Enforcements!$C$21:$J$74,8,0)</f>
        <v>233491</v>
      </c>
      <c r="AC116" s="74" t="str">
        <f>VLOOKUP(A116,Enforcements!$C$21:$J$74,3,0)</f>
        <v>TRACK WARRANT AUTHORITY</v>
      </c>
    </row>
    <row r="117" spans="1:29" s="2" customFormat="1" x14ac:dyDescent="0.25">
      <c r="A117" s="60" t="s">
        <v>424</v>
      </c>
      <c r="B117" s="60">
        <v>4039</v>
      </c>
      <c r="C117" s="60" t="s">
        <v>62</v>
      </c>
      <c r="D117" s="60" t="s">
        <v>565</v>
      </c>
      <c r="E117" s="30">
        <v>42534.765150462961</v>
      </c>
      <c r="F117" s="30">
        <v>42534.766851851855</v>
      </c>
      <c r="G117" s="38">
        <v>2</v>
      </c>
      <c r="H117" s="30" t="s">
        <v>566</v>
      </c>
      <c r="I117" s="30">
        <v>42534.801388888889</v>
      </c>
      <c r="J117" s="60">
        <v>1</v>
      </c>
      <c r="K117" s="60" t="str">
        <f t="shared" si="29"/>
        <v>4039/4040</v>
      </c>
      <c r="L117" s="60" t="str">
        <f>VLOOKUP(A117,'Trips&amp;Operators'!$C$1:$E$9999,3,FALSE)</f>
        <v>CHIONE</v>
      </c>
      <c r="M117" s="12">
        <f t="shared" si="30"/>
        <v>3.4537037034169771E-2</v>
      </c>
      <c r="N117" s="13">
        <f t="shared" si="31"/>
        <v>49.73333332920447</v>
      </c>
      <c r="O117" s="13"/>
      <c r="P117" s="13"/>
      <c r="Q117" s="61"/>
      <c r="R117" s="61"/>
      <c r="S117" s="108">
        <f t="shared" si="22"/>
        <v>1</v>
      </c>
      <c r="T117" s="86" t="str">
        <f t="shared" si="23"/>
        <v>Southbound</v>
      </c>
      <c r="U117" s="109">
        <f>COUNTIFS([1]Variables!$M$2:$M$19,IF(T117="NorthBound","&gt;=","&lt;=")&amp;Y117,[1]Variables!$M$2:$M$19,IF(T117="NorthBound","&lt;=","&gt;=")&amp;Z117)</f>
        <v>12</v>
      </c>
      <c r="V117" s="73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https://search-rtdc-monitor-bjffxe2xuh6vdkpspy63sjmuny.us-east-1.es.amazonaws.com/_plugin/kibana/#/discover/Steve-Slow-Train-Analysis-(2080s-and-2083s)?_g=(refreshInterval:(display:Off,section:0,value:0),time:(from:'2016-06-13 18:20:49-0600',mode:absolute,to:'2016-06-13 19:15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7" s="73" t="str">
        <f t="shared" si="27"/>
        <v>N</v>
      </c>
      <c r="X117" s="73">
        <f>VALUE(LEFT(A117,3))-VALUE(LEFT(A116,3))</f>
        <v>1</v>
      </c>
      <c r="Y117" s="73">
        <f>RIGHT(D117,LEN(D117)-4)/10000</f>
        <v>23.271899999999999</v>
      </c>
      <c r="Z117" s="73">
        <f>RIGHT(H117,LEN(H117)-4)/10000</f>
        <v>2.07E-2</v>
      </c>
      <c r="AA117" s="73">
        <f t="shared" si="28"/>
        <v>23.251199999999997</v>
      </c>
      <c r="AB117" s="74">
        <f>VLOOKUP(A117,Enforcements!$C$21:$J$74,8,0)</f>
        <v>1</v>
      </c>
      <c r="AC117" s="74" t="str">
        <f>VLOOKUP(A117,Enforcements!$C$21:$J$74,3,0)</f>
        <v>TRACK WARRANT AUTHORITY</v>
      </c>
    </row>
    <row r="118" spans="1:29" s="2" customFormat="1" x14ac:dyDescent="0.25">
      <c r="A118" s="60" t="s">
        <v>452</v>
      </c>
      <c r="B118" s="60">
        <v>4044</v>
      </c>
      <c r="C118" s="60" t="s">
        <v>62</v>
      </c>
      <c r="D118" s="60" t="s">
        <v>64</v>
      </c>
      <c r="E118" s="30">
        <v>42534.739236111112</v>
      </c>
      <c r="F118" s="30">
        <v>42534.740694444445</v>
      </c>
      <c r="G118" s="38">
        <v>2</v>
      </c>
      <c r="H118" s="30" t="s">
        <v>80</v>
      </c>
      <c r="I118" s="30">
        <v>42534.772870370369</v>
      </c>
      <c r="J118" s="60">
        <v>0</v>
      </c>
      <c r="K118" s="60" t="str">
        <f t="shared" si="29"/>
        <v>4043/4044</v>
      </c>
      <c r="L118" s="60" t="str">
        <f>VLOOKUP(A118,'Trips&amp;Operators'!$C$1:$E$9999,3,FALSE)</f>
        <v>REBOLETTI</v>
      </c>
      <c r="M118" s="12">
        <f t="shared" si="30"/>
        <v>3.2175925924093463E-2</v>
      </c>
      <c r="N118" s="13">
        <f t="shared" si="31"/>
        <v>46.333333330694586</v>
      </c>
      <c r="O118" s="13"/>
      <c r="P118" s="13"/>
      <c r="Q118" s="61"/>
      <c r="R118" s="61"/>
      <c r="S118" s="108">
        <f t="shared" si="22"/>
        <v>1</v>
      </c>
      <c r="T118" s="86" t="str">
        <f t="shared" si="23"/>
        <v>NorthBound</v>
      </c>
      <c r="U118" s="109">
        <f>COUNTIFS([1]Variables!$M$2:$M$19,IF(T118="NorthBound","&gt;=","&lt;=")&amp;Y118,[1]Variables!$M$2:$M$19,IF(T118="NorthBound","&lt;=","&gt;=")&amp;Z118)</f>
        <v>12</v>
      </c>
      <c r="V118" s="73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https://search-rtdc-monitor-bjffxe2xuh6vdkpspy63sjmuny.us-east-1.es.amazonaws.com/_plugin/kibana/#/discover/Steve-Slow-Train-Analysis-(2080s-and-2083s)?_g=(refreshInterval:(display:Off,section:0,value:0),time:(from:'2016-06-13 17:43:30-0600',mode:absolute,to:'2016-06-13 18:33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8" s="73" t="str">
        <f t="shared" si="27"/>
        <v>N</v>
      </c>
      <c r="X118" s="73">
        <f>VALUE(LEFT(A118,3))-VALUE(LEFT(A117,3))</f>
        <v>1</v>
      </c>
      <c r="Y118" s="73">
        <f>RIGHT(D118,LEN(D118)-4)/10000</f>
        <v>4.5499999999999999E-2</v>
      </c>
      <c r="Z118" s="73">
        <f>RIGHT(H118,LEN(H118)-4)/10000</f>
        <v>23.331399999999999</v>
      </c>
      <c r="AA118" s="73">
        <f t="shared" si="28"/>
        <v>23.285899999999998</v>
      </c>
      <c r="AB118" s="74" t="e">
        <f>VLOOKUP(A118,Enforcements!$C$21:$J$74,8,0)</f>
        <v>#N/A</v>
      </c>
      <c r="AC118" s="74" t="e">
        <f>VLOOKUP(A118,Enforcements!$C$21:$J$74,3,0)</f>
        <v>#N/A</v>
      </c>
    </row>
    <row r="119" spans="1:29" s="2" customFormat="1" x14ac:dyDescent="0.25">
      <c r="A119" s="60" t="s">
        <v>460</v>
      </c>
      <c r="B119" s="60">
        <v>4043</v>
      </c>
      <c r="C119" s="60" t="s">
        <v>62</v>
      </c>
      <c r="D119" s="60" t="s">
        <v>567</v>
      </c>
      <c r="E119" s="30">
        <v>42534.774571759262</v>
      </c>
      <c r="F119" s="30">
        <v>42534.777094907404</v>
      </c>
      <c r="G119" s="38">
        <v>3</v>
      </c>
      <c r="H119" s="30" t="s">
        <v>568</v>
      </c>
      <c r="I119" s="30">
        <v>42534.805474537039</v>
      </c>
      <c r="J119" s="60">
        <v>0</v>
      </c>
      <c r="K119" s="60" t="str">
        <f t="shared" si="29"/>
        <v>4043/4044</v>
      </c>
      <c r="L119" s="60" t="str">
        <f>VLOOKUP(A119,'Trips&amp;Operators'!$C$1:$E$9999,3,FALSE)</f>
        <v>REBOLETTI</v>
      </c>
      <c r="M119" s="12">
        <f t="shared" si="30"/>
        <v>2.8379629635310266E-2</v>
      </c>
      <c r="N119" s="13">
        <f t="shared" si="31"/>
        <v>40.866666674846783</v>
      </c>
      <c r="O119" s="13"/>
      <c r="P119" s="13"/>
      <c r="Q119" s="61"/>
      <c r="R119" s="61"/>
      <c r="S119" s="108">
        <f t="shared" si="22"/>
        <v>1</v>
      </c>
      <c r="T119" s="86" t="str">
        <f t="shared" si="23"/>
        <v>Southbound</v>
      </c>
      <c r="U119" s="109">
        <f>COUNTIFS([1]Variables!$M$2:$M$19,IF(T119="NorthBound","&gt;=","&lt;=")&amp;Y119,[1]Variables!$M$2:$M$19,IF(T119="NorthBound","&lt;=","&gt;=")&amp;Z119)</f>
        <v>12</v>
      </c>
      <c r="V119" s="73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https://search-rtdc-monitor-bjffxe2xuh6vdkpspy63sjmuny.us-east-1.es.amazonaws.com/_plugin/kibana/#/discover/Steve-Slow-Train-Analysis-(2080s-and-2083s)?_g=(refreshInterval:(display:Off,section:0,value:0),time:(from:'2016-06-13 18:34:23-0600',mode:absolute,to:'2016-06-13 19:20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9" s="73" t="str">
        <f t="shared" si="27"/>
        <v>N</v>
      </c>
      <c r="X119" s="73">
        <f>VALUE(LEFT(A119,3))-VALUE(LEFT(A118,3))</f>
        <v>1</v>
      </c>
      <c r="Y119" s="73">
        <f>RIGHT(D119,LEN(D119)-4)/10000</f>
        <v>23.3002</v>
      </c>
      <c r="Z119" s="73">
        <f>RIGHT(H119,LEN(H119)-4)/10000</f>
        <v>3.6400000000000002E-2</v>
      </c>
      <c r="AA119" s="73">
        <f t="shared" si="28"/>
        <v>23.2638</v>
      </c>
      <c r="AB119" s="74" t="e">
        <f>VLOOKUP(A119,Enforcements!$C$21:$J$74,8,0)</f>
        <v>#N/A</v>
      </c>
      <c r="AC119" s="74" t="e">
        <f>VLOOKUP(A119,Enforcements!$C$21:$J$74,3,0)</f>
        <v>#N/A</v>
      </c>
    </row>
    <row r="120" spans="1:29" s="2" customFormat="1" x14ac:dyDescent="0.25">
      <c r="A120" s="60" t="s">
        <v>458</v>
      </c>
      <c r="B120" s="60">
        <v>4025</v>
      </c>
      <c r="C120" s="60" t="s">
        <v>62</v>
      </c>
      <c r="D120" s="60" t="s">
        <v>100</v>
      </c>
      <c r="E120" s="30">
        <v>42534.746979166666</v>
      </c>
      <c r="F120" s="30">
        <v>42534.748032407406</v>
      </c>
      <c r="G120" s="38">
        <v>1</v>
      </c>
      <c r="H120" s="30" t="s">
        <v>504</v>
      </c>
      <c r="I120" s="30">
        <v>42534.777881944443</v>
      </c>
      <c r="J120" s="60">
        <v>0</v>
      </c>
      <c r="K120" s="60" t="str">
        <f t="shared" si="29"/>
        <v>4025/4026</v>
      </c>
      <c r="L120" s="60" t="str">
        <f>VLOOKUP(A120,'Trips&amp;Operators'!$C$1:$E$9999,3,FALSE)</f>
        <v>WEBSTER</v>
      </c>
      <c r="M120" s="12">
        <f t="shared" si="30"/>
        <v>2.9849537037080154E-2</v>
      </c>
      <c r="N120" s="13">
        <f t="shared" si="31"/>
        <v>42.983333333395422</v>
      </c>
      <c r="O120" s="13"/>
      <c r="P120" s="13"/>
      <c r="Q120" s="61"/>
      <c r="R120" s="61"/>
      <c r="S120" s="108">
        <f t="shared" si="22"/>
        <v>1</v>
      </c>
      <c r="T120" s="86" t="str">
        <f t="shared" si="23"/>
        <v>NorthBound</v>
      </c>
      <c r="U120" s="109">
        <f>COUNTIFS([1]Variables!$M$2:$M$19,IF(T120="NorthBound","&gt;=","&lt;=")&amp;Y120,[1]Variables!$M$2:$M$19,IF(T120="NorthBound","&lt;=","&gt;=")&amp;Z120)</f>
        <v>12</v>
      </c>
      <c r="V120" s="73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https://search-rtdc-monitor-bjffxe2xuh6vdkpspy63sjmuny.us-east-1.es.amazonaws.com/_plugin/kibana/#/discover/Steve-Slow-Train-Analysis-(2080s-and-2083s)?_g=(refreshInterval:(display:Off,section:0,value:0),time:(from:'2016-06-13 17:54:39-0600',mode:absolute,to:'2016-06-13 18:41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0" s="73" t="str">
        <f t="shared" si="27"/>
        <v>N</v>
      </c>
      <c r="X120" s="73">
        <f>VALUE(LEFT(A120,3))-VALUE(LEFT(A119,3))</f>
        <v>1</v>
      </c>
      <c r="Y120" s="73">
        <f>RIGHT(D120,LEN(D120)-4)/10000</f>
        <v>4.6899999999999997E-2</v>
      </c>
      <c r="Z120" s="73">
        <f>RIGHT(H120,LEN(H120)-4)/10000</f>
        <v>23.299199999999999</v>
      </c>
      <c r="AA120" s="73">
        <f t="shared" si="28"/>
        <v>23.252299999999998</v>
      </c>
      <c r="AB120" s="74" t="e">
        <f>VLOOKUP(A120,Enforcements!$C$21:$J$74,8,0)</f>
        <v>#N/A</v>
      </c>
      <c r="AC120" s="74" t="e">
        <f>VLOOKUP(A120,Enforcements!$C$21:$J$74,3,0)</f>
        <v>#N/A</v>
      </c>
    </row>
    <row r="121" spans="1:29" s="2" customFormat="1" x14ac:dyDescent="0.25">
      <c r="A121" s="60" t="s">
        <v>466</v>
      </c>
      <c r="B121" s="60">
        <v>4026</v>
      </c>
      <c r="C121" s="60" t="s">
        <v>62</v>
      </c>
      <c r="D121" s="60" t="s">
        <v>307</v>
      </c>
      <c r="E121" s="30">
        <v>42534.786493055559</v>
      </c>
      <c r="F121" s="30">
        <v>42534.787812499999</v>
      </c>
      <c r="G121" s="38">
        <v>1</v>
      </c>
      <c r="H121" s="30" t="s">
        <v>569</v>
      </c>
      <c r="I121" s="30">
        <v>42534.81622685185</v>
      </c>
      <c r="J121" s="60">
        <v>0</v>
      </c>
      <c r="K121" s="60" t="str">
        <f t="shared" si="29"/>
        <v>4025/4026</v>
      </c>
      <c r="L121" s="60" t="str">
        <f>VLOOKUP(A121,'Trips&amp;Operators'!$C$1:$E$9999,3,FALSE)</f>
        <v>WEBSTER</v>
      </c>
      <c r="M121" s="12">
        <f t="shared" si="30"/>
        <v>2.8414351851097308E-2</v>
      </c>
      <c r="N121" s="13">
        <f t="shared" si="31"/>
        <v>40.916666665580124</v>
      </c>
      <c r="O121" s="13"/>
      <c r="P121" s="13"/>
      <c r="Q121" s="61"/>
      <c r="R121" s="61"/>
      <c r="S121" s="108">
        <f t="shared" si="22"/>
        <v>1</v>
      </c>
      <c r="T121" s="86" t="str">
        <f t="shared" si="23"/>
        <v>Southbound</v>
      </c>
      <c r="U121" s="109">
        <f>COUNTIFS([1]Variables!$M$2:$M$19,IF(T121="NorthBound","&gt;=","&lt;=")&amp;Y121,[1]Variables!$M$2:$M$19,IF(T121="NorthBound","&lt;=","&gt;=")&amp;Z121)</f>
        <v>12</v>
      </c>
      <c r="V121" s="73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https://search-rtdc-monitor-bjffxe2xuh6vdkpspy63sjmuny.us-east-1.es.amazonaws.com/_plugin/kibana/#/discover/Steve-Slow-Train-Analysis-(2080s-and-2083s)?_g=(refreshInterval:(display:Off,section:0,value:0),time:(from:'2016-06-13 18:51:33-0600',mode:absolute,to:'2016-06-13 19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1" s="73" t="str">
        <f t="shared" si="27"/>
        <v>N</v>
      </c>
      <c r="X121" s="73">
        <f>VALUE(LEFT(A121,3))-VALUE(LEFT(A120,3))</f>
        <v>1</v>
      </c>
      <c r="Y121" s="73">
        <f>RIGHT(D121,LEN(D121)-4)/10000</f>
        <v>23.265999999999998</v>
      </c>
      <c r="Z121" s="73">
        <f>RIGHT(H121,LEN(H121)-4)/10000</f>
        <v>9.11E-2</v>
      </c>
      <c r="AA121" s="73">
        <f t="shared" si="28"/>
        <v>23.174899999999997</v>
      </c>
      <c r="AB121" s="74" t="e">
        <f>VLOOKUP(A121,Enforcements!$C$21:$J$74,8,0)</f>
        <v>#N/A</v>
      </c>
      <c r="AC121" s="74" t="e">
        <f>VLOOKUP(A121,Enforcements!$C$21:$J$74,3,0)</f>
        <v>#N/A</v>
      </c>
    </row>
    <row r="122" spans="1:29" s="2" customFormat="1" x14ac:dyDescent="0.25">
      <c r="A122" s="60" t="s">
        <v>373</v>
      </c>
      <c r="B122" s="60">
        <v>4009</v>
      </c>
      <c r="C122" s="60" t="s">
        <v>62</v>
      </c>
      <c r="D122" s="60" t="s">
        <v>77</v>
      </c>
      <c r="E122" s="30">
        <v>42534.759386574071</v>
      </c>
      <c r="F122" s="30">
        <v>42534.762349537035</v>
      </c>
      <c r="G122" s="38">
        <v>4</v>
      </c>
      <c r="H122" s="30" t="s">
        <v>80</v>
      </c>
      <c r="I122" s="30">
        <v>42534.793206018519</v>
      </c>
      <c r="J122" s="60">
        <v>0</v>
      </c>
      <c r="K122" s="60" t="str">
        <f t="shared" si="29"/>
        <v>4009/4010</v>
      </c>
      <c r="L122" s="60" t="str">
        <f>VLOOKUP(A122,'Trips&amp;Operators'!$C$1:$E$9999,3,FALSE)</f>
        <v>STRICKLAND</v>
      </c>
      <c r="M122" s="12">
        <f t="shared" si="30"/>
        <v>3.0856481484079268E-2</v>
      </c>
      <c r="N122" s="13">
        <f t="shared" si="31"/>
        <v>44.433333337074146</v>
      </c>
      <c r="O122" s="13"/>
      <c r="P122" s="13"/>
      <c r="Q122" s="61"/>
      <c r="R122" s="61"/>
      <c r="S122" s="108">
        <f t="shared" si="22"/>
        <v>1</v>
      </c>
      <c r="T122" s="86" t="str">
        <f t="shared" si="23"/>
        <v>NorthBound</v>
      </c>
      <c r="U122" s="109">
        <f>COUNTIFS([1]Variables!$M$2:$M$19,IF(T122="NorthBound","&gt;=","&lt;=")&amp;Y122,[1]Variables!$M$2:$M$19,IF(T122="NorthBound","&lt;=","&gt;=")&amp;Z122)</f>
        <v>12</v>
      </c>
      <c r="V122" s="73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https://search-rtdc-monitor-bjffxe2xuh6vdkpspy63sjmuny.us-east-1.es.amazonaws.com/_plugin/kibana/#/discover/Steve-Slow-Train-Analysis-(2080s-and-2083s)?_g=(refreshInterval:(display:Off,section:0,value:0),time:(from:'2016-06-13 18:12:31-0600',mode:absolute,to:'2016-06-13 19:03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2" s="73" t="str">
        <f t="shared" si="27"/>
        <v>N</v>
      </c>
      <c r="X122" s="73">
        <f>VALUE(LEFT(A122,3))-VALUE(LEFT(A121,3))</f>
        <v>1</v>
      </c>
      <c r="Y122" s="73">
        <f>RIGHT(D122,LEN(D122)-4)/10000</f>
        <v>4.5999999999999999E-2</v>
      </c>
      <c r="Z122" s="73">
        <f>RIGHT(H122,LEN(H122)-4)/10000</f>
        <v>23.331399999999999</v>
      </c>
      <c r="AA122" s="73">
        <f t="shared" si="28"/>
        <v>23.285399999999999</v>
      </c>
      <c r="AB122" s="74" t="e">
        <f>VLOOKUP(A122,Enforcements!$C$21:$J$74,8,0)</f>
        <v>#N/A</v>
      </c>
      <c r="AC122" s="74" t="e">
        <f>VLOOKUP(A122,Enforcements!$C$21:$J$74,3,0)</f>
        <v>#N/A</v>
      </c>
    </row>
    <row r="123" spans="1:29" s="2" customFormat="1" x14ac:dyDescent="0.25">
      <c r="A123" s="60" t="s">
        <v>438</v>
      </c>
      <c r="B123" s="60">
        <v>4010</v>
      </c>
      <c r="C123" s="60" t="s">
        <v>62</v>
      </c>
      <c r="D123" s="60" t="s">
        <v>104</v>
      </c>
      <c r="E123" s="30">
        <v>42534.794814814813</v>
      </c>
      <c r="F123" s="30">
        <v>42534.796550925923</v>
      </c>
      <c r="G123" s="38">
        <v>2</v>
      </c>
      <c r="H123" s="30" t="s">
        <v>570</v>
      </c>
      <c r="I123" s="30">
        <v>42534.849502314813</v>
      </c>
      <c r="J123" s="60">
        <v>0</v>
      </c>
      <c r="K123" s="60" t="str">
        <f t="shared" si="29"/>
        <v>4009/4010</v>
      </c>
      <c r="L123" s="60" t="str">
        <f>VLOOKUP(A123,'Trips&amp;Operators'!$C$1:$E$9999,3,FALSE)</f>
        <v>STRICKLAND</v>
      </c>
      <c r="M123" s="12">
        <f t="shared" si="30"/>
        <v>5.2951388890505768E-2</v>
      </c>
      <c r="N123" s="13">
        <f t="shared" si="31"/>
        <v>76.250000002328306</v>
      </c>
      <c r="O123" s="13"/>
      <c r="P123" s="13"/>
      <c r="Q123" s="61"/>
      <c r="R123" s="61"/>
      <c r="S123" s="108">
        <f t="shared" si="22"/>
        <v>1</v>
      </c>
      <c r="T123" s="86" t="str">
        <f t="shared" si="23"/>
        <v>Southbound</v>
      </c>
      <c r="U123" s="109">
        <f>COUNTIFS([1]Variables!$M$2:$M$19,IF(T123="NorthBound","&gt;=","&lt;=")&amp;Y123,[1]Variables!$M$2:$M$19,IF(T123="NorthBound","&lt;=","&gt;=")&amp;Z123)</f>
        <v>12</v>
      </c>
      <c r="V123" s="73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https://search-rtdc-monitor-bjffxe2xuh6vdkpspy63sjmuny.us-east-1.es.amazonaws.com/_plugin/kibana/#/discover/Steve-Slow-Train-Analysis-(2080s-and-2083s)?_g=(refreshInterval:(display:Off,section:0,value:0),time:(from:'2016-06-13 19:03:32-0600',mode:absolute,to:'2016-06-13 20:24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23" s="73" t="str">
        <f t="shared" si="27"/>
        <v>N</v>
      </c>
      <c r="X123" s="73">
        <f>VALUE(LEFT(A123,3))-VALUE(LEFT(A122,3))</f>
        <v>1</v>
      </c>
      <c r="Y123" s="73">
        <f>RIGHT(D123,LEN(D123)-4)/10000</f>
        <v>23.2989</v>
      </c>
      <c r="Z123" s="73">
        <f>RIGHT(H123,LEN(H123)-4)/10000</f>
        <v>3.6700000000000003E-2</v>
      </c>
      <c r="AA123" s="73">
        <f t="shared" si="28"/>
        <v>23.2622</v>
      </c>
      <c r="AB123" s="74" t="e">
        <f>VLOOKUP(A123,Enforcements!$C$21:$J$74,8,0)</f>
        <v>#N/A</v>
      </c>
      <c r="AC123" s="74" t="e">
        <f>VLOOKUP(A123,Enforcements!$C$21:$J$74,3,0)</f>
        <v>#N/A</v>
      </c>
    </row>
    <row r="124" spans="1:29" s="2" customFormat="1" x14ac:dyDescent="0.25">
      <c r="A124" s="60" t="s">
        <v>468</v>
      </c>
      <c r="B124" s="60">
        <v>4020</v>
      </c>
      <c r="C124" s="60" t="s">
        <v>62</v>
      </c>
      <c r="D124" s="60" t="s">
        <v>77</v>
      </c>
      <c r="E124" s="30">
        <v>42534.76866898148</v>
      </c>
      <c r="F124" s="30">
        <v>42534.769814814812</v>
      </c>
      <c r="G124" s="38">
        <v>1</v>
      </c>
      <c r="H124" s="30" t="s">
        <v>571</v>
      </c>
      <c r="I124" s="30">
        <v>42534.797106481485</v>
      </c>
      <c r="J124" s="60">
        <v>0</v>
      </c>
      <c r="K124" s="60" t="str">
        <f t="shared" si="29"/>
        <v>4019/4020</v>
      </c>
      <c r="L124" s="60" t="str">
        <f>VLOOKUP(A124,'Trips&amp;Operators'!$C$1:$E$9999,3,FALSE)</f>
        <v>BARTLETT</v>
      </c>
      <c r="M124" s="12">
        <f t="shared" si="30"/>
        <v>2.7291666672681458E-2</v>
      </c>
      <c r="N124" s="13">
        <f t="shared" si="31"/>
        <v>39.3000000086613</v>
      </c>
      <c r="O124" s="13"/>
      <c r="P124" s="13"/>
      <c r="Q124" s="61"/>
      <c r="R124" s="61"/>
      <c r="S124" s="108">
        <f t="shared" si="22"/>
        <v>1</v>
      </c>
      <c r="T124" s="86" t="str">
        <f t="shared" si="23"/>
        <v>NorthBound</v>
      </c>
      <c r="U124" s="109">
        <f>COUNTIFS([1]Variables!$M$2:$M$19,IF(T124="NorthBound","&gt;=","&lt;=")&amp;Y124,[1]Variables!$M$2:$M$19,IF(T124="NorthBound","&lt;=","&gt;=")&amp;Z124)</f>
        <v>12</v>
      </c>
      <c r="V124" s="73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https://search-rtdc-monitor-bjffxe2xuh6vdkpspy63sjmuny.us-east-1.es.amazonaws.com/_plugin/kibana/#/discover/Steve-Slow-Train-Analysis-(2080s-and-2083s)?_g=(refreshInterval:(display:Off,section:0,value:0),time:(from:'2016-06-13 18:25:53-0600',mode:absolute,to:'2016-06-13 19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4" s="73" t="str">
        <f t="shared" si="27"/>
        <v>N</v>
      </c>
      <c r="X124" s="73">
        <f>VALUE(LEFT(A124,3))-VALUE(LEFT(A123,3))</f>
        <v>1</v>
      </c>
      <c r="Y124" s="73">
        <f>RIGHT(D124,LEN(D124)-4)/10000</f>
        <v>4.5999999999999999E-2</v>
      </c>
      <c r="Z124" s="73">
        <f>RIGHT(H124,LEN(H124)-4)/10000</f>
        <v>23.149799999999999</v>
      </c>
      <c r="AA124" s="73">
        <f t="shared" si="28"/>
        <v>23.1038</v>
      </c>
      <c r="AB124" s="74" t="e">
        <f>VLOOKUP(A124,Enforcements!$C$21:$J$74,8,0)</f>
        <v>#N/A</v>
      </c>
      <c r="AC124" s="74" t="e">
        <f>VLOOKUP(A124,Enforcements!$C$21:$J$74,3,0)</f>
        <v>#N/A</v>
      </c>
    </row>
    <row r="125" spans="1:29" s="2" customFormat="1" x14ac:dyDescent="0.25">
      <c r="A125" s="60" t="s">
        <v>337</v>
      </c>
      <c r="B125" s="60">
        <v>4019</v>
      </c>
      <c r="C125" s="60" t="s">
        <v>62</v>
      </c>
      <c r="D125" s="60" t="s">
        <v>572</v>
      </c>
      <c r="E125" s="30">
        <v>42534.805428240739</v>
      </c>
      <c r="F125" s="30">
        <v>42534.806400462963</v>
      </c>
      <c r="G125" s="38">
        <v>1</v>
      </c>
      <c r="H125" s="30" t="s">
        <v>573</v>
      </c>
      <c r="I125" s="30">
        <v>42534.837581018517</v>
      </c>
      <c r="J125" s="60">
        <v>0</v>
      </c>
      <c r="K125" s="60" t="str">
        <f t="shared" ref="K125:K140" si="32">IF(ISEVEN(B125),(B125-1)&amp;"/"&amp;B125,B125&amp;"/"&amp;(B125+1))</f>
        <v>4019/4020</v>
      </c>
      <c r="L125" s="60" t="str">
        <f>VLOOKUP(A125,'Trips&amp;Operators'!$C$1:$E$9999,3,FALSE)</f>
        <v>BARTLETT</v>
      </c>
      <c r="M125" s="12">
        <f t="shared" ref="M125:M140" si="33">I125-F125</f>
        <v>3.1180555553874001E-2</v>
      </c>
      <c r="N125" s="13"/>
      <c r="O125" s="13"/>
      <c r="P125" s="13">
        <f t="shared" ref="P125:P135" si="34">24*60*SUM($M125:$M125)</f>
        <v>44.899999997578561</v>
      </c>
      <c r="Q125" s="61"/>
      <c r="R125" s="61" t="s">
        <v>603</v>
      </c>
      <c r="S125" s="108">
        <f t="shared" si="22"/>
        <v>0</v>
      </c>
      <c r="T125" s="86" t="str">
        <f t="shared" si="23"/>
        <v>Southbound</v>
      </c>
      <c r="U125" s="109">
        <f>COUNTIFS([1]Variables!$M$2:$M$19,IF(T125="NorthBound","&gt;=","&lt;=")&amp;Y125,[1]Variables!$M$2:$M$19,IF(T125="NorthBound","&lt;=","&gt;=")&amp;Z125)</f>
        <v>0</v>
      </c>
      <c r="V125" s="73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https://search-rtdc-monitor-bjffxe2xuh6vdkpspy63sjmuny.us-east-1.es.amazonaws.com/_plugin/kibana/#/discover/Steve-Slow-Train-Analysis-(2080s-and-2083s)?_g=(refreshInterval:(display:Off,section:0,value:0),time:(from:'2016-06-13 19:18:49-0600',mode:absolute,to:'2016-06-13 20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5" s="73" t="str">
        <f t="shared" si="27"/>
        <v>Y</v>
      </c>
      <c r="X125" s="73">
        <f>VALUE(LEFT(A125,3))-VALUE(LEFT(A124,3))</f>
        <v>1</v>
      </c>
      <c r="Y125" s="73">
        <f>RIGHT(D125,LEN(D125)-4)/10000</f>
        <v>23.267900000000001</v>
      </c>
      <c r="Z125" s="73">
        <f>RIGHT(H125,LEN(H125)-4)/10000</f>
        <v>17.009499999999999</v>
      </c>
      <c r="AA125" s="73">
        <f t="shared" si="28"/>
        <v>6.2584000000000017</v>
      </c>
      <c r="AB125" s="74">
        <f>VLOOKUP(A125,Enforcements!$C$21:$J$74,8,0)</f>
        <v>168014</v>
      </c>
      <c r="AC125" s="74" t="str">
        <f>VLOOKUP(A125,Enforcements!$C$21:$J$74,3,0)</f>
        <v>SIGNAL</v>
      </c>
    </row>
    <row r="126" spans="1:29" s="2" customFormat="1" x14ac:dyDescent="0.25">
      <c r="A126" s="60" t="s">
        <v>395</v>
      </c>
      <c r="B126" s="60">
        <v>4018</v>
      </c>
      <c r="C126" s="60" t="s">
        <v>62</v>
      </c>
      <c r="D126" s="60" t="s">
        <v>574</v>
      </c>
      <c r="E126" s="30">
        <v>42534.794560185182</v>
      </c>
      <c r="F126" s="30">
        <v>42534.795717592591</v>
      </c>
      <c r="G126" s="38">
        <v>1</v>
      </c>
      <c r="H126" s="30" t="s">
        <v>575</v>
      </c>
      <c r="I126" s="30">
        <v>42534.803981481484</v>
      </c>
      <c r="J126" s="60">
        <v>0</v>
      </c>
      <c r="K126" s="60" t="str">
        <f t="shared" si="32"/>
        <v>4017/4018</v>
      </c>
      <c r="L126" s="60" t="str">
        <f>VLOOKUP(A126,'Trips&amp;Operators'!$C$1:$E$9999,3,FALSE)</f>
        <v>YOUNG</v>
      </c>
      <c r="M126" s="12">
        <f t="shared" si="33"/>
        <v>8.2638888925430365E-3</v>
      </c>
      <c r="N126" s="13"/>
      <c r="O126" s="13"/>
      <c r="P126" s="13">
        <f t="shared" si="34"/>
        <v>11.900000005261973</v>
      </c>
      <c r="Q126" s="61"/>
      <c r="R126" s="61" t="s">
        <v>603</v>
      </c>
      <c r="S126" s="108">
        <f t="shared" si="22"/>
        <v>0.41666666666666669</v>
      </c>
      <c r="T126" s="86" t="str">
        <f t="shared" si="23"/>
        <v>NorthBound</v>
      </c>
      <c r="U126" s="109">
        <f>COUNTIFS([1]Variables!$M$2:$M$19,IF(T126="NorthBound","&gt;=","&lt;=")&amp;Y126,[1]Variables!$M$2:$M$19,IF(T126="NorthBound","&lt;=","&gt;=")&amp;Z126)</f>
        <v>5</v>
      </c>
      <c r="V126" s="73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https://search-rtdc-monitor-bjffxe2xuh6vdkpspy63sjmuny.us-east-1.es.amazonaws.com/_plugin/kibana/#/discover/Steve-Slow-Train-Analysis-(2080s-and-2083s)?_g=(refreshInterval:(display:Off,section:0,value:0),time:(from:'2016-06-13 19:03:10-0600',mode:absolute,to:'2016-06-13 19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6" s="73" t="str">
        <f t="shared" si="27"/>
        <v>Y</v>
      </c>
      <c r="X126" s="73">
        <f>VALUE(LEFT(A126,3))-VALUE(LEFT(A125,3))</f>
        <v>1</v>
      </c>
      <c r="Y126" s="73">
        <f>RIGHT(D126,LEN(D126)-4)/10000</f>
        <v>4.7800000000000002E-2</v>
      </c>
      <c r="Z126" s="73">
        <f>RIGHT(H126,LEN(H126)-4)/10000</f>
        <v>4.9194000000000004</v>
      </c>
      <c r="AA126" s="73">
        <f t="shared" si="28"/>
        <v>4.8716000000000008</v>
      </c>
      <c r="AB126" s="74" t="e">
        <f>VLOOKUP(A126,Enforcements!$C$21:$J$74,8,0)</f>
        <v>#N/A</v>
      </c>
      <c r="AC126" s="74" t="e">
        <f>VLOOKUP(A126,Enforcements!$C$21:$J$74,3,0)</f>
        <v>#N/A</v>
      </c>
    </row>
    <row r="127" spans="1:29" s="2" customFormat="1" x14ac:dyDescent="0.25">
      <c r="A127" s="60" t="s">
        <v>332</v>
      </c>
      <c r="B127" s="60">
        <v>4017</v>
      </c>
      <c r="C127" s="60" t="s">
        <v>62</v>
      </c>
      <c r="D127" s="60" t="s">
        <v>263</v>
      </c>
      <c r="E127" s="30">
        <v>42534.846597222226</v>
      </c>
      <c r="F127" s="30">
        <v>42534.847534722219</v>
      </c>
      <c r="G127" s="38">
        <v>1</v>
      </c>
      <c r="H127" s="30" t="s">
        <v>91</v>
      </c>
      <c r="I127" s="30">
        <v>42534.869930555556</v>
      </c>
      <c r="J127" s="60">
        <v>1</v>
      </c>
      <c r="K127" s="60" t="str">
        <f t="shared" si="32"/>
        <v>4017/4018</v>
      </c>
      <c r="L127" s="60" t="str">
        <f>VLOOKUP(A127,'Trips&amp;Operators'!$C$1:$E$9999,3,FALSE)</f>
        <v>YOUNG</v>
      </c>
      <c r="M127" s="12">
        <f t="shared" si="33"/>
        <v>2.2395833337213844E-2</v>
      </c>
      <c r="N127" s="13"/>
      <c r="O127" s="13"/>
      <c r="P127" s="13">
        <f t="shared" si="34"/>
        <v>32.250000005587935</v>
      </c>
      <c r="Q127" s="61"/>
      <c r="R127" s="61" t="s">
        <v>603</v>
      </c>
      <c r="S127" s="108">
        <f t="shared" si="22"/>
        <v>1</v>
      </c>
      <c r="T127" s="86" t="str">
        <f t="shared" si="23"/>
        <v>Southbound</v>
      </c>
      <c r="U127" s="109">
        <f>COUNTIFS([1]Variables!$M$2:$M$19,IF(T127="NorthBound","&gt;=","&lt;=")&amp;Y127,[1]Variables!$M$2:$M$19,IF(T127="NorthBound","&lt;=","&gt;=")&amp;Z127)</f>
        <v>12</v>
      </c>
      <c r="V127" s="73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https://search-rtdc-monitor-bjffxe2xuh6vdkpspy63sjmuny.us-east-1.es.amazonaws.com/_plugin/kibana/#/discover/Steve-Slow-Train-Analysis-(2080s-and-2083s)?_g=(refreshInterval:(display:Off,section:0,value:0),time:(from:'2016-06-13 20:18:06-0600',mode:absolute,to:'2016-06-13 20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7" s="73" t="str">
        <f t="shared" si="27"/>
        <v>Y</v>
      </c>
      <c r="X127" s="73">
        <f>VALUE(LEFT(A127,3))-VALUE(LEFT(A126,3))</f>
        <v>1</v>
      </c>
      <c r="Y127" s="73">
        <f>RIGHT(D127,LEN(D127)-4)/10000</f>
        <v>12.786</v>
      </c>
      <c r="Z127" s="73">
        <f>RIGHT(H127,LEN(H127)-4)/10000</f>
        <v>1.49E-2</v>
      </c>
      <c r="AA127" s="73">
        <f t="shared" si="28"/>
        <v>12.771099999999999</v>
      </c>
      <c r="AB127" s="74">
        <f>VLOOKUP(A127,Enforcements!$C$21:$J$74,8,0)</f>
        <v>1</v>
      </c>
      <c r="AC127" s="74" t="str">
        <f>VLOOKUP(A127,Enforcements!$C$21:$J$74,3,0)</f>
        <v>TRACK WARRANT AUTHORITY</v>
      </c>
    </row>
    <row r="128" spans="1:29" s="2" customFormat="1" x14ac:dyDescent="0.25">
      <c r="A128" s="60" t="s">
        <v>340</v>
      </c>
      <c r="B128" s="60">
        <v>4044</v>
      </c>
      <c r="C128" s="60" t="s">
        <v>62</v>
      </c>
      <c r="D128" s="60" t="s">
        <v>576</v>
      </c>
      <c r="E128" s="30">
        <v>42534.806967592594</v>
      </c>
      <c r="F128" s="30">
        <v>42534.80810185185</v>
      </c>
      <c r="G128" s="38">
        <v>1</v>
      </c>
      <c r="H128" s="30" t="s">
        <v>577</v>
      </c>
      <c r="I128" s="30">
        <v>42534.854988425926</v>
      </c>
      <c r="J128" s="60">
        <v>0</v>
      </c>
      <c r="K128" s="60" t="str">
        <f t="shared" si="32"/>
        <v>4043/4044</v>
      </c>
      <c r="L128" s="60" t="str">
        <f>VLOOKUP(A128,'Trips&amp;Operators'!$C$1:$E$9999,3,FALSE)</f>
        <v>REBOLETTI</v>
      </c>
      <c r="M128" s="12">
        <f t="shared" si="33"/>
        <v>4.6886574076779652E-2</v>
      </c>
      <c r="N128" s="13"/>
      <c r="O128" s="13"/>
      <c r="P128" s="13">
        <f t="shared" si="34"/>
        <v>67.516666670562699</v>
      </c>
      <c r="Q128" s="61"/>
      <c r="R128" s="61" t="s">
        <v>603</v>
      </c>
      <c r="S128" s="108">
        <f t="shared" si="22"/>
        <v>1</v>
      </c>
      <c r="T128" s="86" t="str">
        <f t="shared" si="23"/>
        <v>NorthBound</v>
      </c>
      <c r="U128" s="109">
        <f>COUNTIFS([1]Variables!$M$2:$M$19,IF(T128="NorthBound","&gt;=","&lt;=")&amp;Y128,[1]Variables!$M$2:$M$19,IF(T128="NorthBound","&lt;=","&gt;=")&amp;Z128)</f>
        <v>12</v>
      </c>
      <c r="V128" s="73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https://search-rtdc-monitor-bjffxe2xuh6vdkpspy63sjmuny.us-east-1.es.amazonaws.com/_plugin/kibana/#/discover/Steve-Slow-Train-Analysis-(2080s-and-2083s)?_g=(refreshInterval:(display:Off,section:0,value:0),time:(from:'2016-06-13 19:21:02-0600',mode:absolute,to:'2016-06-13 20:32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8" s="73" t="str">
        <f t="shared" si="27"/>
        <v>Y</v>
      </c>
      <c r="X128" s="73">
        <f>VALUE(LEFT(A128,3))-VALUE(LEFT(A127,3))</f>
        <v>1</v>
      </c>
      <c r="Y128" s="73">
        <f>RIGHT(D128,LEN(D128)-4)/10000</f>
        <v>6.7000000000000004E-2</v>
      </c>
      <c r="Z128" s="73">
        <f>RIGHT(H128,LEN(H128)-4)/10000</f>
        <v>12.8271</v>
      </c>
      <c r="AA128" s="73">
        <f t="shared" si="28"/>
        <v>12.7601</v>
      </c>
      <c r="AB128" s="74" t="e">
        <f>VLOOKUP(A128,Enforcements!$C$21:$J$74,8,0)</f>
        <v>#N/A</v>
      </c>
      <c r="AC128" s="74" t="e">
        <f>VLOOKUP(A128,Enforcements!$C$21:$J$74,3,0)</f>
        <v>#N/A</v>
      </c>
    </row>
    <row r="129" spans="1:29" s="2" customFormat="1" x14ac:dyDescent="0.25">
      <c r="A129" s="60" t="s">
        <v>368</v>
      </c>
      <c r="B129" s="60">
        <v>4043</v>
      </c>
      <c r="C129" s="60" t="s">
        <v>62</v>
      </c>
      <c r="D129" s="60" t="s">
        <v>578</v>
      </c>
      <c r="E129" s="30">
        <v>42534.856736111113</v>
      </c>
      <c r="F129" s="30">
        <v>42534.857916666668</v>
      </c>
      <c r="G129" s="38">
        <v>1</v>
      </c>
      <c r="H129" s="30" t="s">
        <v>579</v>
      </c>
      <c r="I129" s="30">
        <v>42534.879305555558</v>
      </c>
      <c r="J129" s="60">
        <v>1</v>
      </c>
      <c r="K129" s="60" t="str">
        <f t="shared" si="32"/>
        <v>4043/4044</v>
      </c>
      <c r="L129" s="60" t="str">
        <f>VLOOKUP(A129,'Trips&amp;Operators'!$C$1:$E$9999,3,FALSE)</f>
        <v>REBOLETTI</v>
      </c>
      <c r="M129" s="12">
        <f t="shared" si="33"/>
        <v>2.138888889021473E-2</v>
      </c>
      <c r="N129" s="13"/>
      <c r="O129" s="13"/>
      <c r="P129" s="13">
        <f t="shared" si="34"/>
        <v>30.800000001909211</v>
      </c>
      <c r="Q129" s="61"/>
      <c r="R129" s="61" t="s">
        <v>603</v>
      </c>
      <c r="S129" s="108">
        <f t="shared" si="22"/>
        <v>1</v>
      </c>
      <c r="T129" s="86" t="str">
        <f t="shared" si="23"/>
        <v>Southbound</v>
      </c>
      <c r="U129" s="109">
        <f>COUNTIFS([1]Variables!$M$2:$M$19,IF(T129="NorthBound","&gt;=","&lt;=")&amp;Y129,[1]Variables!$M$2:$M$19,IF(T129="NorthBound","&lt;=","&gt;=")&amp;Z129)</f>
        <v>12</v>
      </c>
      <c r="V129" s="73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https://search-rtdc-monitor-bjffxe2xuh6vdkpspy63sjmuny.us-east-1.es.amazonaws.com/_plugin/kibana/#/discover/Steve-Slow-Train-Analysis-(2080s-and-2083s)?_g=(refreshInterval:(display:Off,section:0,value:0),time:(from:'2016-06-13 20:32:42-0600',mode:absolute,to:'2016-06-13 21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9" s="73" t="str">
        <f t="shared" si="27"/>
        <v>Y</v>
      </c>
      <c r="X129" s="73">
        <f>VALUE(LEFT(A129,3))-VALUE(LEFT(A128,3))</f>
        <v>1</v>
      </c>
      <c r="Y129" s="73">
        <f>RIGHT(D129,LEN(D129)-4)/10000</f>
        <v>12.801500000000001</v>
      </c>
      <c r="Z129" s="73">
        <f>RIGHT(H129,LEN(H129)-4)/10000</f>
        <v>3.5099999999999999E-2</v>
      </c>
      <c r="AA129" s="73">
        <f t="shared" si="28"/>
        <v>12.766400000000001</v>
      </c>
      <c r="AB129" s="74">
        <f>VLOOKUP(A129,Enforcements!$C$21:$J$74,8,0)</f>
        <v>1</v>
      </c>
      <c r="AC129" s="74" t="str">
        <f>VLOOKUP(A129,Enforcements!$C$21:$J$74,3,0)</f>
        <v>TRACK WARRANT AUTHORITY</v>
      </c>
    </row>
    <row r="130" spans="1:29" s="2" customFormat="1" ht="16.5" customHeight="1" x14ac:dyDescent="0.25">
      <c r="A130" s="60" t="s">
        <v>384</v>
      </c>
      <c r="B130" s="60">
        <v>4010</v>
      </c>
      <c r="C130" s="60" t="s">
        <v>62</v>
      </c>
      <c r="D130" s="60" t="s">
        <v>580</v>
      </c>
      <c r="E130" s="30">
        <v>42534.883877314816</v>
      </c>
      <c r="F130" s="30">
        <v>42534.884895833333</v>
      </c>
      <c r="G130" s="38">
        <v>1</v>
      </c>
      <c r="H130" s="30" t="s">
        <v>581</v>
      </c>
      <c r="I130" s="30">
        <v>42534.908391203702</v>
      </c>
      <c r="J130" s="60">
        <v>3</v>
      </c>
      <c r="K130" s="60" t="str">
        <f t="shared" si="32"/>
        <v>4009/4010</v>
      </c>
      <c r="L130" s="60" t="str">
        <f>VLOOKUP(A130,'Trips&amp;Operators'!$C$1:$E$9999,3,FALSE)</f>
        <v>STRICKLAND</v>
      </c>
      <c r="M130" s="12">
        <f t="shared" si="33"/>
        <v>2.3495370369346347E-2</v>
      </c>
      <c r="N130" s="13"/>
      <c r="O130" s="13"/>
      <c r="P130" s="13">
        <f t="shared" si="34"/>
        <v>33.833333331858739</v>
      </c>
      <c r="Q130" s="61"/>
      <c r="R130" s="61" t="s">
        <v>603</v>
      </c>
      <c r="S130" s="108">
        <f t="shared" si="22"/>
        <v>1</v>
      </c>
      <c r="T130" s="86" t="str">
        <f t="shared" si="23"/>
        <v>Southbound</v>
      </c>
      <c r="U130" s="109">
        <f>COUNTIFS([1]Variables!$M$2:$M$19,IF(T130="NorthBound","&gt;=","&lt;=")&amp;Y130,[1]Variables!$M$2:$M$19,IF(T130="NorthBound","&lt;=","&gt;=")&amp;Z130)</f>
        <v>12</v>
      </c>
      <c r="V130" s="73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https://search-rtdc-monitor-bjffxe2xuh6vdkpspy63sjmuny.us-east-1.es.amazonaws.com/_plugin/kibana/#/discover/Steve-Slow-Train-Analysis-(2080s-and-2083s)?_g=(refreshInterval:(display:Off,section:0,value:0),time:(from:'2016-06-13 21:11:47-0600',mode:absolute,to:'2016-06-13 21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30" s="73" t="str">
        <f t="shared" ref="W130:W131" si="35">IF(AA130&lt;23,"Y","N")</f>
        <v>Y</v>
      </c>
      <c r="X130" s="73">
        <f>VALUE(LEFT(A130,3))-VALUE(LEFT(A129,3))</f>
        <v>2</v>
      </c>
      <c r="Y130" s="73">
        <f>RIGHT(D130,LEN(D130)-4)/10000</f>
        <v>12.8012</v>
      </c>
      <c r="Z130" s="73">
        <v>3.6499999999999998E-2</v>
      </c>
      <c r="AA130" s="73">
        <f t="shared" ref="AA130:AA131" si="36">ABS(Z130-Y130)</f>
        <v>12.764699999999999</v>
      </c>
      <c r="AB130" s="74">
        <f>VLOOKUP(A130,Enforcements!$C$21:$J$74,8,0)</f>
        <v>190834</v>
      </c>
      <c r="AC130" s="74" t="str">
        <f>VLOOKUP(A130,Enforcements!$C$21:$J$74,3,0)</f>
        <v>PERMANENT SPEED RESTRICTION</v>
      </c>
    </row>
    <row r="131" spans="1:29" s="2" customFormat="1" ht="16.5" customHeight="1" x14ac:dyDescent="0.25">
      <c r="A131" s="60" t="s">
        <v>338</v>
      </c>
      <c r="B131" s="60">
        <v>4009</v>
      </c>
      <c r="C131" s="60" t="s">
        <v>62</v>
      </c>
      <c r="D131" s="60" t="s">
        <v>582</v>
      </c>
      <c r="E131" s="30">
        <v>42534.862164351849</v>
      </c>
      <c r="F131" s="30">
        <v>42534.863425925927</v>
      </c>
      <c r="G131" s="38">
        <v>1</v>
      </c>
      <c r="H131" s="30" t="s">
        <v>583</v>
      </c>
      <c r="I131" s="30">
        <v>42534.880833333336</v>
      </c>
      <c r="J131" s="60">
        <v>0</v>
      </c>
      <c r="K131" s="60" t="str">
        <f t="shared" si="32"/>
        <v>4009/4010</v>
      </c>
      <c r="L131" s="60" t="str">
        <f>VLOOKUP(A131,'Trips&amp;Operators'!$C$1:$E$9999,3,FALSE)</f>
        <v>STRICKLAND</v>
      </c>
      <c r="M131" s="12">
        <f t="shared" si="33"/>
        <v>1.7407407409336884E-2</v>
      </c>
      <c r="N131" s="13"/>
      <c r="O131" s="13"/>
      <c r="P131" s="13">
        <f t="shared" si="34"/>
        <v>25.066666669445112</v>
      </c>
      <c r="Q131" s="61"/>
      <c r="R131" s="61" t="s">
        <v>603</v>
      </c>
      <c r="S131" s="108">
        <f t="shared" si="22"/>
        <v>1</v>
      </c>
      <c r="T131" s="86" t="str">
        <f t="shared" si="23"/>
        <v>NorthBound</v>
      </c>
      <c r="U131" s="109">
        <f>COUNTIFS([1]Variables!$M$2:$M$19,IF(T131="NorthBound","&gt;=","&lt;=")&amp;Y131,[1]Variables!$M$2:$M$19,IF(T131="NorthBound","&lt;=","&gt;=")&amp;Z131)</f>
        <v>12</v>
      </c>
      <c r="V131" s="73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https://search-rtdc-monitor-bjffxe2xuh6vdkpspy63sjmuny.us-east-1.es.amazonaws.com/_plugin/kibana/#/discover/Steve-Slow-Train-Analysis-(2080s-and-2083s)?_g=(refreshInterval:(display:Off,section:0,value:0),time:(from:'2016-06-13 20:40:31-0600',mode:absolute,to:'2016-06-13 21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31" s="73" t="str">
        <f t="shared" si="35"/>
        <v>Y</v>
      </c>
      <c r="X131" s="73">
        <f>VALUE(LEFT(A131,3))-VALUE(LEFT(A130,3))</f>
        <v>1</v>
      </c>
      <c r="Y131" s="73">
        <f>RIGHT(D131,LEN(D131)-4)/10000</f>
        <v>1.9121999999999999</v>
      </c>
      <c r="Z131" s="73">
        <f>RIGHT(H131,LEN(H131)-4)/10000</f>
        <v>12.8264</v>
      </c>
      <c r="AA131" s="73">
        <f t="shared" si="36"/>
        <v>10.914199999999999</v>
      </c>
      <c r="AB131" s="74" t="e">
        <f>VLOOKUP(A131,Enforcements!$C$21:$J$74,8,0)</f>
        <v>#N/A</v>
      </c>
      <c r="AC131" s="74" t="e">
        <f>VLOOKUP(A131,Enforcements!$C$21:$J$74,3,0)</f>
        <v>#N/A</v>
      </c>
    </row>
    <row r="132" spans="1:29" s="2" customFormat="1" x14ac:dyDescent="0.25">
      <c r="A132" s="60" t="s">
        <v>473</v>
      </c>
      <c r="B132" s="60">
        <v>4019</v>
      </c>
      <c r="C132" s="60" t="s">
        <v>62</v>
      </c>
      <c r="D132" s="60" t="s">
        <v>584</v>
      </c>
      <c r="E132" s="30">
        <v>42534.900381944448</v>
      </c>
      <c r="F132" s="30">
        <v>42534.901226851849</v>
      </c>
      <c r="G132" s="38">
        <v>1</v>
      </c>
      <c r="H132" s="30" t="s">
        <v>90</v>
      </c>
      <c r="I132" s="30">
        <v>42534.922905092593</v>
      </c>
      <c r="J132" s="60">
        <v>1</v>
      </c>
      <c r="K132" s="60" t="str">
        <f t="shared" si="32"/>
        <v>4019/4020</v>
      </c>
      <c r="L132" s="60" t="str">
        <f>VLOOKUP(A132,'Trips&amp;Operators'!$C$1:$E$9999,3,FALSE)</f>
        <v>BARTLETT</v>
      </c>
      <c r="M132" s="12">
        <f t="shared" si="33"/>
        <v>2.1678240744222421E-2</v>
      </c>
      <c r="N132" s="13"/>
      <c r="O132" s="13"/>
      <c r="P132" s="13">
        <f t="shared" si="34"/>
        <v>31.216666671680287</v>
      </c>
      <c r="Q132" s="61"/>
      <c r="R132" s="61" t="s">
        <v>603</v>
      </c>
      <c r="S132" s="108">
        <f t="shared" ref="S132:S150" si="37">SUM(U132:U132)/12</f>
        <v>1</v>
      </c>
      <c r="T132" s="86" t="str">
        <f t="shared" ref="T132:T150" si="38">IF(ISEVEN(LEFT(A132,3)),"Southbound","NorthBound")</f>
        <v>Southbound</v>
      </c>
      <c r="U132" s="109">
        <f>COUNTIFS([1]Variables!$M$2:$M$19,IF(T132="NorthBound","&gt;=","&lt;=")&amp;Y132,[1]Variables!$M$2:$M$19,IF(T132="NorthBound","&lt;=","&gt;=")&amp;Z132)</f>
        <v>12</v>
      </c>
      <c r="V132" s="73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https://search-rtdc-monitor-bjffxe2xuh6vdkpspy63sjmuny.us-east-1.es.amazonaws.com/_plugin/kibana/#/discover/Steve-Slow-Train-Analysis-(2080s-and-2083s)?_g=(refreshInterval:(display:Off,section:0,value:0),time:(from:'2016-06-13 21:35:33-0600',mode:absolute,to:'2016-06-13 22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2" s="73" t="str">
        <f t="shared" ref="W132:W150" si="39">IF(AA132&lt;23,"Y","N")</f>
        <v>Y</v>
      </c>
      <c r="X132" s="73">
        <f>VALUE(LEFT(A132,3))-VALUE(LEFT(A131,3))</f>
        <v>1</v>
      </c>
      <c r="Y132" s="73">
        <f>RIGHT(D132,LEN(D132)-4)/10000</f>
        <v>15.401300000000001</v>
      </c>
      <c r="Z132" s="73">
        <f>RIGHT(H132,LEN(H132)-4)/10000</f>
        <v>1.5599999999999999E-2</v>
      </c>
      <c r="AA132" s="73">
        <f t="shared" ref="AA132:AA146" si="40">ABS(Z132-Y132)</f>
        <v>15.385700000000002</v>
      </c>
      <c r="AB132" s="74" t="e">
        <f>VLOOKUP(A132,Enforcements!$C$21:$J$74,8,0)</f>
        <v>#N/A</v>
      </c>
      <c r="AC132" s="74" t="e">
        <f>VLOOKUP(A132,Enforcements!$C$21:$J$74,3,0)</f>
        <v>#N/A</v>
      </c>
    </row>
    <row r="133" spans="1:29" s="2" customFormat="1" x14ac:dyDescent="0.25">
      <c r="A133" s="60" t="s">
        <v>462</v>
      </c>
      <c r="B133" s="60">
        <v>4018</v>
      </c>
      <c r="C133" s="60" t="s">
        <v>62</v>
      </c>
      <c r="D133" s="60" t="s">
        <v>323</v>
      </c>
      <c r="E133" s="30">
        <v>42534.876087962963</v>
      </c>
      <c r="F133" s="30">
        <v>42534.877546296295</v>
      </c>
      <c r="G133" s="38">
        <v>2</v>
      </c>
      <c r="H133" s="30" t="s">
        <v>585</v>
      </c>
      <c r="I133" s="30">
        <v>42534.906805555554</v>
      </c>
      <c r="J133" s="60">
        <v>0</v>
      </c>
      <c r="K133" s="60" t="str">
        <f t="shared" si="32"/>
        <v>4017/4018</v>
      </c>
      <c r="L133" s="60" t="str">
        <f>VLOOKUP(A133,'Trips&amp;Operators'!$C$1:$E$9999,3,FALSE)</f>
        <v>CHANDLER</v>
      </c>
      <c r="M133" s="12">
        <f t="shared" si="33"/>
        <v>2.9259259259561077E-2</v>
      </c>
      <c r="N133" s="13"/>
      <c r="O133" s="13"/>
      <c r="P133" s="13">
        <f t="shared" si="34"/>
        <v>42.133333333767951</v>
      </c>
      <c r="Q133" s="61"/>
      <c r="R133" s="61" t="s">
        <v>603</v>
      </c>
      <c r="S133" s="108">
        <f t="shared" si="37"/>
        <v>1</v>
      </c>
      <c r="T133" s="86" t="str">
        <f t="shared" si="38"/>
        <v>NorthBound</v>
      </c>
      <c r="U133" s="109">
        <f>COUNTIFS([1]Variables!$M$2:$M$19,IF(T133="NorthBound","&gt;=","&lt;=")&amp;Y133,[1]Variables!$M$2:$M$19,IF(T133="NorthBound","&lt;=","&gt;=")&amp;Z133)</f>
        <v>12</v>
      </c>
      <c r="V133" s="73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https://search-rtdc-monitor-bjffxe2xuh6vdkpspy63sjmuny.us-east-1.es.amazonaws.com/_plugin/kibana/#/discover/Steve-Slow-Train-Analysis-(2080s-and-2083s)?_g=(refreshInterval:(display:Off,section:0,value:0),time:(from:'2016-06-13 21:00:34-0600',mode:absolute,to:'2016-06-13 21:46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3" s="73" t="str">
        <f t="shared" si="39"/>
        <v>Y</v>
      </c>
      <c r="X133" s="73">
        <f>VALUE(LEFT(A133,3))-VALUE(LEFT(A132,3))</f>
        <v>1</v>
      </c>
      <c r="Y133" s="73">
        <f>RIGHT(D133,LEN(D133)-4)/10000</f>
        <v>4.9500000000000002E-2</v>
      </c>
      <c r="Z133" s="73">
        <f>RIGHT(H133,LEN(H133)-4)/10000</f>
        <v>15.4429</v>
      </c>
      <c r="AA133" s="73">
        <f t="shared" si="40"/>
        <v>15.3934</v>
      </c>
      <c r="AB133" s="74" t="e">
        <f>VLOOKUP(A133,Enforcements!$C$21:$J$74,8,0)</f>
        <v>#N/A</v>
      </c>
      <c r="AC133" s="74" t="e">
        <f>VLOOKUP(A133,Enforcements!$C$21:$J$74,3,0)</f>
        <v>#N/A</v>
      </c>
    </row>
    <row r="134" spans="1:29" s="2" customFormat="1" x14ac:dyDescent="0.25">
      <c r="A134" s="60" t="s">
        <v>476</v>
      </c>
      <c r="B134" s="60">
        <v>4043</v>
      </c>
      <c r="C134" s="60" t="s">
        <v>62</v>
      </c>
      <c r="D134" s="60" t="s">
        <v>586</v>
      </c>
      <c r="E134" s="30">
        <v>42534.919305555559</v>
      </c>
      <c r="F134" s="30">
        <v>42534.920451388891</v>
      </c>
      <c r="G134" s="38">
        <v>1</v>
      </c>
      <c r="H134" s="30" t="s">
        <v>587</v>
      </c>
      <c r="I134" s="30">
        <v>42534.940682870372</v>
      </c>
      <c r="J134" s="60">
        <v>1</v>
      </c>
      <c r="K134" s="60" t="str">
        <f t="shared" si="32"/>
        <v>4043/4044</v>
      </c>
      <c r="L134" s="60" t="str">
        <f>VLOOKUP(A134,'Trips&amp;Operators'!$C$1:$E$9999,3,FALSE)</f>
        <v>REBOLETTI</v>
      </c>
      <c r="M134" s="12">
        <f t="shared" si="33"/>
        <v>2.0231481481459923E-2</v>
      </c>
      <c r="N134" s="13"/>
      <c r="O134" s="13"/>
      <c r="P134" s="13">
        <f t="shared" si="34"/>
        <v>29.133333333302289</v>
      </c>
      <c r="Q134" s="61"/>
      <c r="R134" s="61" t="s">
        <v>603</v>
      </c>
      <c r="S134" s="108">
        <f t="shared" si="37"/>
        <v>1</v>
      </c>
      <c r="T134" s="86" t="str">
        <f t="shared" si="38"/>
        <v>Southbound</v>
      </c>
      <c r="U134" s="109">
        <f>COUNTIFS([1]Variables!$M$2:$M$19,IF(T134="NorthBound","&gt;=","&lt;=")&amp;Y134,[1]Variables!$M$2:$M$19,IF(T134="NorthBound","&lt;=","&gt;=")&amp;Z134)</f>
        <v>12</v>
      </c>
      <c r="V134" s="73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https://search-rtdc-monitor-bjffxe2xuh6vdkpspy63sjmuny.us-east-1.es.amazonaws.com/_plugin/kibana/#/discover/Steve-Slow-Train-Analysis-(2080s-and-2083s)?_g=(refreshInterval:(display:Off,section:0,value:0),time:(from:'2016-06-13 22:02:48-0600',mode:absolute,to:'2016-06-13 22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4" s="73" t="str">
        <f t="shared" si="39"/>
        <v>Y</v>
      </c>
      <c r="X134" s="73">
        <f>VALUE(LEFT(A134,3))-VALUE(LEFT(A133,3))</f>
        <v>1</v>
      </c>
      <c r="Y134" s="73">
        <f>RIGHT(D134,LEN(D134)-4)/10000</f>
        <v>12.8032</v>
      </c>
      <c r="Z134" s="73">
        <f>RIGHT(H134,LEN(H134)-4)/10000</f>
        <v>3.6499999999999998E-2</v>
      </c>
      <c r="AA134" s="73">
        <f t="shared" si="40"/>
        <v>12.7667</v>
      </c>
      <c r="AB134" s="74">
        <f>VLOOKUP(A134,Enforcements!$C$21:$J$74,8,0)</f>
        <v>1</v>
      </c>
      <c r="AC134" s="74" t="str">
        <f>VLOOKUP(A134,Enforcements!$C$21:$J$74,3,0)</f>
        <v>TRACK WARRANT AUTHORITY</v>
      </c>
    </row>
    <row r="135" spans="1:29" s="2" customFormat="1" x14ac:dyDescent="0.25">
      <c r="A135" s="60" t="s">
        <v>464</v>
      </c>
      <c r="B135" s="60">
        <v>4044</v>
      </c>
      <c r="C135" s="60" t="s">
        <v>62</v>
      </c>
      <c r="D135" s="60" t="s">
        <v>588</v>
      </c>
      <c r="E135" s="30">
        <v>42534.888993055552</v>
      </c>
      <c r="F135" s="30">
        <v>42534.88994212963</v>
      </c>
      <c r="G135" s="38">
        <v>1</v>
      </c>
      <c r="H135" s="30" t="s">
        <v>589</v>
      </c>
      <c r="I135" s="30">
        <v>42534.915983796294</v>
      </c>
      <c r="J135" s="60">
        <v>1</v>
      </c>
      <c r="K135" s="60" t="str">
        <f t="shared" si="32"/>
        <v>4043/4044</v>
      </c>
      <c r="L135" s="60" t="str">
        <f>VLOOKUP(A135,'Trips&amp;Operators'!$C$1:$E$9999,3,FALSE)</f>
        <v>REBOLETTI</v>
      </c>
      <c r="M135" s="12">
        <f t="shared" si="33"/>
        <v>2.6041666664241347E-2</v>
      </c>
      <c r="N135" s="13"/>
      <c r="O135" s="13"/>
      <c r="P135" s="13">
        <f t="shared" si="34"/>
        <v>37.49999999650754</v>
      </c>
      <c r="Q135" s="61"/>
      <c r="R135" s="61" t="s">
        <v>603</v>
      </c>
      <c r="S135" s="108">
        <f t="shared" si="37"/>
        <v>1</v>
      </c>
      <c r="T135" s="86" t="str">
        <f t="shared" si="38"/>
        <v>NorthBound</v>
      </c>
      <c r="U135" s="109">
        <f>COUNTIFS([1]Variables!$M$2:$M$19,IF(T135="NorthBound","&gt;=","&lt;=")&amp;Y135,[1]Variables!$M$2:$M$19,IF(T135="NorthBound","&lt;=","&gt;=")&amp;Z135)</f>
        <v>12</v>
      </c>
      <c r="V135" s="73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https://search-rtdc-monitor-bjffxe2xuh6vdkpspy63sjmuny.us-east-1.es.amazonaws.com/_plugin/kibana/#/discover/Steve-Slow-Train-Analysis-(2080s-and-2083s)?_g=(refreshInterval:(display:Off,section:0,value:0),time:(from:'2016-06-13 21:19:09-0600',mode:absolute,to:'2016-06-13 22:00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5" s="73" t="str">
        <f t="shared" si="39"/>
        <v>Y</v>
      </c>
      <c r="X135" s="73">
        <f>VALUE(LEFT(A135,3))-VALUE(LEFT(A134,3))</f>
        <v>1</v>
      </c>
      <c r="Y135" s="73">
        <f>RIGHT(D135,LEN(D135)-4)/10000</f>
        <v>6.5000000000000002E-2</v>
      </c>
      <c r="Z135" s="73">
        <f>RIGHT(H135,LEN(H135)-4)/10000</f>
        <v>12.8276</v>
      </c>
      <c r="AA135" s="73">
        <f t="shared" si="40"/>
        <v>12.762600000000001</v>
      </c>
      <c r="AB135" s="74">
        <f>VLOOKUP(A135,Enforcements!$C$21:$J$74,8,0)</f>
        <v>50746</v>
      </c>
      <c r="AC135" s="74" t="str">
        <f>VLOOKUP(A135,Enforcements!$C$21:$J$74,3,0)</f>
        <v>SIGNAL</v>
      </c>
    </row>
    <row r="136" spans="1:29" s="2" customFormat="1" x14ac:dyDescent="0.25">
      <c r="A136" s="60" t="s">
        <v>333</v>
      </c>
      <c r="B136" s="60">
        <v>4017</v>
      </c>
      <c r="C136" s="60" t="s">
        <v>62</v>
      </c>
      <c r="D136" s="60" t="s">
        <v>267</v>
      </c>
      <c r="E136" s="30">
        <v>42534.938993055555</v>
      </c>
      <c r="F136" s="30">
        <v>42534.940034722225</v>
      </c>
      <c r="G136" s="38">
        <v>1</v>
      </c>
      <c r="H136" s="30" t="s">
        <v>312</v>
      </c>
      <c r="I136" s="30">
        <v>42534.973564814813</v>
      </c>
      <c r="J136" s="60">
        <v>1</v>
      </c>
      <c r="K136" s="60" t="str">
        <f t="shared" si="32"/>
        <v>4017/4018</v>
      </c>
      <c r="L136" s="60" t="str">
        <f>VLOOKUP(A136,'Trips&amp;Operators'!$C$1:$E$9999,3,FALSE)</f>
        <v>CHANDLER</v>
      </c>
      <c r="M136" s="12">
        <f t="shared" si="33"/>
        <v>3.3530092587170657E-2</v>
      </c>
      <c r="N136" s="13">
        <f>24*60*SUM($M136:$M136)</f>
        <v>48.283333325525746</v>
      </c>
      <c r="O136" s="13"/>
      <c r="P136" s="13"/>
      <c r="Q136" s="61"/>
      <c r="R136" s="61"/>
      <c r="S136" s="108">
        <f t="shared" si="37"/>
        <v>1</v>
      </c>
      <c r="T136" s="86" t="str">
        <f t="shared" si="38"/>
        <v>Southbound</v>
      </c>
      <c r="U136" s="109">
        <f>COUNTIFS([1]Variables!$M$2:$M$19,IF(T136="NorthBound","&gt;=","&lt;=")&amp;Y136,[1]Variables!$M$2:$M$19,IF(T136="NorthBound","&lt;=","&gt;=")&amp;Z136)</f>
        <v>12</v>
      </c>
      <c r="V136" s="73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https://search-rtdc-monitor-bjffxe2xuh6vdkpspy63sjmuny.us-east-1.es.amazonaws.com/_plugin/kibana/#/discover/Steve-Slow-Train-Analysis-(2080s-and-2083s)?_g=(refreshInterval:(display:Off,section:0,value:0),time:(from:'2016-06-13 22:31:09-0600',mode:absolute,to:'2016-06-13 23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6" s="73" t="str">
        <f t="shared" si="39"/>
        <v>N</v>
      </c>
      <c r="X136" s="73">
        <f>VALUE(LEFT(A136,3))-VALUE(LEFT(A135,3))</f>
        <v>1</v>
      </c>
      <c r="Y136" s="73">
        <f>RIGHT(D136,LEN(D136)-4)/10000</f>
        <v>23.298500000000001</v>
      </c>
      <c r="Z136" s="73">
        <f>RIGHT(H136,LEN(H136)-4)/10000</f>
        <v>1.6899999999999998E-2</v>
      </c>
      <c r="AA136" s="73">
        <f t="shared" si="40"/>
        <v>23.281600000000001</v>
      </c>
      <c r="AB136" s="74">
        <f>VLOOKUP(A136,Enforcements!$C$21:$J$74,8,0)</f>
        <v>219780</v>
      </c>
      <c r="AC136" s="74" t="str">
        <f>VLOOKUP(A136,Enforcements!$C$21:$J$74,3,0)</f>
        <v>PERMANENT SPEED RESTRICTION</v>
      </c>
    </row>
    <row r="137" spans="1:29" s="2" customFormat="1" x14ac:dyDescent="0.25">
      <c r="A137" s="60" t="s">
        <v>382</v>
      </c>
      <c r="B137" s="60">
        <v>4009</v>
      </c>
      <c r="C137" s="60" t="s">
        <v>62</v>
      </c>
      <c r="D137" s="60" t="s">
        <v>590</v>
      </c>
      <c r="E137" s="30">
        <v>42534.913807870369</v>
      </c>
      <c r="F137" s="30">
        <v>42534.917650462965</v>
      </c>
      <c r="G137" s="38">
        <v>5</v>
      </c>
      <c r="H137" s="30" t="s">
        <v>316</v>
      </c>
      <c r="I137" s="30">
        <v>42534.949224537035</v>
      </c>
      <c r="J137" s="60">
        <v>1</v>
      </c>
      <c r="K137" s="60" t="str">
        <f t="shared" si="32"/>
        <v>4009/4010</v>
      </c>
      <c r="L137" s="60" t="str">
        <f>VLOOKUP(A137,'Trips&amp;Operators'!$C$1:$E$9999,3,FALSE)</f>
        <v>STRICKLAND</v>
      </c>
      <c r="M137" s="12">
        <f t="shared" si="33"/>
        <v>3.1574074069794733E-2</v>
      </c>
      <c r="N137" s="13">
        <f>24*60*SUM($M137:$M137)</f>
        <v>45.466666660504416</v>
      </c>
      <c r="O137" s="13"/>
      <c r="P137" s="13"/>
      <c r="Q137" s="61"/>
      <c r="R137" s="61"/>
      <c r="S137" s="108">
        <f t="shared" si="37"/>
        <v>1</v>
      </c>
      <c r="T137" s="86" t="str">
        <f t="shared" si="38"/>
        <v>NorthBound</v>
      </c>
      <c r="U137" s="109">
        <f>COUNTIFS([1]Variables!$M$2:$M$19,IF(T137="NorthBound","&gt;=","&lt;=")&amp;Y137,[1]Variables!$M$2:$M$19,IF(T137="NorthBound","&lt;=","&gt;=")&amp;Z137)</f>
        <v>12</v>
      </c>
      <c r="V137" s="73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https://search-rtdc-monitor-bjffxe2xuh6vdkpspy63sjmuny.us-east-1.es.amazonaws.com/_plugin/kibana/#/discover/Steve-Slow-Train-Analysis-(2080s-and-2083s)?_g=(refreshInterval:(display:Off,section:0,value:0),time:(from:'2016-06-13 21:54:53-0600',mode:absolute,to:'2016-06-13 22:47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37" s="73" t="str">
        <f t="shared" si="39"/>
        <v>N</v>
      </c>
      <c r="X137" s="73">
        <f>VALUE(LEFT(A137,3))-VALUE(LEFT(A136,3))</f>
        <v>1</v>
      </c>
      <c r="Y137" s="73">
        <f>RIGHT(D137,LEN(D137)-4)/10000</f>
        <v>6.8400000000000002E-2</v>
      </c>
      <c r="Z137" s="73">
        <f>RIGHT(H137,LEN(H137)-4)/10000</f>
        <v>23.329499999999999</v>
      </c>
      <c r="AA137" s="73">
        <f t="shared" si="40"/>
        <v>23.261099999999999</v>
      </c>
      <c r="AB137" s="74">
        <f>VLOOKUP(A137,Enforcements!$C$21:$J$74,8,0)</f>
        <v>190834</v>
      </c>
      <c r="AC137" s="74" t="str">
        <f>VLOOKUP(A137,Enforcements!$C$21:$J$74,3,0)</f>
        <v>PERMANENT SPEED RESTRICTION</v>
      </c>
    </row>
    <row r="138" spans="1:29" s="2" customFormat="1" x14ac:dyDescent="0.25">
      <c r="A138" s="60" t="s">
        <v>451</v>
      </c>
      <c r="B138" s="60">
        <v>4010</v>
      </c>
      <c r="C138" s="60" t="s">
        <v>62</v>
      </c>
      <c r="D138" s="60" t="s">
        <v>87</v>
      </c>
      <c r="E138" s="30">
        <v>42534.950567129628</v>
      </c>
      <c r="F138" s="30">
        <v>42534.951655092591</v>
      </c>
      <c r="G138" s="38">
        <v>1</v>
      </c>
      <c r="H138" s="30" t="s">
        <v>581</v>
      </c>
      <c r="I138" s="30">
        <v>42534.967222222222</v>
      </c>
      <c r="J138" s="60">
        <v>0</v>
      </c>
      <c r="K138" s="60" t="str">
        <f t="shared" si="32"/>
        <v>4009/4010</v>
      </c>
      <c r="L138" s="60" t="str">
        <f>VLOOKUP(A138,'Trips&amp;Operators'!$C$1:$E$9999,3,FALSE)</f>
        <v>STRICKLAND</v>
      </c>
      <c r="M138" s="12">
        <f t="shared" si="33"/>
        <v>1.5567129630653653E-2</v>
      </c>
      <c r="N138" s="13"/>
      <c r="O138" s="13"/>
      <c r="P138" s="13">
        <f>24*60*SUM($M138:$M139)</f>
        <v>55.166666664881632</v>
      </c>
      <c r="Q138" s="61"/>
      <c r="R138" s="61" t="s">
        <v>603</v>
      </c>
      <c r="S138" s="108">
        <f t="shared" si="37"/>
        <v>0</v>
      </c>
      <c r="T138" s="86" t="str">
        <f t="shared" si="38"/>
        <v>Southbound</v>
      </c>
      <c r="U138" s="109">
        <f>COUNTIFS([1]Variables!$M$2:$M$19,IF(T138="NorthBound","&gt;=","&lt;=")&amp;Y138,[1]Variables!$M$2:$M$19,IF(T138="NorthBound","&lt;=","&gt;=")&amp;Z138)</f>
        <v>0</v>
      </c>
      <c r="V138" s="73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https://search-rtdc-monitor-bjffxe2xuh6vdkpspy63sjmuny.us-east-1.es.amazonaws.com/_plugin/kibana/#/discover/Steve-Slow-Train-Analysis-(2080s-and-2083s)?_g=(refreshInterval:(display:Off,section:0,value:0),time:(from:'2016-06-13 22:47:49-0600',mode:absolute,to:'2016-06-13 23:13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38" s="73" t="str">
        <f t="shared" si="39"/>
        <v>Y</v>
      </c>
      <c r="X138" s="73">
        <f>VALUE(LEFT(A138,3))-VALUE(LEFT(A137,3))</f>
        <v>1</v>
      </c>
      <c r="Y138" s="73">
        <f>RIGHT(D138,LEN(D138)-4)/10000</f>
        <v>23.299099999999999</v>
      </c>
      <c r="Z138" s="73">
        <f>RIGHT(H138,LEN(H138)-4)/10000</f>
        <v>15.402100000000001</v>
      </c>
      <c r="AA138" s="73">
        <f t="shared" si="40"/>
        <v>7.8969999999999985</v>
      </c>
      <c r="AB138" s="74" t="e">
        <f>VLOOKUP(A138,Enforcements!$C$21:$J$74,8,0)</f>
        <v>#N/A</v>
      </c>
      <c r="AC138" s="74" t="e">
        <f>VLOOKUP(A138,Enforcements!$C$21:$J$74,3,0)</f>
        <v>#N/A</v>
      </c>
    </row>
    <row r="139" spans="1:29" s="2" customFormat="1" x14ac:dyDescent="0.25">
      <c r="A139" s="60" t="s">
        <v>451</v>
      </c>
      <c r="B139" s="60">
        <v>4010</v>
      </c>
      <c r="C139" s="60" t="s">
        <v>62</v>
      </c>
      <c r="D139" s="60" t="s">
        <v>591</v>
      </c>
      <c r="E139" s="30">
        <v>42534.967314814814</v>
      </c>
      <c r="F139" s="30">
        <v>42534.968124999999</v>
      </c>
      <c r="G139" s="38">
        <v>1</v>
      </c>
      <c r="H139" s="30" t="s">
        <v>66</v>
      </c>
      <c r="I139" s="30">
        <v>42534.990868055553</v>
      </c>
      <c r="J139" s="60">
        <v>0</v>
      </c>
      <c r="K139" s="60" t="str">
        <f t="shared" si="32"/>
        <v>4009/4010</v>
      </c>
      <c r="L139" s="60" t="str">
        <f>VLOOKUP(A139,'Trips&amp;Operators'!$C$1:$E$9999,3,FALSE)</f>
        <v>STRICKLAND</v>
      </c>
      <c r="M139" s="12">
        <f t="shared" si="33"/>
        <v>2.2743055553291924E-2</v>
      </c>
      <c r="N139" s="13"/>
      <c r="O139" s="13"/>
      <c r="P139" s="13"/>
      <c r="Q139" s="61"/>
      <c r="R139" s="61"/>
      <c r="S139" s="108">
        <f t="shared" si="37"/>
        <v>1</v>
      </c>
      <c r="T139" s="86" t="str">
        <f t="shared" si="38"/>
        <v>Southbound</v>
      </c>
      <c r="U139" s="109">
        <f>COUNTIFS([1]Variables!$M$2:$M$19,IF(T139="NorthBound","&gt;=","&lt;=")&amp;Y139,[1]Variables!$M$2:$M$19,IF(T139="NorthBound","&lt;=","&gt;=")&amp;Z139)</f>
        <v>12</v>
      </c>
      <c r="V139" s="73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https://search-rtdc-monitor-bjffxe2xuh6vdkpspy63sjmuny.us-east-1.es.amazonaws.com/_plugin/kibana/#/discover/Steve-Slow-Train-Analysis-(2080s-and-2083s)?_g=(refreshInterval:(display:Off,section:0,value:0),time:(from:'2016-06-13 23:11:56-0600',mode:absolute,to:'2016-06-13 23:47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39" s="73" t="str">
        <f t="shared" si="39"/>
        <v>Y</v>
      </c>
      <c r="X139" s="73">
        <f>VALUE(LEFT(A139,3))-VALUE(LEFT(A138,3))</f>
        <v>0</v>
      </c>
      <c r="Y139" s="73">
        <f>RIGHT(D139,LEN(D139)-4)/10000</f>
        <v>15.401</v>
      </c>
      <c r="Z139" s="73">
        <f>RIGHT(H139,LEN(H139)-4)/10000</f>
        <v>1.52E-2</v>
      </c>
      <c r="AA139" s="73">
        <f t="shared" si="40"/>
        <v>15.3858</v>
      </c>
      <c r="AB139" s="74" t="e">
        <f>VLOOKUP(A139,Enforcements!$C$21:$J$74,8,0)</f>
        <v>#N/A</v>
      </c>
      <c r="AC139" s="74" t="e">
        <f>VLOOKUP(A139,Enforcements!$C$21:$J$74,3,0)</f>
        <v>#N/A</v>
      </c>
    </row>
    <row r="140" spans="1:29" s="2" customFormat="1" x14ac:dyDescent="0.25">
      <c r="A140" s="60" t="s">
        <v>370</v>
      </c>
      <c r="B140" s="60">
        <v>4009</v>
      </c>
      <c r="C140" s="60" t="s">
        <v>62</v>
      </c>
      <c r="D140" s="60" t="s">
        <v>593</v>
      </c>
      <c r="E140" s="30">
        <v>42534.854837962965</v>
      </c>
      <c r="F140" s="30">
        <v>42534.855567129627</v>
      </c>
      <c r="G140" s="38">
        <v>1</v>
      </c>
      <c r="H140" s="30" t="s">
        <v>594</v>
      </c>
      <c r="I140" s="30">
        <v>42534.856921296298</v>
      </c>
      <c r="J140" s="60">
        <v>0</v>
      </c>
      <c r="K140" s="60" t="str">
        <f t="shared" si="32"/>
        <v>4009/4010</v>
      </c>
      <c r="L140" s="60" t="str">
        <f>VLOOKUP(A140,'Trips&amp;Operators'!$C$1:$E$9999,3,FALSE)</f>
        <v>STRICKLAND</v>
      </c>
      <c r="M140" s="12">
        <f t="shared" si="33"/>
        <v>1.3541666703531519E-3</v>
      </c>
      <c r="N140" s="13"/>
      <c r="O140" s="13"/>
      <c r="P140" s="13">
        <f>24*60*SUM($M140:$M141)</f>
        <v>1.9500000053085387</v>
      </c>
      <c r="Q140" s="61"/>
      <c r="R140" s="61" t="s">
        <v>603</v>
      </c>
      <c r="S140" s="108">
        <f t="shared" si="37"/>
        <v>0</v>
      </c>
      <c r="T140" s="86" t="str">
        <f t="shared" si="38"/>
        <v>NorthBound</v>
      </c>
      <c r="U140" s="109">
        <f>COUNTIFS([1]Variables!$M$2:$M$19,IF(T140="NorthBound","&gt;=","&lt;=")&amp;Y140,[1]Variables!$M$2:$M$19,IF(T140="NorthBound","&lt;=","&gt;=")&amp;Z140)</f>
        <v>0</v>
      </c>
      <c r="V140" s="73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https://search-rtdc-monitor-bjffxe2xuh6vdkpspy63sjmuny.us-east-1.es.amazonaws.com/_plugin/kibana/#/discover/Steve-Slow-Train-Analysis-(2080s-and-2083s)?_g=(refreshInterval:(display:Off,section:0,value:0),time:(from:'2016-06-13 20:29:58-0600',mode:absolute,to:'2016-06-13 20:34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40" s="73" t="str">
        <f t="shared" si="39"/>
        <v>Y</v>
      </c>
      <c r="X140" s="73">
        <f>VALUE(LEFT(A140,3))-VALUE(LEFT(A139,3))</f>
        <v>1</v>
      </c>
      <c r="Y140" s="73">
        <f>RIGHT(D140,LEN(D140)-4)/10000</f>
        <v>6.6600000000000006E-2</v>
      </c>
      <c r="Z140" s="73">
        <f>RIGHT(H140,LEN(H140)-4)/10000</f>
        <v>0.12690000000000001</v>
      </c>
      <c r="AA140" s="73">
        <f t="shared" si="40"/>
        <v>6.0300000000000006E-2</v>
      </c>
      <c r="AB140" s="74" t="e">
        <f>VLOOKUP(A140,Enforcements!$C$21:$J$74,8,0)</f>
        <v>#N/A</v>
      </c>
      <c r="AC140" s="74" t="e">
        <f>VLOOKUP(A140,Enforcements!$C$21:$J$74,3,0)</f>
        <v>#N/A</v>
      </c>
    </row>
    <row r="141" spans="1:29" s="2" customFormat="1" x14ac:dyDescent="0.25">
      <c r="A141" s="60" t="s">
        <v>370</v>
      </c>
      <c r="B141" s="60">
        <v>4009</v>
      </c>
      <c r="C141" s="60" t="s">
        <v>62</v>
      </c>
      <c r="D141" s="60" t="s">
        <v>592</v>
      </c>
      <c r="E141" s="30">
        <v>42534.857418981483</v>
      </c>
      <c r="F141" s="30">
        <v>42534.861041666663</v>
      </c>
      <c r="G141" s="38">
        <v>5</v>
      </c>
      <c r="H141" s="30" t="s">
        <v>592</v>
      </c>
      <c r="I141" s="30">
        <v>42534.861041666663</v>
      </c>
      <c r="J141" s="60">
        <v>0</v>
      </c>
      <c r="K141" s="60" t="str">
        <f t="shared" ref="K141:K150" si="41">IF(ISEVEN(B141),(B141-1)&amp;"/"&amp;B141,B141&amp;"/"&amp;(B141+1))</f>
        <v>4009/4010</v>
      </c>
      <c r="L141" s="60" t="str">
        <f>VLOOKUP(A141,'Trips&amp;Operators'!$C$1:$E$9999,3,FALSE)</f>
        <v>STRICKLAND</v>
      </c>
      <c r="M141" s="12">
        <f t="shared" ref="M141:M150" si="42">I141-F141</f>
        <v>0</v>
      </c>
      <c r="N141" s="13"/>
      <c r="O141" s="13"/>
      <c r="P141" s="13"/>
      <c r="Q141" s="61"/>
      <c r="R141" s="61"/>
      <c r="S141" s="108">
        <f t="shared" si="37"/>
        <v>0</v>
      </c>
      <c r="T141" s="86" t="str">
        <f t="shared" si="38"/>
        <v>NorthBound</v>
      </c>
      <c r="U141" s="109">
        <f>COUNTIFS([1]Variables!$M$2:$M$19,IF(T141="NorthBound","&gt;=","&lt;=")&amp;Y141,[1]Variables!$M$2:$M$19,IF(T141="NorthBound","&lt;=","&gt;=")&amp;Z141)</f>
        <v>0</v>
      </c>
      <c r="V141" s="73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https://search-rtdc-monitor-bjffxe2xuh6vdkpspy63sjmuny.us-east-1.es.amazonaws.com/_plugin/kibana/#/discover/Steve-Slow-Train-Analysis-(2080s-and-2083s)?_g=(refreshInterval:(display:Off,section:0,value:0),time:(from:'2016-06-13 20:33:41-0600',mode:absolute,to:'2016-06-13 20:40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41" s="73" t="str">
        <f t="shared" si="39"/>
        <v>Y</v>
      </c>
      <c r="X141" s="73">
        <f>VALUE(LEFT(A141,3))-VALUE(LEFT(A140,3))</f>
        <v>0</v>
      </c>
      <c r="Y141" s="73">
        <f>RIGHT(D141,LEN(D141)-4)/10000</f>
        <v>1.9128000000000001</v>
      </c>
      <c r="Z141" s="73">
        <f>RIGHT(H141,LEN(H141)-4)/10000</f>
        <v>1.9128000000000001</v>
      </c>
      <c r="AA141" s="73">
        <f t="shared" si="40"/>
        <v>0</v>
      </c>
      <c r="AB141" s="74" t="e">
        <f>VLOOKUP(A141,Enforcements!$C$21:$J$74,8,0)</f>
        <v>#N/A</v>
      </c>
      <c r="AC141" s="74" t="e">
        <f>VLOOKUP(A141,Enforcements!$C$21:$J$74,3,0)</f>
        <v>#N/A</v>
      </c>
    </row>
    <row r="142" spans="1:29" s="2" customFormat="1" x14ac:dyDescent="0.25">
      <c r="A142" s="60" t="s">
        <v>408</v>
      </c>
      <c r="B142" s="60">
        <v>4019</v>
      </c>
      <c r="C142" s="60" t="s">
        <v>62</v>
      </c>
      <c r="D142" s="60" t="s">
        <v>315</v>
      </c>
      <c r="E142" s="30">
        <v>42534.97314814815</v>
      </c>
      <c r="F142" s="30">
        <v>42534.974062499998</v>
      </c>
      <c r="G142" s="38">
        <v>1</v>
      </c>
      <c r="H142" s="30" t="s">
        <v>127</v>
      </c>
      <c r="I142" s="30">
        <v>42535.005543981482</v>
      </c>
      <c r="J142" s="60">
        <v>0</v>
      </c>
      <c r="K142" s="60" t="str">
        <f t="shared" si="41"/>
        <v>4019/4020</v>
      </c>
      <c r="L142" s="60" t="str">
        <f>VLOOKUP(A142,'Trips&amp;Operators'!$C$1:$E$9999,3,FALSE)</f>
        <v>BARTLETT</v>
      </c>
      <c r="M142" s="12">
        <f t="shared" si="42"/>
        <v>3.1481481484661344E-2</v>
      </c>
      <c r="N142" s="13">
        <f t="shared" ref="N142:P150" si="43">24*60*SUM($M142:$M142)</f>
        <v>45.333333337912336</v>
      </c>
      <c r="O142" s="13"/>
      <c r="P142" s="13"/>
      <c r="Q142" s="61"/>
      <c r="R142" s="61"/>
      <c r="S142" s="108">
        <f t="shared" si="37"/>
        <v>1</v>
      </c>
      <c r="T142" s="86" t="str">
        <f t="shared" si="38"/>
        <v>Southbound</v>
      </c>
      <c r="U142" s="109">
        <f>COUNTIFS([1]Variables!$M$2:$M$19,IF(T142="NorthBound","&gt;=","&lt;=")&amp;Y142,[1]Variables!$M$2:$M$19,IF(T142="NorthBound","&lt;=","&gt;=")&amp;Z142)</f>
        <v>12</v>
      </c>
      <c r="V142" s="73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https://search-rtdc-monitor-bjffxe2xuh6vdkpspy63sjmuny.us-east-1.es.amazonaws.com/_plugin/kibana/#/discover/Steve-Slow-Train-Analysis-(2080s-and-2083s)?_g=(refreshInterval:(display:Off,section:0,value:0),time:(from:'2016-06-13 23:20:20-0600',mode:absolute,to:'2016-06-14 00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2" s="73" t="str">
        <f t="shared" si="39"/>
        <v>N</v>
      </c>
      <c r="X142" s="73">
        <f>VALUE(LEFT(A142,3))-VALUE(LEFT(A141,3))</f>
        <v>1</v>
      </c>
      <c r="Y142" s="73">
        <f>RIGHT(D142,LEN(D142)-4)/10000</f>
        <v>23.3</v>
      </c>
      <c r="Z142" s="73">
        <f>RIGHT(H142,LEN(H142)-4)/10000</f>
        <v>1.6299999999999999E-2</v>
      </c>
      <c r="AA142" s="73">
        <f t="shared" si="40"/>
        <v>23.2837</v>
      </c>
      <c r="AB142" s="74" t="e">
        <f>VLOOKUP(A142,Enforcements!$C$21:$J$74,8,0)</f>
        <v>#N/A</v>
      </c>
      <c r="AC142" s="74" t="e">
        <f>VLOOKUP(A142,Enforcements!$C$21:$J$74,3,0)</f>
        <v>#N/A</v>
      </c>
    </row>
    <row r="143" spans="1:29" s="2" customFormat="1" x14ac:dyDescent="0.25">
      <c r="A143" s="60" t="s">
        <v>335</v>
      </c>
      <c r="B143" s="60">
        <v>4044</v>
      </c>
      <c r="C143" s="60" t="s">
        <v>62</v>
      </c>
      <c r="D143" s="60" t="s">
        <v>595</v>
      </c>
      <c r="E143" s="30">
        <v>42534.948807870373</v>
      </c>
      <c r="F143" s="30">
        <v>42534.949895833335</v>
      </c>
      <c r="G143" s="38">
        <v>1</v>
      </c>
      <c r="H143" s="30" t="s">
        <v>131</v>
      </c>
      <c r="I143" s="30">
        <v>42534.992175925923</v>
      </c>
      <c r="J143" s="60">
        <v>0</v>
      </c>
      <c r="K143" s="60" t="str">
        <f t="shared" si="41"/>
        <v>4043/4044</v>
      </c>
      <c r="L143" s="60" t="str">
        <f>VLOOKUP(A143,'Trips&amp;Operators'!$C$1:$E$9999,3,FALSE)</f>
        <v>REBOLETTI</v>
      </c>
      <c r="M143" s="12">
        <f t="shared" si="42"/>
        <v>4.2280092588043772E-2</v>
      </c>
      <c r="N143" s="13">
        <f t="shared" si="43"/>
        <v>60.883333326783031</v>
      </c>
      <c r="O143" s="13"/>
      <c r="P143" s="13"/>
      <c r="Q143" s="61"/>
      <c r="R143" s="61"/>
      <c r="S143" s="108">
        <f t="shared" si="37"/>
        <v>1</v>
      </c>
      <c r="T143" s="86" t="str">
        <f t="shared" si="38"/>
        <v>NorthBound</v>
      </c>
      <c r="U143" s="109">
        <f>COUNTIFS([1]Variables!$M$2:$M$19,IF(T143="NorthBound","&gt;=","&lt;=")&amp;Y143,[1]Variables!$M$2:$M$19,IF(T143="NorthBound","&lt;=","&gt;=")&amp;Z143)</f>
        <v>12</v>
      </c>
      <c r="V143" s="73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https://search-rtdc-monitor-bjffxe2xuh6vdkpspy63sjmuny.us-east-1.es.amazonaws.com/_plugin/kibana/#/discover/Steve-Slow-Train-Analysis-(2080s-and-2083s)?_g=(refreshInterval:(display:Off,section:0,value:0),time:(from:'2016-06-13 22:45:17-0600',mode:absolute,to:'2016-06-13 23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3" s="73" t="str">
        <f t="shared" si="39"/>
        <v>N</v>
      </c>
      <c r="X143" s="73">
        <f>VALUE(LEFT(A143,3))-VALUE(LEFT(A142,3))</f>
        <v>1</v>
      </c>
      <c r="Y143" s="73">
        <f>RIGHT(D143,LEN(D143)-4)/10000</f>
        <v>6.5299999999999997E-2</v>
      </c>
      <c r="Z143" s="73">
        <f>RIGHT(H143,LEN(H143)-4)/10000</f>
        <v>23.3323</v>
      </c>
      <c r="AA143" s="73">
        <f t="shared" si="40"/>
        <v>23.266999999999999</v>
      </c>
      <c r="AB143" s="74" t="e">
        <f>VLOOKUP(A143,Enforcements!$C$21:$J$74,8,0)</f>
        <v>#N/A</v>
      </c>
      <c r="AC143" s="74" t="e">
        <f>VLOOKUP(A143,Enforcements!$C$21:$J$74,3,0)</f>
        <v>#N/A</v>
      </c>
    </row>
    <row r="144" spans="1:29" s="2" customFormat="1" x14ac:dyDescent="0.25">
      <c r="A144" s="60" t="s">
        <v>341</v>
      </c>
      <c r="B144" s="60">
        <v>4043</v>
      </c>
      <c r="C144" s="60" t="s">
        <v>62</v>
      </c>
      <c r="D144" s="60" t="s">
        <v>87</v>
      </c>
      <c r="E144" s="30">
        <v>42534.994143518517</v>
      </c>
      <c r="F144" s="30">
        <v>42534.994942129626</v>
      </c>
      <c r="G144" s="38">
        <v>1</v>
      </c>
      <c r="H144" s="30" t="s">
        <v>66</v>
      </c>
      <c r="I144" s="30">
        <v>42535.027326388888</v>
      </c>
      <c r="J144" s="60">
        <v>1</v>
      </c>
      <c r="K144" s="60" t="str">
        <f t="shared" si="41"/>
        <v>4043/4044</v>
      </c>
      <c r="L144" s="60" t="str">
        <f>VLOOKUP(A144,'Trips&amp;Operators'!$C$1:$E$9999,3,FALSE)</f>
        <v>REBOLETTI</v>
      </c>
      <c r="M144" s="12">
        <f t="shared" si="42"/>
        <v>3.238425926247146E-2</v>
      </c>
      <c r="N144" s="13">
        <f t="shared" si="43"/>
        <v>46.633333337958902</v>
      </c>
      <c r="O144" s="13"/>
      <c r="P144" s="13"/>
      <c r="Q144" s="61"/>
      <c r="R144" s="61"/>
      <c r="S144" s="108">
        <f t="shared" si="37"/>
        <v>1</v>
      </c>
      <c r="T144" s="86" t="str">
        <f t="shared" si="38"/>
        <v>Southbound</v>
      </c>
      <c r="U144" s="109">
        <f>COUNTIFS([1]Variables!$M$2:$M$19,IF(T144="NorthBound","&gt;=","&lt;=")&amp;Y144,[1]Variables!$M$2:$M$19,IF(T144="NorthBound","&lt;=","&gt;=")&amp;Z144)</f>
        <v>12</v>
      </c>
      <c r="V144" s="73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https://search-rtdc-monitor-bjffxe2xuh6vdkpspy63sjmuny.us-east-1.es.amazonaws.com/_plugin/kibana/#/discover/Steve-Slow-Train-Analysis-(2080s-and-2083s)?_g=(refreshInterval:(display:Off,section:0,value:0),time:(from:'2016-06-13 23:50:34-0600',mode:absolute,to:'2016-06-14 00:40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4" s="73" t="str">
        <f t="shared" si="39"/>
        <v>N</v>
      </c>
      <c r="X144" s="73">
        <f>VALUE(LEFT(A144,3))-VALUE(LEFT(A143,3))</f>
        <v>1</v>
      </c>
      <c r="Y144" s="73">
        <f>RIGHT(D144,LEN(D144)-4)/10000</f>
        <v>23.299099999999999</v>
      </c>
      <c r="Z144" s="73">
        <f>RIGHT(H144,LEN(H144)-4)/10000</f>
        <v>1.52E-2</v>
      </c>
      <c r="AA144" s="73">
        <f t="shared" si="40"/>
        <v>23.283899999999999</v>
      </c>
      <c r="AB144" s="74">
        <f>VLOOKUP(A144,Enforcements!$C$21:$J$74,8,0)</f>
        <v>231269</v>
      </c>
      <c r="AC144" s="74" t="str">
        <f>VLOOKUP(A144,Enforcements!$C$21:$J$74,3,0)</f>
        <v>PERMANENT SPEED RESTRICTION</v>
      </c>
    </row>
    <row r="145" spans="1:29" s="2" customFormat="1" x14ac:dyDescent="0.25">
      <c r="A145" s="60" t="s">
        <v>366</v>
      </c>
      <c r="B145" s="60">
        <v>4018</v>
      </c>
      <c r="C145" s="60" t="s">
        <v>62</v>
      </c>
      <c r="D145" s="60" t="s">
        <v>596</v>
      </c>
      <c r="E145" s="30">
        <v>42534.977118055554</v>
      </c>
      <c r="F145" s="30">
        <v>42534.978819444441</v>
      </c>
      <c r="G145" s="38">
        <v>2</v>
      </c>
      <c r="H145" s="30" t="s">
        <v>320</v>
      </c>
      <c r="I145" s="30">
        <v>42535.008472222224</v>
      </c>
      <c r="J145" s="60">
        <v>0</v>
      </c>
      <c r="K145" s="60" t="str">
        <f t="shared" si="41"/>
        <v>4017/4018</v>
      </c>
      <c r="L145" s="60" t="str">
        <f>VLOOKUP(A145,'Trips&amp;Operators'!$C$1:$E$9999,3,FALSE)</f>
        <v>YOUNG</v>
      </c>
      <c r="M145" s="12">
        <f t="shared" si="42"/>
        <v>2.9652777782757767E-2</v>
      </c>
      <c r="N145" s="13">
        <f t="shared" si="43"/>
        <v>42.700000007171184</v>
      </c>
      <c r="O145" s="13"/>
      <c r="P145" s="13"/>
      <c r="Q145" s="61"/>
      <c r="R145" s="61"/>
      <c r="S145" s="108">
        <f t="shared" si="37"/>
        <v>1</v>
      </c>
      <c r="T145" s="86" t="str">
        <f t="shared" si="38"/>
        <v>NorthBound</v>
      </c>
      <c r="U145" s="109">
        <f>COUNTIFS([1]Variables!$M$2:$M$19,IF(T145="NorthBound","&gt;=","&lt;=")&amp;Y145,[1]Variables!$M$2:$M$19,IF(T145="NorthBound","&lt;=","&gt;=")&amp;Z145)</f>
        <v>12</v>
      </c>
      <c r="V145" s="73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https://search-rtdc-monitor-bjffxe2xuh6vdkpspy63sjmuny.us-east-1.es.amazonaws.com/_plugin/kibana/#/discover/Steve-Slow-Train-Analysis-(2080s-and-2083s)?_g=(refreshInterval:(display:Off,section:0,value:0),time:(from:'2016-06-13 23:26:03-0600',mode:absolute,to:'2016-06-14 00:13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5" s="73" t="str">
        <f t="shared" si="39"/>
        <v>N</v>
      </c>
      <c r="X145" s="73">
        <f>VALUE(LEFT(A145,3))-VALUE(LEFT(A144,3))</f>
        <v>1</v>
      </c>
      <c r="Y145" s="73">
        <f>RIGHT(D145,LEN(D145)-4)/10000</f>
        <v>4.9299999999999997E-2</v>
      </c>
      <c r="Z145" s="73">
        <f>RIGHT(H145,LEN(H145)-4)/10000</f>
        <v>23.328900000000001</v>
      </c>
      <c r="AA145" s="73">
        <f t="shared" si="40"/>
        <v>23.279600000000002</v>
      </c>
      <c r="AB145" s="74" t="e">
        <f>VLOOKUP(A145,Enforcements!$C$21:$J$74,8,0)</f>
        <v>#N/A</v>
      </c>
      <c r="AC145" s="74" t="e">
        <f>VLOOKUP(A145,Enforcements!$C$21:$J$74,3,0)</f>
        <v>#N/A</v>
      </c>
    </row>
    <row r="146" spans="1:29" s="2" customFormat="1" x14ac:dyDescent="0.25">
      <c r="A146" s="60" t="s">
        <v>363</v>
      </c>
      <c r="B146" s="60">
        <v>4017</v>
      </c>
      <c r="C146" s="60" t="s">
        <v>62</v>
      </c>
      <c r="D146" s="60" t="s">
        <v>104</v>
      </c>
      <c r="E146" s="30">
        <v>42535.011145833334</v>
      </c>
      <c r="F146" s="30">
        <v>42535.012361111112</v>
      </c>
      <c r="G146" s="38">
        <v>1</v>
      </c>
      <c r="H146" s="30" t="s">
        <v>127</v>
      </c>
      <c r="I146" s="30">
        <v>42535.05096064815</v>
      </c>
      <c r="J146" s="60">
        <v>1</v>
      </c>
      <c r="K146" s="60" t="str">
        <f t="shared" si="41"/>
        <v>4017/4018</v>
      </c>
      <c r="L146" s="60" t="str">
        <f>VLOOKUP(A146,'Trips&amp;Operators'!$C$1:$E$9999,3,FALSE)</f>
        <v>YOUNG</v>
      </c>
      <c r="M146" s="12">
        <f t="shared" si="42"/>
        <v>3.8599537037953269E-2</v>
      </c>
      <c r="N146" s="13">
        <f t="shared" si="43"/>
        <v>55.583333334652707</v>
      </c>
      <c r="O146" s="13"/>
      <c r="P146" s="13"/>
      <c r="Q146" s="61"/>
      <c r="R146" s="61"/>
      <c r="S146" s="108">
        <f t="shared" si="37"/>
        <v>1</v>
      </c>
      <c r="T146" s="86" t="str">
        <f t="shared" si="38"/>
        <v>Southbound</v>
      </c>
      <c r="U146" s="109">
        <f>COUNTIFS([1]Variables!$M$2:$M$19,IF(T146="NorthBound","&gt;=","&lt;=")&amp;Y146,[1]Variables!$M$2:$M$19,IF(T146="NorthBound","&lt;=","&gt;=")&amp;Z146)</f>
        <v>12</v>
      </c>
      <c r="V146" s="73" t="str">
        <f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https://search-rtdc-monitor-bjffxe2xuh6vdkpspy63sjmuny.us-east-1.es.amazonaws.com/_plugin/kibana/#/discover/Steve-Slow-Train-Analysis-(2080s-and-2083s)?_g=(refreshInterval:(display:Off,section:0,value:0),time:(from:'2016-06-14 00:15:03-0600',mode:absolute,to:'2016-06-14 01:14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6" s="73" t="str">
        <f t="shared" si="39"/>
        <v>N</v>
      </c>
      <c r="X146" s="73">
        <f>VALUE(LEFT(A146,3))-VALUE(LEFT(A145,3))</f>
        <v>1</v>
      </c>
      <c r="Y146" s="73">
        <f>RIGHT(D146,LEN(D146)-4)/10000</f>
        <v>23.2989</v>
      </c>
      <c r="Z146" s="73">
        <f>RIGHT(H146,LEN(H146)-4)/10000</f>
        <v>1.6299999999999999E-2</v>
      </c>
      <c r="AA146" s="73">
        <f t="shared" si="40"/>
        <v>23.282599999999999</v>
      </c>
      <c r="AB146" s="74">
        <f>VLOOKUP(A146,Enforcements!$C$21:$J$74,8,0)</f>
        <v>1</v>
      </c>
      <c r="AC146" s="74" t="str">
        <f>VLOOKUP(A146,Enforcements!$C$21:$J$74,3,0)</f>
        <v>TRACK WARRANT AUTHORITY</v>
      </c>
    </row>
    <row r="147" spans="1:29" s="2" customFormat="1" x14ac:dyDescent="0.25">
      <c r="A147" s="60" t="s">
        <v>397</v>
      </c>
      <c r="B147" s="60">
        <v>4009</v>
      </c>
      <c r="C147" s="60" t="s">
        <v>62</v>
      </c>
      <c r="D147" s="60" t="s">
        <v>273</v>
      </c>
      <c r="E147" s="30">
        <v>42534.992106481484</v>
      </c>
      <c r="F147" s="30">
        <v>42534.993136574078</v>
      </c>
      <c r="G147" s="38">
        <v>1</v>
      </c>
      <c r="H147" s="30" t="s">
        <v>82</v>
      </c>
      <c r="I147" s="30">
        <v>42535.027905092589</v>
      </c>
      <c r="J147" s="60">
        <v>5</v>
      </c>
      <c r="K147" s="60" t="str">
        <f t="shared" si="41"/>
        <v>4009/4010</v>
      </c>
      <c r="L147" s="60" t="str">
        <f>VLOOKUP(A147,'Trips&amp;Operators'!$C$1:$E$9999,3,FALSE)</f>
        <v>STRICKLAND</v>
      </c>
      <c r="M147" s="12">
        <f t="shared" si="42"/>
        <v>3.4768518511555158E-2</v>
      </c>
      <c r="N147" s="13">
        <f t="shared" si="43"/>
        <v>50.066666656639427</v>
      </c>
      <c r="O147" s="13"/>
      <c r="P147" s="13"/>
      <c r="Q147" s="61"/>
      <c r="R147" s="61"/>
      <c r="S147" s="108">
        <f t="shared" si="37"/>
        <v>1</v>
      </c>
      <c r="T147" s="86" t="str">
        <f t="shared" si="38"/>
        <v>NorthBound</v>
      </c>
      <c r="U147" s="109">
        <f>COUNTIFS([1]Variables!$M$2:$M$19,IF(T147="NorthBound","&gt;=","&lt;=")&amp;Y147,[1]Variables!$M$2:$M$19,IF(T147="NorthBound","&lt;=","&gt;=")&amp;Z147)</f>
        <v>12</v>
      </c>
      <c r="V147" s="73" t="str">
        <f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https://search-rtdc-monitor-bjffxe2xuh6vdkpspy63sjmuny.us-east-1.es.amazonaws.com/_plugin/kibana/#/discover/Steve-Slow-Train-Analysis-(2080s-and-2083s)?_g=(refreshInterval:(display:Off,section:0,value:0),time:(from:'2016-06-13 23:47:38-0600',mode:absolute,to:'2016-06-14 00:41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47" s="73" t="str">
        <f t="shared" si="39"/>
        <v>N</v>
      </c>
      <c r="X147" s="73">
        <f>VALUE(LEFT(A147,3))-VALUE(LEFT(A146,3))</f>
        <v>1</v>
      </c>
      <c r="Y147" s="73">
        <f>RIGHT(D147,LEN(D147)-4)/10000</f>
        <v>4.6699999999999998E-2</v>
      </c>
      <c r="Z147" s="73">
        <v>23.3293</v>
      </c>
      <c r="AA147" s="73">
        <f t="shared" ref="AA147:AA148" si="44">ABS(Z147-Y147)</f>
        <v>23.282599999999999</v>
      </c>
      <c r="AB147" s="74">
        <f>VLOOKUP(A147,Enforcements!$C$21:$J$74,8,0)</f>
        <v>191108</v>
      </c>
      <c r="AC147" s="74" t="str">
        <f>VLOOKUP(A147,Enforcements!$C$21:$J$74,3,0)</f>
        <v>PERMANENT SPEED RESTRICTION</v>
      </c>
    </row>
    <row r="148" spans="1:29" s="2" customFormat="1" x14ac:dyDescent="0.25">
      <c r="A148" s="60" t="s">
        <v>477</v>
      </c>
      <c r="B148" s="60">
        <v>4010</v>
      </c>
      <c r="C148" s="60" t="s">
        <v>62</v>
      </c>
      <c r="D148" s="60" t="s">
        <v>117</v>
      </c>
      <c r="E148" s="30">
        <v>42535.036585648151</v>
      </c>
      <c r="F148" s="30">
        <v>42535.037754629629</v>
      </c>
      <c r="G148" s="38">
        <v>1</v>
      </c>
      <c r="H148" s="30" t="s">
        <v>597</v>
      </c>
      <c r="I148" s="30">
        <v>42535.066643518519</v>
      </c>
      <c r="J148" s="60">
        <v>1</v>
      </c>
      <c r="K148" s="60" t="str">
        <f t="shared" si="41"/>
        <v>4009/4010</v>
      </c>
      <c r="L148" s="60" t="str">
        <f>VLOOKUP(A148,'Trips&amp;Operators'!$C$1:$E$9999,3,FALSE)</f>
        <v>STRICKLAND</v>
      </c>
      <c r="M148" s="12">
        <f t="shared" si="42"/>
        <v>2.8888888889923692E-2</v>
      </c>
      <c r="N148" s="13">
        <f t="shared" si="43"/>
        <v>41.600000001490116</v>
      </c>
      <c r="O148" s="13"/>
      <c r="P148" s="13"/>
      <c r="Q148" s="61"/>
      <c r="R148" s="61"/>
      <c r="S148" s="108">
        <f t="shared" si="37"/>
        <v>1</v>
      </c>
      <c r="T148" s="86" t="str">
        <f t="shared" si="38"/>
        <v>Southbound</v>
      </c>
      <c r="U148" s="109">
        <f>COUNTIFS([1]Variables!$M$2:$M$19,IF(T148="NorthBound","&gt;=","&lt;=")&amp;Y148,[1]Variables!$M$2:$M$19,IF(T148="NorthBound","&lt;=","&gt;=")&amp;Z148)</f>
        <v>12</v>
      </c>
      <c r="V148" s="73" t="str">
        <f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https://search-rtdc-monitor-bjffxe2xuh6vdkpspy63sjmuny.us-east-1.es.amazonaws.com/_plugin/kibana/#/discover/Steve-Slow-Train-Analysis-(2080s-and-2083s)?_g=(refreshInterval:(display:Off,section:0,value:0),time:(from:'2016-06-14 00:51:41-0600',mode:absolute,to:'2016-06-14 01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48" s="73" t="str">
        <f t="shared" si="39"/>
        <v>N</v>
      </c>
      <c r="X148" s="73">
        <f>VALUE(LEFT(A148,3))-VALUE(LEFT(A147,3))</f>
        <v>1</v>
      </c>
      <c r="Y148" s="73">
        <f>RIGHT(D148,LEN(D148)-4)/10000</f>
        <v>23.297599999999999</v>
      </c>
      <c r="Z148" s="73">
        <f>RIGHT(H148,LEN(H148)-4)/10000</f>
        <v>0.19259999999999999</v>
      </c>
      <c r="AA148" s="73">
        <f t="shared" si="44"/>
        <v>23.105</v>
      </c>
      <c r="AB148" s="74">
        <f>VLOOKUP(A148,Enforcements!$C$21:$J$74,8,0)</f>
        <v>191108</v>
      </c>
      <c r="AC148" s="74" t="str">
        <f>VLOOKUP(A148,Enforcements!$C$21:$J$74,3,0)</f>
        <v>PERMANENT SPEED RESTRICTION</v>
      </c>
    </row>
    <row r="149" spans="1:29" s="2" customFormat="1" x14ac:dyDescent="0.25">
      <c r="A149" s="60" t="s">
        <v>399</v>
      </c>
      <c r="B149" s="60">
        <v>4020</v>
      </c>
      <c r="C149" s="60" t="s">
        <v>62</v>
      </c>
      <c r="D149" s="60" t="s">
        <v>133</v>
      </c>
      <c r="E149" s="30">
        <v>42535.011562500003</v>
      </c>
      <c r="F149" s="30">
        <v>42535.013379629629</v>
      </c>
      <c r="G149" s="38">
        <v>2</v>
      </c>
      <c r="H149" s="30" t="s">
        <v>115</v>
      </c>
      <c r="I149" s="30">
        <v>42535.047002314815</v>
      </c>
      <c r="J149" s="60">
        <v>0</v>
      </c>
      <c r="K149" s="60" t="str">
        <f t="shared" si="41"/>
        <v>4019/4020</v>
      </c>
      <c r="L149" s="60" t="str">
        <f>VLOOKUP(A149,'Trips&amp;Operators'!$C$1:$E$9999,3,FALSE)</f>
        <v>BARTLETT</v>
      </c>
      <c r="M149" s="12">
        <f t="shared" si="42"/>
        <v>3.3622685186855961E-2</v>
      </c>
      <c r="N149" s="13">
        <f t="shared" si="43"/>
        <v>48.416666669072583</v>
      </c>
      <c r="O149" s="13"/>
      <c r="P149" s="13"/>
      <c r="Q149" s="61"/>
      <c r="R149" s="61"/>
      <c r="S149" s="108">
        <f t="shared" si="37"/>
        <v>1</v>
      </c>
      <c r="T149" s="86" t="str">
        <f t="shared" si="38"/>
        <v>NorthBound</v>
      </c>
      <c r="U149" s="109">
        <f>COUNTIFS([1]Variables!$M$2:$M$19,IF(T149="NorthBound","&gt;=","&lt;=")&amp;Y149,[1]Variables!$M$2:$M$19,IF(T149="NorthBound","&lt;=","&gt;=")&amp;Z149)</f>
        <v>12</v>
      </c>
      <c r="V149" s="73" t="str">
        <f>"https://search-rtdc-monitor-bjffxe2xuh6vdkpspy63sjmuny.us-east-1.es.amazonaws.com/_plugin/kibana/#/discover/Steve-Slow-Train-Analysis-(2080s-and-2083s)?_g=(refreshInterval:(display:Off,section:0,value:0),time:(from:'"&amp;TEXT(E149-1/24/60,"yyyy-MM-DD hh:mm:ss")&amp;"-0600',mode:absolute,to:'"&amp;TEXT(I149+1/24/60,"yyyy-MM-DD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https://search-rtdc-monitor-bjffxe2xuh6vdkpspy63sjmuny.us-east-1.es.amazonaws.com/_plugin/kibana/#/discover/Steve-Slow-Train-Analysis-(2080s-and-2083s)?_g=(refreshInterval:(display:Off,section:0,value:0),time:(from:'2016-06-14 00:15:39-0600',mode:absolute,to:'2016-06-14 01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9" s="73" t="str">
        <f t="shared" si="39"/>
        <v>N</v>
      </c>
      <c r="X149" s="73">
        <f>VALUE(LEFT(A149,3))-VALUE(LEFT(A147,3))</f>
        <v>2</v>
      </c>
      <c r="Y149" s="73">
        <f>RIGHT(D149,LEN(D149)-4)/10000</f>
        <v>4.6399999999999997E-2</v>
      </c>
      <c r="Z149" s="73">
        <f>RIGHT(H149,LEN(H149)-4)/10000</f>
        <v>23.33</v>
      </c>
      <c r="AA149" s="73">
        <f>ABS(Z149-Y149)</f>
        <v>23.2836</v>
      </c>
      <c r="AB149" s="74" t="e">
        <f>VLOOKUP(A149,Enforcements!$C$21:$J$74,8,0)</f>
        <v>#N/A</v>
      </c>
      <c r="AC149" s="74" t="e">
        <f>VLOOKUP(A149,Enforcements!$C$21:$J$74,3,0)</f>
        <v>#N/A</v>
      </c>
    </row>
    <row r="150" spans="1:29" s="2" customFormat="1" x14ac:dyDescent="0.25">
      <c r="A150" s="60" t="s">
        <v>354</v>
      </c>
      <c r="B150" s="60">
        <v>4019</v>
      </c>
      <c r="C150" s="60" t="s">
        <v>62</v>
      </c>
      <c r="D150" s="60" t="s">
        <v>133</v>
      </c>
      <c r="E150" s="30">
        <v>42535.011562500003</v>
      </c>
      <c r="F150" s="30">
        <v>42535.055983796294</v>
      </c>
      <c r="G150" s="38"/>
      <c r="H150" s="30"/>
      <c r="I150" s="30">
        <v>42535.057615740741</v>
      </c>
      <c r="J150" s="60"/>
      <c r="K150" s="60" t="str">
        <f t="shared" si="41"/>
        <v>4019/4020</v>
      </c>
      <c r="L150" s="60" t="str">
        <f>VLOOKUP(A150,'Trips&amp;Operators'!$C$1:$E$9999,3,FALSE)</f>
        <v>BARTLETT</v>
      </c>
      <c r="M150" s="12">
        <f t="shared" si="42"/>
        <v>1.6319444475811906E-3</v>
      </c>
      <c r="N150" s="13"/>
      <c r="O150" s="13"/>
      <c r="P150" s="13">
        <f t="shared" si="43"/>
        <v>2.3500000045169145</v>
      </c>
      <c r="Q150" s="61"/>
      <c r="R150" s="61" t="s">
        <v>324</v>
      </c>
      <c r="S150" s="108">
        <f t="shared" si="37"/>
        <v>0</v>
      </c>
      <c r="T150" s="86" t="str">
        <f t="shared" si="38"/>
        <v>Southbound</v>
      </c>
      <c r="U150" s="109">
        <f>COUNTIFS([1]Variables!$M$2:$M$19,IF(T150="NorthBound","&gt;=","&lt;=")&amp;Y150,[1]Variables!$M$2:$M$19,IF(T150="NorthBound","&lt;=","&gt;=")&amp;Z150)</f>
        <v>0</v>
      </c>
      <c r="V150" s="73" t="str">
        <f>"https://search-rtdc-monitor-bjffxe2xuh6vdkpspy63sjmuny.us-east-1.es.amazonaws.com/_plugin/kibana/#/discover/Steve-Slow-Train-Analysis-(2080s-and-2083s)?_g=(refreshInterval:(display:Off,section:0,value:0),time:(from:'"&amp;TEXT(E150-1/24/60,"yyyy-MM-DD hh:mm:ss")&amp;"-0600',mode:absolute,to:'"&amp;TEXT(I150+1/24/60,"yyyy-MM-DD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150&amp;"%22')),sort:!(Time,asc))"</f>
        <v>https://search-rtdc-monitor-bjffxe2xuh6vdkpspy63sjmuny.us-east-1.es.amazonaws.com/_plugin/kibana/#/discover/Steve-Slow-Train-Analysis-(2080s-and-2083s)?_g=(refreshInterval:(display:Off,section:0,value:0),time:(from:'2016-06-14 00:15:39-0600',mode:absolute,to:'2016-06-14 01:23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0" s="73" t="str">
        <f t="shared" si="39"/>
        <v>Y</v>
      </c>
      <c r="X150" s="73">
        <f>VALUE(LEFT(A150,3))-VALUE(LEFT(A148,3))</f>
        <v>2</v>
      </c>
      <c r="Y150" s="73"/>
      <c r="Z150" s="73"/>
      <c r="AA150" s="73">
        <f>ABS(Z150-Y150)</f>
        <v>0</v>
      </c>
      <c r="AB150" s="74" t="e">
        <f>VLOOKUP(A150,Enforcements!$C$21:$J$74,8,0)</f>
        <v>#N/A</v>
      </c>
      <c r="AC150" s="74" t="e">
        <f>VLOOKUP(A150,Enforcements!$C$21:$J$74,3,0)</f>
        <v>#N/A</v>
      </c>
    </row>
    <row r="151" spans="1:29" s="2" customFormat="1" x14ac:dyDescent="0.25">
      <c r="A151" s="62"/>
      <c r="B151" s="62"/>
      <c r="C151" s="62"/>
      <c r="D151" s="62"/>
      <c r="E151" s="63"/>
      <c r="F151" s="63"/>
      <c r="G151" s="64"/>
      <c r="H151" s="63"/>
      <c r="I151" s="63"/>
      <c r="J151" s="62"/>
      <c r="K151" s="62"/>
      <c r="L151" s="62"/>
      <c r="M151" s="65"/>
      <c r="N151" s="66"/>
      <c r="O151" s="66"/>
      <c r="P151" s="66"/>
      <c r="Q151" s="67"/>
      <c r="R151" s="67"/>
      <c r="V151" s="73"/>
      <c r="W151" s="73"/>
      <c r="X151" s="73"/>
      <c r="Y151" s="73"/>
      <c r="Z151" s="73"/>
      <c r="AA151" s="73"/>
      <c r="AB151" s="74"/>
      <c r="AC151" s="74"/>
    </row>
    <row r="152" spans="1:29" s="2" customFormat="1" ht="15.75" thickBot="1" x14ac:dyDescent="0.3">
      <c r="A152" s="62"/>
      <c r="B152" s="62"/>
      <c r="C152" s="62"/>
      <c r="D152" s="62"/>
      <c r="E152" s="63"/>
      <c r="F152" s="63"/>
      <c r="G152" s="64"/>
      <c r="H152" s="63"/>
      <c r="I152" s="63"/>
      <c r="J152" s="62"/>
      <c r="K152" s="62"/>
      <c r="L152" s="62"/>
      <c r="M152" s="65"/>
      <c r="N152" s="66"/>
      <c r="O152" s="66"/>
      <c r="P152" s="66"/>
      <c r="Q152" s="67"/>
      <c r="R152" s="67"/>
      <c r="V152" s="68"/>
      <c r="W152" s="68"/>
      <c r="X152" s="68"/>
      <c r="Y152" s="68"/>
      <c r="Z152" s="68"/>
      <c r="AA152" s="68"/>
      <c r="AB152" s="69"/>
      <c r="AC152" s="69"/>
    </row>
    <row r="153" spans="1:29" s="2" customFormat="1" ht="15.75" thickBot="1" x14ac:dyDescent="0.3">
      <c r="E153" s="31"/>
      <c r="F153" s="31"/>
      <c r="G153" s="39"/>
      <c r="H153" s="31"/>
      <c r="I153" s="95">
        <f>Variables!A2</f>
        <v>42534</v>
      </c>
      <c r="J153" s="96"/>
      <c r="K153" s="75"/>
      <c r="L153" s="75"/>
      <c r="M153" s="97" t="s">
        <v>8</v>
      </c>
      <c r="N153" s="98"/>
      <c r="O153" s="99"/>
      <c r="P153" s="5"/>
      <c r="V153" s="56"/>
      <c r="W153" s="56"/>
      <c r="X153" s="56"/>
      <c r="Y153" s="56"/>
      <c r="Z153" s="56"/>
      <c r="AA153" s="56"/>
      <c r="AB153" s="57"/>
      <c r="AC153" s="57"/>
    </row>
    <row r="154" spans="1:29" s="2" customFormat="1" ht="15.75" thickBot="1" x14ac:dyDescent="0.3">
      <c r="E154" s="31"/>
      <c r="F154" s="31"/>
      <c r="G154" s="39"/>
      <c r="H154" s="31"/>
      <c r="I154" s="100" t="s">
        <v>10</v>
      </c>
      <c r="J154" s="101"/>
      <c r="K154" s="35"/>
      <c r="L154" s="58"/>
      <c r="M154" s="9" t="s">
        <v>11</v>
      </c>
      <c r="N154" s="6" t="s">
        <v>12</v>
      </c>
      <c r="O154" s="7" t="s">
        <v>13</v>
      </c>
      <c r="P154" s="5"/>
      <c r="V154" s="56"/>
      <c r="W154" s="56"/>
      <c r="X154" s="56"/>
      <c r="Y154" s="56"/>
      <c r="Z154" s="56"/>
      <c r="AA154" s="56"/>
      <c r="AB154" s="57"/>
      <c r="AC154" s="57"/>
    </row>
    <row r="155" spans="1:29" s="2" customFormat="1" ht="15.75" thickBot="1" x14ac:dyDescent="0.3">
      <c r="E155" s="31"/>
      <c r="F155" s="31"/>
      <c r="G155" s="39"/>
      <c r="H155" s="31"/>
      <c r="I155" s="32" t="s">
        <v>14</v>
      </c>
      <c r="J155" s="3">
        <f>COUNT(N3:P150)</f>
        <v>141</v>
      </c>
      <c r="K155" s="3"/>
      <c r="L155" s="3"/>
      <c r="M155" s="70" t="s">
        <v>15</v>
      </c>
      <c r="N155" s="6" t="s">
        <v>15</v>
      </c>
      <c r="O155" s="7" t="s">
        <v>15</v>
      </c>
      <c r="P155" s="5"/>
      <c r="V155" s="56"/>
      <c r="W155" s="56"/>
      <c r="X155" s="56"/>
      <c r="Y155" s="56"/>
      <c r="Z155" s="56"/>
      <c r="AA155" s="56"/>
      <c r="AB155" s="57"/>
      <c r="AC155" s="57"/>
    </row>
    <row r="156" spans="1:29" s="2" customFormat="1" ht="15.75" thickBot="1" x14ac:dyDescent="0.3">
      <c r="E156" s="31"/>
      <c r="F156" s="31"/>
      <c r="G156" s="39"/>
      <c r="H156" s="31"/>
      <c r="I156" s="32" t="s">
        <v>17</v>
      </c>
      <c r="J156" s="3">
        <f>COUNT(N3:N150)</f>
        <v>117</v>
      </c>
      <c r="K156" s="3"/>
      <c r="L156" s="3"/>
      <c r="M156" s="70">
        <f>AVERAGE(N3:N150)</f>
        <v>44.923789173167627</v>
      </c>
      <c r="N156" s="6">
        <f>MIN(N3:N150)</f>
        <v>36.783333329949528</v>
      </c>
      <c r="O156" s="7">
        <f>MAX(N3:N150)</f>
        <v>76.250000002328306</v>
      </c>
      <c r="P156" s="5"/>
      <c r="V156" s="56"/>
      <c r="W156" s="56"/>
      <c r="X156" s="56"/>
      <c r="Y156" s="56"/>
      <c r="Z156" s="56"/>
      <c r="AA156" s="56"/>
      <c r="AB156" s="57"/>
      <c r="AC156" s="57"/>
    </row>
    <row r="157" spans="1:29" s="2" customFormat="1" ht="15.75" thickBot="1" x14ac:dyDescent="0.3">
      <c r="B157" s="59"/>
      <c r="C157" s="59"/>
      <c r="D157" s="59"/>
      <c r="E157" s="14"/>
      <c r="F157" s="14"/>
      <c r="G157" s="40"/>
      <c r="H157" s="14"/>
      <c r="I157" s="33" t="s">
        <v>45</v>
      </c>
      <c r="J157" s="3">
        <f>COUNT(O3:O150)</f>
        <v>0</v>
      </c>
      <c r="K157" s="3"/>
      <c r="L157" s="3"/>
      <c r="M157" s="70">
        <f>IFERROR(AVERAGE(O3:O150),0)</f>
        <v>0</v>
      </c>
      <c r="N157" s="6">
        <f>MIN(O3:O150)</f>
        <v>0</v>
      </c>
      <c r="O157" s="7">
        <f>MAX(O3:O150)</f>
        <v>0</v>
      </c>
      <c r="P157" s="4"/>
      <c r="Q157"/>
      <c r="R157"/>
      <c r="S157"/>
      <c r="T157" s="59"/>
      <c r="U157" s="59"/>
      <c r="V157" s="54"/>
      <c r="W157" s="54"/>
      <c r="X157" s="54"/>
      <c r="Y157" s="54"/>
      <c r="Z157" s="54"/>
      <c r="AA157" s="54"/>
      <c r="AB157" s="55"/>
      <c r="AC157" s="55"/>
    </row>
    <row r="158" spans="1:29" s="2" customFormat="1" ht="15.75" thickBot="1" x14ac:dyDescent="0.3">
      <c r="B158" s="59"/>
      <c r="C158" s="59"/>
      <c r="D158" s="59"/>
      <c r="E158" s="14"/>
      <c r="F158" s="14"/>
      <c r="G158" s="40"/>
      <c r="H158" s="14"/>
      <c r="I158" s="34" t="s">
        <v>9</v>
      </c>
      <c r="J158" s="3">
        <f>COUNT(P3:P150)</f>
        <v>24</v>
      </c>
      <c r="K158" s="3"/>
      <c r="L158" s="3"/>
      <c r="M158" s="70" t="s">
        <v>15</v>
      </c>
      <c r="N158" s="6" t="s">
        <v>15</v>
      </c>
      <c r="O158" s="7" t="s">
        <v>15</v>
      </c>
      <c r="P158" s="4"/>
      <c r="Q158"/>
      <c r="R158"/>
      <c r="S158"/>
      <c r="T158" s="59"/>
      <c r="U158" s="59"/>
      <c r="V158" s="54"/>
      <c r="W158" s="54"/>
      <c r="X158" s="54"/>
      <c r="Y158" s="54"/>
      <c r="Z158" s="54"/>
      <c r="AA158" s="54"/>
      <c r="AB158" s="55"/>
      <c r="AC158" s="55"/>
    </row>
    <row r="159" spans="1:29" s="2" customFormat="1" ht="30.75" thickBot="1" x14ac:dyDescent="0.3">
      <c r="E159" s="31"/>
      <c r="F159" s="31"/>
      <c r="G159" s="39"/>
      <c r="H159" s="31"/>
      <c r="I159" s="32" t="s">
        <v>16</v>
      </c>
      <c r="J159" s="3">
        <f>COUNT(N3:O150)</f>
        <v>117</v>
      </c>
      <c r="K159" s="3"/>
      <c r="L159" s="3"/>
      <c r="M159" s="70">
        <f>AVERAGE(N3:P150)</f>
        <v>42.861820330788838</v>
      </c>
      <c r="N159" s="6">
        <f>MIN(N3:O150)</f>
        <v>36.783333329949528</v>
      </c>
      <c r="O159" s="7">
        <f>MAX(N3:O150)</f>
        <v>76.250000002328306</v>
      </c>
      <c r="P159" s="5"/>
      <c r="V159" s="56"/>
      <c r="W159" s="56"/>
      <c r="X159" s="56"/>
      <c r="Y159" s="56"/>
      <c r="Z159" s="56"/>
      <c r="AA159" s="56"/>
      <c r="AB159" s="57"/>
      <c r="AC159" s="57"/>
    </row>
    <row r="160" spans="1:29" s="2" customFormat="1" ht="30.75" thickBot="1" x14ac:dyDescent="0.3">
      <c r="B160" s="59"/>
      <c r="C160" s="59"/>
      <c r="D160" s="59"/>
      <c r="E160" s="14"/>
      <c r="F160" s="14"/>
      <c r="G160" s="40"/>
      <c r="H160" s="14"/>
      <c r="I160" s="32" t="s">
        <v>19</v>
      </c>
      <c r="J160" s="8">
        <f>J159/J155</f>
        <v>0.82978723404255317</v>
      </c>
      <c r="K160" s="8"/>
      <c r="L160" s="8"/>
      <c r="M160" s="1"/>
      <c r="N160" s="4"/>
      <c r="O160" s="4"/>
      <c r="P160" s="4"/>
      <c r="Q160"/>
      <c r="R160"/>
      <c r="S160"/>
      <c r="T160" s="59"/>
      <c r="U160" s="59"/>
      <c r="V160" s="54"/>
      <c r="W160" s="54"/>
      <c r="X160" s="54"/>
      <c r="Y160" s="54"/>
      <c r="Z160" s="54"/>
      <c r="AA160" s="54"/>
      <c r="AB160" s="55"/>
      <c r="AC160" s="55"/>
    </row>
    <row r="161" spans="2:29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9"/>
      <c r="U161" s="59"/>
      <c r="V161" s="54"/>
      <c r="W161" s="54"/>
      <c r="X161" s="54"/>
      <c r="Y161" s="54"/>
      <c r="Z161" s="54"/>
      <c r="AA161" s="54"/>
      <c r="AB161" s="55"/>
      <c r="AC161" s="55"/>
    </row>
    <row r="162" spans="2:29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9"/>
      <c r="U162" s="59"/>
      <c r="V162" s="54"/>
      <c r="W162" s="54"/>
      <c r="X162" s="54"/>
      <c r="Y162" s="54"/>
      <c r="Z162" s="54"/>
      <c r="AA162" s="54"/>
      <c r="AB162" s="55"/>
      <c r="AC162" s="55"/>
    </row>
    <row r="163" spans="2:29" s="2" customFormat="1" x14ac:dyDescent="0.25">
      <c r="B163" s="59"/>
      <c r="C163" s="59"/>
      <c r="D163" s="59"/>
      <c r="E163" s="14"/>
      <c r="F163" s="14"/>
      <c r="G163" s="40"/>
      <c r="H163" s="14"/>
      <c r="I163" s="14"/>
      <c r="J163" s="59"/>
      <c r="K163"/>
      <c r="L163" s="59"/>
      <c r="M163" s="1"/>
      <c r="N163" s="4"/>
      <c r="O163" s="4"/>
      <c r="P163" s="4"/>
      <c r="Q163"/>
      <c r="R163"/>
      <c r="S163"/>
      <c r="T163" s="59"/>
      <c r="U163" s="59"/>
      <c r="V163" s="54"/>
      <c r="W163" s="54"/>
      <c r="X163" s="54"/>
      <c r="Y163" s="54"/>
      <c r="Z163" s="54"/>
      <c r="AA163" s="54"/>
      <c r="AB163" s="55"/>
      <c r="AC163" s="55"/>
    </row>
    <row r="164" spans="2:29" s="2" customFormat="1" x14ac:dyDescent="0.25">
      <c r="B164" s="59"/>
      <c r="C164" s="59"/>
      <c r="D164" s="59"/>
      <c r="E164" s="14"/>
      <c r="F164" s="14"/>
      <c r="G164" s="40"/>
      <c r="H164" s="14"/>
      <c r="I164" s="14"/>
      <c r="J164" s="59"/>
      <c r="K164"/>
      <c r="L164" s="59"/>
      <c r="M164" s="1"/>
      <c r="N164" s="4"/>
      <c r="O164" s="4"/>
      <c r="P164" s="4"/>
      <c r="Q164"/>
      <c r="R164"/>
      <c r="S164"/>
      <c r="T164" s="59"/>
      <c r="U164" s="59"/>
      <c r="V164" s="54"/>
      <c r="W164" s="54"/>
      <c r="X164" s="54"/>
      <c r="Y164" s="54"/>
      <c r="Z164" s="54"/>
      <c r="AA164" s="54"/>
      <c r="AB164" s="55"/>
      <c r="AC164" s="55"/>
    </row>
    <row r="165" spans="2:29" s="2" customFormat="1" x14ac:dyDescent="0.25">
      <c r="B165" s="59"/>
      <c r="C165" s="59"/>
      <c r="D165" s="59"/>
      <c r="E165" s="14"/>
      <c r="F165" s="14"/>
      <c r="G165" s="40"/>
      <c r="H165" s="14"/>
      <c r="I165" s="14"/>
      <c r="J165" s="59"/>
      <c r="K165"/>
      <c r="L165" s="59"/>
      <c r="M165" s="1"/>
      <c r="N165" s="4"/>
      <c r="O165" s="4"/>
      <c r="P165" s="4"/>
      <c r="Q165"/>
      <c r="R165"/>
      <c r="S165"/>
      <c r="T165" s="59"/>
      <c r="U165" s="59"/>
      <c r="V165" s="54"/>
      <c r="W165" s="54"/>
      <c r="X165" s="54"/>
      <c r="Y165" s="54"/>
      <c r="Z165" s="54"/>
      <c r="AA165" s="54"/>
      <c r="AB165" s="55"/>
      <c r="AC165" s="55"/>
    </row>
    <row r="168" spans="2:29" s="2" customFormat="1" x14ac:dyDescent="0.25">
      <c r="B168" s="59"/>
      <c r="C168" s="59"/>
      <c r="D168" s="59"/>
      <c r="E168" s="14"/>
      <c r="F168" s="14"/>
      <c r="G168" s="40"/>
      <c r="H168" s="14"/>
      <c r="I168" s="14"/>
      <c r="J168" s="59"/>
      <c r="K168"/>
      <c r="L168" s="59"/>
      <c r="M168" s="1"/>
      <c r="N168" s="4"/>
      <c r="O168" s="4"/>
      <c r="P168" s="4"/>
      <c r="Q168"/>
      <c r="R168"/>
      <c r="S168"/>
      <c r="T168" s="59"/>
      <c r="U168" s="59"/>
      <c r="V168" s="54"/>
      <c r="W168" s="54"/>
      <c r="X168" s="54"/>
      <c r="Y168" s="54"/>
      <c r="Z168" s="54"/>
      <c r="AA168" s="54"/>
      <c r="AB168" s="55"/>
      <c r="AC168" s="55"/>
    </row>
  </sheetData>
  <autoFilter ref="A2:AC150">
    <sortState ref="A3:AA136">
      <sortCondition ref="F2:F136"/>
    </sortState>
  </autoFilter>
  <sortState ref="A125:R140">
    <sortCondition ref="A3:A150"/>
    <sortCondition ref="F3:F150"/>
  </sortState>
  <mergeCells count="4">
    <mergeCell ref="I153:J153"/>
    <mergeCell ref="M153:O153"/>
    <mergeCell ref="I154:J154"/>
    <mergeCell ref="A1:P1"/>
  </mergeCells>
  <conditionalFormatting sqref="W1:W2 W150:X1048576 W3:X148">
    <cfRule type="cellIs" dxfId="64" priority="39" operator="equal">
      <formula>"Y"</formula>
    </cfRule>
  </conditionalFormatting>
  <conditionalFormatting sqref="X150:X1048576 X3:X148">
    <cfRule type="cellIs" dxfId="63" priority="22" operator="greaterThan">
      <formula>1</formula>
    </cfRule>
  </conditionalFormatting>
  <conditionalFormatting sqref="X150:X1048576 X2:X148">
    <cfRule type="cellIs" dxfId="62" priority="19" operator="equal">
      <formula>0</formula>
    </cfRule>
  </conditionalFormatting>
  <conditionalFormatting sqref="A151:R151 A150:M150 O150 Q150:R150 A3:R148">
    <cfRule type="expression" dxfId="61" priority="14">
      <formula>$P3&gt;0</formula>
    </cfRule>
    <cfRule type="expression" dxfId="60" priority="15">
      <formula>$O3&gt;0</formula>
    </cfRule>
  </conditionalFormatting>
  <conditionalFormatting sqref="W149:X149">
    <cfRule type="cellIs" dxfId="59" priority="12" operator="equal">
      <formula>"Y"</formula>
    </cfRule>
  </conditionalFormatting>
  <conditionalFormatting sqref="X149">
    <cfRule type="cellIs" dxfId="58" priority="11" operator="greaterThan">
      <formula>1</formula>
    </cfRule>
  </conditionalFormatting>
  <conditionalFormatting sqref="X149">
    <cfRule type="cellIs" dxfId="57" priority="10" operator="equal">
      <formula>0</formula>
    </cfRule>
  </conditionalFormatting>
  <conditionalFormatting sqref="A149:R149 N150">
    <cfRule type="expression" dxfId="56" priority="8">
      <formula>$P149&gt;0</formula>
    </cfRule>
    <cfRule type="expression" dxfId="55" priority="9">
      <formula>$O149&gt;0</formula>
    </cfRule>
  </conditionalFormatting>
  <conditionalFormatting sqref="P150">
    <cfRule type="expression" dxfId="54" priority="5">
      <formula>$P150&gt;0</formula>
    </cfRule>
    <cfRule type="expression" dxfId="53" priority="6">
      <formula>$O150&gt;0</formula>
    </cfRule>
  </conditionalFormatting>
  <conditionalFormatting sqref="S3:S150">
    <cfRule type="expression" dxfId="8" priority="3">
      <formula>$O3&gt;0</formula>
    </cfRule>
  </conditionalFormatting>
  <conditionalFormatting sqref="S3:S150">
    <cfRule type="expression" dxfId="6" priority="2">
      <formula>$P3&gt;0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A151:R151 A150:M150 O150 Q150:R150 A3:R148</xm:sqref>
        </x14:conditionalFormatting>
        <x14:conditionalFormatting xmlns:xm="http://schemas.microsoft.com/office/excel/2006/main">
          <x14:cfRule type="expression" priority="7" id="{F2B618DE-59E0-4FAC-A0AA-720AC5D5610D}">
            <xm:f>$N149&gt;Variables!$C$2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A149:R149 N150</xm:sqref>
        </x14:conditionalFormatting>
        <x14:conditionalFormatting xmlns:xm="http://schemas.microsoft.com/office/excel/2006/main">
          <x14:cfRule type="expression" priority="4" id="{E406BB63-91B1-4559-8D58-D261A47C65A5}">
            <xm:f>$N150&gt;Variables!$C$2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P150</xm:sqref>
        </x14:conditionalFormatting>
        <x14:conditionalFormatting xmlns:xm="http://schemas.microsoft.com/office/excel/2006/main">
          <x14:cfRule type="expression" priority="1" id="{D5D8A185-1835-46FB-97BF-5F3F04F786CA}">
            <xm:f>$N3&gt;'[Train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showGridLines="0" topLeftCell="A3" zoomScale="85" zoomScaleNormal="85" workbookViewId="0">
      <selection activeCell="C46" sqref="C46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0"/>
  </cols>
  <sheetData>
    <row r="1" spans="1:17" s="26" customFormat="1" ht="15" customHeight="1" x14ac:dyDescent="0.25">
      <c r="A1" s="103" t="str">
        <f>"Eagle P3 Braking Events - "&amp;TEXT(Variables!$A$2,"YYYY-mm-dd")</f>
        <v>Eagle P3 Braking Events - 2016-06-13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27"/>
      <c r="P1" s="78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1" t="s">
        <v>85</v>
      </c>
    </row>
    <row r="3" spans="1:17" s="2" customFormat="1" x14ac:dyDescent="0.25">
      <c r="A3" s="23">
        <v>42534.219467592593</v>
      </c>
      <c r="B3" s="22" t="s">
        <v>285</v>
      </c>
      <c r="C3" s="22" t="s">
        <v>441</v>
      </c>
      <c r="D3" s="22" t="s">
        <v>57</v>
      </c>
      <c r="E3" s="22" t="s">
        <v>290</v>
      </c>
      <c r="F3" s="22">
        <v>790</v>
      </c>
      <c r="G3" s="22">
        <v>841</v>
      </c>
      <c r="H3" s="22">
        <v>140756</v>
      </c>
      <c r="I3" s="22" t="s">
        <v>61</v>
      </c>
      <c r="J3" s="22">
        <v>110617</v>
      </c>
      <c r="K3" s="21" t="s">
        <v>55</v>
      </c>
      <c r="L3" s="21" t="str">
        <f>VLOOKUP(C3,'Trips&amp;Operators'!$C$1:$E$9999,3,FALSE)</f>
        <v>SPECTOR</v>
      </c>
      <c r="M3" s="20" t="s">
        <v>68</v>
      </c>
      <c r="N3" s="21" t="s">
        <v>601</v>
      </c>
      <c r="P3" s="79" t="str">
        <f>VLOOKUP(C3,'Train Runs'!$A$3:$V$260,20,0)</f>
        <v>NorthBound</v>
      </c>
      <c r="Q3" s="19" t="str">
        <f t="shared" ref="Q3:Q20" si="0">MID(B3,13,4)</f>
        <v>4011</v>
      </c>
    </row>
    <row r="4" spans="1:17" s="2" customFormat="1" x14ac:dyDescent="0.25">
      <c r="A4" s="23">
        <v>42534.463333333333</v>
      </c>
      <c r="B4" s="22" t="s">
        <v>157</v>
      </c>
      <c r="C4" s="22" t="s">
        <v>433</v>
      </c>
      <c r="D4" s="22" t="s">
        <v>52</v>
      </c>
      <c r="E4" s="22" t="s">
        <v>92</v>
      </c>
      <c r="F4" s="22">
        <v>0</v>
      </c>
      <c r="G4" s="22">
        <v>439</v>
      </c>
      <c r="H4" s="22">
        <v>60065</v>
      </c>
      <c r="I4" s="22" t="s">
        <v>93</v>
      </c>
      <c r="J4" s="22">
        <v>63068</v>
      </c>
      <c r="K4" s="21" t="s">
        <v>55</v>
      </c>
      <c r="L4" s="21" t="str">
        <f>VLOOKUP(C4,'Trips&amp;Operators'!$C$1:$E$9999,3,FALSE)</f>
        <v>ADANE</v>
      </c>
      <c r="M4" s="20" t="s">
        <v>68</v>
      </c>
      <c r="N4" s="21" t="s">
        <v>326</v>
      </c>
      <c r="P4" s="79" t="str">
        <f>VLOOKUP(C4,'Train Runs'!$A$3:$V$260,20,0)</f>
        <v>NorthBound</v>
      </c>
      <c r="Q4" s="19" t="str">
        <f t="shared" si="0"/>
        <v>4044</v>
      </c>
    </row>
    <row r="5" spans="1:17" s="2" customFormat="1" x14ac:dyDescent="0.25">
      <c r="A5" s="23">
        <v>42534.530046296299</v>
      </c>
      <c r="B5" s="22" t="s">
        <v>157</v>
      </c>
      <c r="C5" s="22" t="s">
        <v>394</v>
      </c>
      <c r="D5" s="22" t="s">
        <v>52</v>
      </c>
      <c r="E5" s="22" t="s">
        <v>92</v>
      </c>
      <c r="F5" s="22">
        <v>0</v>
      </c>
      <c r="G5" s="22">
        <v>388</v>
      </c>
      <c r="H5" s="22">
        <v>60263</v>
      </c>
      <c r="I5" s="22" t="s">
        <v>93</v>
      </c>
      <c r="J5" s="22">
        <v>63068</v>
      </c>
      <c r="K5" s="21" t="s">
        <v>55</v>
      </c>
      <c r="L5" s="21" t="str">
        <f>VLOOKUP(C5,'Trips&amp;Operators'!$C$1:$E$9999,3,FALSE)</f>
        <v>ADANE</v>
      </c>
      <c r="M5" s="20" t="s">
        <v>68</v>
      </c>
      <c r="N5" s="21" t="s">
        <v>326</v>
      </c>
      <c r="P5" s="79" t="str">
        <f>VLOOKUP(C5,'Train Runs'!$A$3:$V$260,20,0)</f>
        <v>NorthBound</v>
      </c>
      <c r="Q5" s="19" t="str">
        <f t="shared" si="0"/>
        <v>4044</v>
      </c>
    </row>
    <row r="6" spans="1:17" s="2" customFormat="1" x14ac:dyDescent="0.25">
      <c r="A6" s="23">
        <v>42534.92832175926</v>
      </c>
      <c r="B6" s="22" t="s">
        <v>287</v>
      </c>
      <c r="C6" s="22" t="s">
        <v>384</v>
      </c>
      <c r="D6" s="22" t="s">
        <v>52</v>
      </c>
      <c r="E6" s="22" t="s">
        <v>92</v>
      </c>
      <c r="F6" s="22">
        <v>0</v>
      </c>
      <c r="G6" s="22">
        <v>60</v>
      </c>
      <c r="H6" s="22">
        <v>62410</v>
      </c>
      <c r="I6" s="22" t="s">
        <v>93</v>
      </c>
      <c r="J6" s="22">
        <v>63068</v>
      </c>
      <c r="K6" s="21" t="s">
        <v>55</v>
      </c>
      <c r="L6" s="21" t="str">
        <f>VLOOKUP(C6,'Trips&amp;Operators'!$C$1:$E$9999,3,FALSE)</f>
        <v>STRICKLAND</v>
      </c>
      <c r="M6" s="20" t="s">
        <v>68</v>
      </c>
      <c r="N6" s="21" t="s">
        <v>326</v>
      </c>
      <c r="P6" s="79" t="str">
        <f>VLOOKUP(C6,'Train Runs'!$A$3:$V$260,20,0)</f>
        <v>Southbound</v>
      </c>
      <c r="Q6" s="19" t="str">
        <f t="shared" si="0"/>
        <v>4010</v>
      </c>
    </row>
    <row r="7" spans="1:17" s="2" customFormat="1" x14ac:dyDescent="0.25">
      <c r="A7" s="23">
        <v>42534.92900462963</v>
      </c>
      <c r="B7" s="22" t="s">
        <v>287</v>
      </c>
      <c r="C7" s="22" t="s">
        <v>384</v>
      </c>
      <c r="D7" s="22" t="s">
        <v>57</v>
      </c>
      <c r="E7" s="22" t="s">
        <v>92</v>
      </c>
      <c r="F7" s="22">
        <v>0</v>
      </c>
      <c r="G7" s="22">
        <v>6</v>
      </c>
      <c r="H7" s="22">
        <v>63093</v>
      </c>
      <c r="I7" s="22" t="s">
        <v>93</v>
      </c>
      <c r="J7" s="22">
        <v>63068</v>
      </c>
      <c r="K7" s="21" t="s">
        <v>55</v>
      </c>
      <c r="L7" s="21" t="str">
        <f>VLOOKUP(C7,'Trips&amp;Operators'!$C$1:$E$9999,3,FALSE)</f>
        <v>STRICKLAND</v>
      </c>
      <c r="M7" s="20" t="s">
        <v>68</v>
      </c>
      <c r="N7" s="21" t="s">
        <v>326</v>
      </c>
      <c r="P7" s="79" t="str">
        <f>VLOOKUP(C7,'Train Runs'!$A$3:$V$260,20,0)</f>
        <v>Southbound</v>
      </c>
      <c r="Q7" s="19" t="str">
        <f t="shared" si="0"/>
        <v>4010</v>
      </c>
    </row>
    <row r="8" spans="1:17" s="2" customFormat="1" x14ac:dyDescent="0.25">
      <c r="A8" s="23">
        <v>42535.057129629633</v>
      </c>
      <c r="B8" s="22" t="s">
        <v>113</v>
      </c>
      <c r="C8" s="22" t="s">
        <v>397</v>
      </c>
      <c r="D8" s="22" t="s">
        <v>52</v>
      </c>
      <c r="E8" s="22" t="s">
        <v>92</v>
      </c>
      <c r="F8" s="22">
        <v>0</v>
      </c>
      <c r="G8" s="22">
        <v>81</v>
      </c>
      <c r="H8" s="22">
        <v>64047</v>
      </c>
      <c r="I8" s="22" t="s">
        <v>93</v>
      </c>
      <c r="J8" s="22">
        <v>63309</v>
      </c>
      <c r="K8" s="21" t="s">
        <v>56</v>
      </c>
      <c r="L8" s="21" t="str">
        <f>VLOOKUP(C8,'Trips&amp;Operators'!$C$1:$E$9999,3,FALSE)</f>
        <v>STRICKLAND</v>
      </c>
      <c r="M8" s="20" t="s">
        <v>68</v>
      </c>
      <c r="N8" s="21" t="s">
        <v>326</v>
      </c>
      <c r="P8" s="79" t="str">
        <f>VLOOKUP(C8,'Train Runs'!$A$3:$V$260,20,0)</f>
        <v>NorthBound</v>
      </c>
      <c r="Q8" s="19" t="str">
        <f t="shared" si="0"/>
        <v>4009</v>
      </c>
    </row>
    <row r="9" spans="1:17" s="2" customFormat="1" x14ac:dyDescent="0.25">
      <c r="A9" s="23">
        <v>42535.059641203705</v>
      </c>
      <c r="B9" s="22" t="s">
        <v>113</v>
      </c>
      <c r="C9" s="22" t="s">
        <v>397</v>
      </c>
      <c r="D9" s="22" t="s">
        <v>57</v>
      </c>
      <c r="E9" s="22" t="s">
        <v>92</v>
      </c>
      <c r="F9" s="22">
        <v>0</v>
      </c>
      <c r="G9" s="22">
        <v>12</v>
      </c>
      <c r="H9" s="22">
        <v>63288</v>
      </c>
      <c r="I9" s="22" t="s">
        <v>93</v>
      </c>
      <c r="J9" s="22">
        <v>63309</v>
      </c>
      <c r="K9" s="21" t="s">
        <v>56</v>
      </c>
      <c r="L9" s="21" t="str">
        <f>VLOOKUP(C9,'Trips&amp;Operators'!$C$1:$E$9999,3,FALSE)</f>
        <v>STRICKLAND</v>
      </c>
      <c r="M9" s="20" t="s">
        <v>68</v>
      </c>
      <c r="N9" s="21" t="s">
        <v>326</v>
      </c>
      <c r="P9" s="79" t="str">
        <f>VLOOKUP(C9,'Train Runs'!$A$3:$V$260,20,0)</f>
        <v>NorthBound</v>
      </c>
      <c r="Q9" s="19" t="str">
        <f t="shared" si="0"/>
        <v>4009</v>
      </c>
    </row>
    <row r="10" spans="1:17" s="2" customFormat="1" x14ac:dyDescent="0.25">
      <c r="A10" s="23">
        <v>42534.318333333336</v>
      </c>
      <c r="B10" s="22" t="s">
        <v>107</v>
      </c>
      <c r="C10" s="22" t="s">
        <v>352</v>
      </c>
      <c r="D10" s="22" t="s">
        <v>52</v>
      </c>
      <c r="E10" s="22" t="s">
        <v>92</v>
      </c>
      <c r="F10" s="22">
        <v>150</v>
      </c>
      <c r="G10" s="22">
        <v>147</v>
      </c>
      <c r="H10" s="22">
        <v>63838</v>
      </c>
      <c r="I10" s="22" t="s">
        <v>93</v>
      </c>
      <c r="J10" s="22">
        <v>63309</v>
      </c>
      <c r="K10" s="21" t="s">
        <v>56</v>
      </c>
      <c r="L10" s="21" t="str">
        <f>VLOOKUP(C10,'Trips&amp;Operators'!$C$1:$E$9999,3,FALSE)</f>
        <v>STARKS</v>
      </c>
      <c r="M10" s="20" t="s">
        <v>68</v>
      </c>
      <c r="N10" s="21"/>
      <c r="P10" s="79" t="str">
        <f>VLOOKUP(C10,'Train Runs'!$A$3:$V$260,20,0)</f>
        <v>Southbound</v>
      </c>
      <c r="Q10" s="19" t="str">
        <f t="shared" si="0"/>
        <v>4019</v>
      </c>
    </row>
    <row r="11" spans="1:17" s="2" customFormat="1" x14ac:dyDescent="0.25">
      <c r="A11" s="23">
        <v>42534.56559027778</v>
      </c>
      <c r="B11" s="22" t="s">
        <v>108</v>
      </c>
      <c r="C11" s="22" t="s">
        <v>357</v>
      </c>
      <c r="D11" s="22" t="s">
        <v>57</v>
      </c>
      <c r="E11" s="22" t="s">
        <v>92</v>
      </c>
      <c r="F11" s="22">
        <v>150</v>
      </c>
      <c r="G11" s="22">
        <v>204</v>
      </c>
      <c r="H11" s="22">
        <v>63287</v>
      </c>
      <c r="I11" s="22" t="s">
        <v>93</v>
      </c>
      <c r="J11" s="22">
        <v>63068</v>
      </c>
      <c r="K11" s="21" t="s">
        <v>55</v>
      </c>
      <c r="L11" s="21" t="str">
        <f>VLOOKUP(C11,'Trips&amp;Operators'!$C$1:$E$9999,3,FALSE)</f>
        <v>BRABO</v>
      </c>
      <c r="M11" s="20" t="s">
        <v>68</v>
      </c>
      <c r="N11" s="21"/>
      <c r="P11" s="79" t="str">
        <f>VLOOKUP(C11,'Train Runs'!$A$3:$V$260,20,0)</f>
        <v>NorthBound</v>
      </c>
      <c r="Q11" s="19" t="str">
        <f t="shared" si="0"/>
        <v>4020</v>
      </c>
    </row>
    <row r="12" spans="1:17" s="2" customFormat="1" x14ac:dyDescent="0.25">
      <c r="A12" s="23">
        <v>42534.691157407404</v>
      </c>
      <c r="B12" s="22" t="s">
        <v>107</v>
      </c>
      <c r="C12" s="22" t="s">
        <v>478</v>
      </c>
      <c r="D12" s="22" t="s">
        <v>52</v>
      </c>
      <c r="E12" s="22" t="s">
        <v>60</v>
      </c>
      <c r="F12" s="22">
        <v>150</v>
      </c>
      <c r="G12" s="22">
        <v>192</v>
      </c>
      <c r="H12" s="22">
        <v>5303</v>
      </c>
      <c r="I12" s="22" t="s">
        <v>61</v>
      </c>
      <c r="J12" s="22">
        <v>4677</v>
      </c>
      <c r="K12" s="21" t="s">
        <v>56</v>
      </c>
      <c r="L12" s="21" t="str">
        <f>VLOOKUP(C12,'Trips&amp;Operators'!$C$1:$E$9999,3,FALSE)</f>
        <v>BRABO</v>
      </c>
      <c r="M12" s="20" t="s">
        <v>68</v>
      </c>
      <c r="N12" s="21"/>
      <c r="P12" s="79" t="str">
        <f>VLOOKUP(C12,'Train Runs'!$A$3:$V$260,20,0)</f>
        <v>Southbound</v>
      </c>
      <c r="Q12" s="19" t="str">
        <f t="shared" si="0"/>
        <v>4019</v>
      </c>
    </row>
    <row r="13" spans="1:17" s="2" customFormat="1" x14ac:dyDescent="0.25">
      <c r="A13" s="23">
        <v>42534.692025462966</v>
      </c>
      <c r="B13" s="22" t="s">
        <v>107</v>
      </c>
      <c r="C13" s="22" t="s">
        <v>478</v>
      </c>
      <c r="D13" s="22" t="s">
        <v>52</v>
      </c>
      <c r="E13" s="22" t="s">
        <v>60</v>
      </c>
      <c r="F13" s="22">
        <v>150</v>
      </c>
      <c r="G13" s="22">
        <v>117</v>
      </c>
      <c r="H13" s="22">
        <v>4860</v>
      </c>
      <c r="I13" s="22" t="s">
        <v>61</v>
      </c>
      <c r="J13" s="22">
        <v>4677</v>
      </c>
      <c r="K13" s="21" t="s">
        <v>56</v>
      </c>
      <c r="L13" s="21" t="str">
        <f>VLOOKUP(C13,'Trips&amp;Operators'!$C$1:$E$9999,3,FALSE)</f>
        <v>BRABO</v>
      </c>
      <c r="M13" s="20" t="s">
        <v>68</v>
      </c>
      <c r="N13" s="21"/>
      <c r="P13" s="79" t="str">
        <f>VLOOKUP(C13,'Train Runs'!$A$3:$V$260,20,0)</f>
        <v>Southbound</v>
      </c>
      <c r="Q13" s="19" t="str">
        <f t="shared" si="0"/>
        <v>4019</v>
      </c>
    </row>
    <row r="14" spans="1:17" s="2" customFormat="1" x14ac:dyDescent="0.25">
      <c r="A14" s="23">
        <v>42534.263113425928</v>
      </c>
      <c r="B14" s="22" t="s">
        <v>281</v>
      </c>
      <c r="C14" s="22" t="s">
        <v>367</v>
      </c>
      <c r="D14" s="22" t="s">
        <v>52</v>
      </c>
      <c r="E14" s="22" t="s">
        <v>60</v>
      </c>
      <c r="F14" s="22">
        <v>600</v>
      </c>
      <c r="G14" s="22">
        <v>646</v>
      </c>
      <c r="H14" s="22">
        <v>12872</v>
      </c>
      <c r="I14" s="22" t="s">
        <v>61</v>
      </c>
      <c r="J14" s="22">
        <v>10694</v>
      </c>
      <c r="K14" s="21" t="s">
        <v>56</v>
      </c>
      <c r="L14" s="21" t="str">
        <f>VLOOKUP(C14,'Trips&amp;Operators'!$C$1:$E$9999,3,FALSE)</f>
        <v>SPECTOR</v>
      </c>
      <c r="M14" s="20" t="s">
        <v>68</v>
      </c>
      <c r="N14" s="21"/>
      <c r="P14" s="79" t="str">
        <f>VLOOKUP(C14,'Train Runs'!$A$3:$V$260,20,0)</f>
        <v>Southbound</v>
      </c>
      <c r="Q14" s="19" t="str">
        <f t="shared" si="0"/>
        <v>4012</v>
      </c>
    </row>
    <row r="15" spans="1:17" s="2" customFormat="1" x14ac:dyDescent="0.25">
      <c r="A15" s="23">
        <v>42534.679791666669</v>
      </c>
      <c r="B15" s="22" t="s">
        <v>287</v>
      </c>
      <c r="C15" s="22" t="s">
        <v>439</v>
      </c>
      <c r="D15" s="22" t="s">
        <v>52</v>
      </c>
      <c r="E15" s="22" t="s">
        <v>60</v>
      </c>
      <c r="F15" s="22">
        <v>450</v>
      </c>
      <c r="G15" s="22">
        <v>462</v>
      </c>
      <c r="H15" s="22">
        <v>17283</v>
      </c>
      <c r="I15" s="22" t="s">
        <v>61</v>
      </c>
      <c r="J15" s="22">
        <v>15167</v>
      </c>
      <c r="K15" s="21" t="s">
        <v>56</v>
      </c>
      <c r="L15" s="21" t="str">
        <f>VLOOKUP(C15,'Trips&amp;Operators'!$C$1:$E$9999,3,FALSE)</f>
        <v>HELVIE</v>
      </c>
      <c r="M15" s="20" t="s">
        <v>68</v>
      </c>
      <c r="N15" s="21"/>
      <c r="P15" s="79" t="str">
        <f>VLOOKUP(C15,'Train Runs'!$A$3:$V$260,20,0)</f>
        <v>Southbound</v>
      </c>
      <c r="Q15" s="19" t="str">
        <f t="shared" si="0"/>
        <v>4010</v>
      </c>
    </row>
    <row r="16" spans="1:17" s="2" customFormat="1" x14ac:dyDescent="0.25">
      <c r="A16" s="23">
        <v>42534.263564814813</v>
      </c>
      <c r="B16" s="22" t="s">
        <v>108</v>
      </c>
      <c r="C16" s="22" t="s">
        <v>461</v>
      </c>
      <c r="D16" s="22" t="s">
        <v>52</v>
      </c>
      <c r="E16" s="22" t="s">
        <v>60</v>
      </c>
      <c r="F16" s="22">
        <v>400</v>
      </c>
      <c r="G16" s="22">
        <v>555</v>
      </c>
      <c r="H16" s="22">
        <v>15399</v>
      </c>
      <c r="I16" s="22" t="s">
        <v>61</v>
      </c>
      <c r="J16" s="22">
        <v>17867</v>
      </c>
      <c r="K16" s="21" t="s">
        <v>55</v>
      </c>
      <c r="L16" s="21" t="str">
        <f>VLOOKUP(C16,'Trips&amp;Operators'!$C$1:$E$9999,3,FALSE)</f>
        <v>STARKS</v>
      </c>
      <c r="M16" s="20" t="s">
        <v>68</v>
      </c>
      <c r="N16" s="21"/>
      <c r="P16" s="79" t="str">
        <f>VLOOKUP(C16,'Train Runs'!$A$3:$V$260,20,0)</f>
        <v>NorthBound</v>
      </c>
      <c r="Q16" s="19" t="str">
        <f t="shared" si="0"/>
        <v>4020</v>
      </c>
    </row>
    <row r="17" spans="1:17" s="2" customFormat="1" x14ac:dyDescent="0.25">
      <c r="A17" s="23">
        <v>42534.254884259259</v>
      </c>
      <c r="B17" s="22" t="s">
        <v>113</v>
      </c>
      <c r="C17" s="22" t="s">
        <v>398</v>
      </c>
      <c r="D17" s="22" t="s">
        <v>52</v>
      </c>
      <c r="E17" s="22" t="s">
        <v>60</v>
      </c>
      <c r="F17" s="22">
        <v>300</v>
      </c>
      <c r="G17" s="22">
        <v>281</v>
      </c>
      <c r="H17" s="22">
        <v>20035</v>
      </c>
      <c r="I17" s="22" t="s">
        <v>61</v>
      </c>
      <c r="J17" s="22">
        <v>20338</v>
      </c>
      <c r="K17" s="21" t="s">
        <v>55</v>
      </c>
      <c r="L17" s="21" t="str">
        <f>VLOOKUP(C17,'Trips&amp;Operators'!$C$1:$E$9999,3,FALSE)</f>
        <v>COOLAHAN</v>
      </c>
      <c r="M17" s="20" t="s">
        <v>68</v>
      </c>
      <c r="N17" s="21"/>
      <c r="P17" s="79" t="str">
        <f>VLOOKUP(C17,'Train Runs'!$A$3:$V$260,20,0)</f>
        <v>NorthBound</v>
      </c>
      <c r="Q17" s="19" t="str">
        <f t="shared" si="0"/>
        <v>4009</v>
      </c>
    </row>
    <row r="18" spans="1:17" s="2" customFormat="1" x14ac:dyDescent="0.25">
      <c r="A18" s="23">
        <v>42534.39603009259</v>
      </c>
      <c r="B18" s="22" t="s">
        <v>107</v>
      </c>
      <c r="C18" s="22" t="s">
        <v>426</v>
      </c>
      <c r="D18" s="22" t="s">
        <v>52</v>
      </c>
      <c r="E18" s="22" t="s">
        <v>60</v>
      </c>
      <c r="F18" s="22">
        <v>300</v>
      </c>
      <c r="G18" s="22">
        <v>398</v>
      </c>
      <c r="H18" s="22">
        <v>23248</v>
      </c>
      <c r="I18" s="22" t="s">
        <v>61</v>
      </c>
      <c r="J18" s="22">
        <v>21848</v>
      </c>
      <c r="K18" s="21" t="s">
        <v>56</v>
      </c>
      <c r="L18" s="21" t="str">
        <f>VLOOKUP(C18,'Trips&amp;Operators'!$C$1:$E$9999,3,FALSE)</f>
        <v>STARKS</v>
      </c>
      <c r="M18" s="20" t="s">
        <v>68</v>
      </c>
      <c r="N18" s="21"/>
      <c r="P18" s="79" t="str">
        <f>VLOOKUP(C18,'Train Runs'!$A$3:$V$260,20,0)</f>
        <v>Southbound</v>
      </c>
      <c r="Q18" s="19" t="str">
        <f t="shared" si="0"/>
        <v>4019</v>
      </c>
    </row>
    <row r="19" spans="1:17" s="2" customFormat="1" x14ac:dyDescent="0.25">
      <c r="A19" s="23">
        <v>42534.580972222226</v>
      </c>
      <c r="B19" s="22" t="s">
        <v>97</v>
      </c>
      <c r="C19" s="22" t="s">
        <v>474</v>
      </c>
      <c r="D19" s="22" t="s">
        <v>52</v>
      </c>
      <c r="E19" s="22" t="s">
        <v>60</v>
      </c>
      <c r="F19" s="22">
        <v>200</v>
      </c>
      <c r="G19" s="22">
        <v>308</v>
      </c>
      <c r="H19" s="22">
        <v>32618</v>
      </c>
      <c r="I19" s="22" t="s">
        <v>61</v>
      </c>
      <c r="J19" s="22">
        <v>30562</v>
      </c>
      <c r="K19" s="21" t="s">
        <v>56</v>
      </c>
      <c r="L19" s="21" t="str">
        <f>VLOOKUP(C19,'Trips&amp;Operators'!$C$1:$E$9999,3,FALSE)</f>
        <v>ADANE</v>
      </c>
      <c r="M19" s="20" t="s">
        <v>68</v>
      </c>
      <c r="N19" s="21"/>
      <c r="P19" s="79" t="str">
        <f>VLOOKUP(C19,'Train Runs'!$A$3:$V$260,20,0)</f>
        <v>Southbound</v>
      </c>
      <c r="Q19" s="19" t="str">
        <f t="shared" si="0"/>
        <v>4043</v>
      </c>
    </row>
    <row r="20" spans="1:17" s="2" customFormat="1" x14ac:dyDescent="0.25">
      <c r="A20" s="23">
        <v>42534.698287037034</v>
      </c>
      <c r="B20" s="22" t="s">
        <v>281</v>
      </c>
      <c r="C20" s="22" t="s">
        <v>475</v>
      </c>
      <c r="D20" s="22" t="s">
        <v>52</v>
      </c>
      <c r="E20" s="22" t="s">
        <v>60</v>
      </c>
      <c r="F20" s="22">
        <v>200</v>
      </c>
      <c r="G20" s="22">
        <v>197</v>
      </c>
      <c r="H20" s="22">
        <v>30622</v>
      </c>
      <c r="I20" s="22" t="s">
        <v>61</v>
      </c>
      <c r="J20" s="22">
        <v>30562</v>
      </c>
      <c r="K20" s="21" t="s">
        <v>56</v>
      </c>
      <c r="L20" s="21" t="str">
        <f>VLOOKUP(C20,'Trips&amp;Operators'!$C$1:$E$9999,3,FALSE)</f>
        <v>NELSON</v>
      </c>
      <c r="M20" s="20" t="s">
        <v>68</v>
      </c>
      <c r="N20" s="21"/>
      <c r="P20" s="79" t="str">
        <f>VLOOKUP(C20,'Train Runs'!$A$3:$V$260,20,0)</f>
        <v>Southbound</v>
      </c>
      <c r="Q20" s="19" t="str">
        <f t="shared" si="0"/>
        <v>4012</v>
      </c>
    </row>
    <row r="21" spans="1:17" s="19" customFormat="1" x14ac:dyDescent="0.25">
      <c r="A21" s="23">
        <v>42534.731006944443</v>
      </c>
      <c r="B21" s="22" t="s">
        <v>97</v>
      </c>
      <c r="C21" s="22" t="s">
        <v>336</v>
      </c>
      <c r="D21" s="22" t="s">
        <v>52</v>
      </c>
      <c r="E21" s="22" t="s">
        <v>60</v>
      </c>
      <c r="F21" s="22">
        <v>200</v>
      </c>
      <c r="G21" s="22">
        <v>195</v>
      </c>
      <c r="H21" s="22">
        <v>30662</v>
      </c>
      <c r="I21" s="22" t="s">
        <v>61</v>
      </c>
      <c r="J21" s="22">
        <v>30562</v>
      </c>
      <c r="K21" s="21" t="s">
        <v>56</v>
      </c>
      <c r="L21" s="21" t="str">
        <f>VLOOKUP(C21,'Trips&amp;Operators'!$C$1:$E$9999,3,FALSE)</f>
        <v>ADANE</v>
      </c>
      <c r="M21" s="20" t="s">
        <v>68</v>
      </c>
      <c r="N21" s="21"/>
      <c r="P21" s="79" t="str">
        <f>VLOOKUP(C21,'Train Runs'!$A$3:$V$260,20,0)</f>
        <v>Southbound</v>
      </c>
      <c r="Q21" s="19" t="str">
        <f t="shared" ref="Q21:Q74" si="1">MID(B21,13,4)</f>
        <v>4043</v>
      </c>
    </row>
    <row r="22" spans="1:17" s="19" customFormat="1" x14ac:dyDescent="0.25">
      <c r="A22" s="23">
        <v>42534.725752314815</v>
      </c>
      <c r="B22" s="22" t="s">
        <v>108</v>
      </c>
      <c r="C22" s="22" t="s">
        <v>437</v>
      </c>
      <c r="D22" s="22" t="s">
        <v>52</v>
      </c>
      <c r="E22" s="22" t="s">
        <v>60</v>
      </c>
      <c r="F22" s="22">
        <v>600</v>
      </c>
      <c r="G22" s="22">
        <v>691</v>
      </c>
      <c r="H22" s="22">
        <v>182254</v>
      </c>
      <c r="I22" s="22" t="s">
        <v>61</v>
      </c>
      <c r="J22" s="22">
        <v>183829</v>
      </c>
      <c r="K22" s="21" t="s">
        <v>55</v>
      </c>
      <c r="L22" s="21" t="str">
        <f>VLOOKUP(C22,'Trips&amp;Operators'!$C$1:$E$9999,3,FALSE)</f>
        <v>BRABO</v>
      </c>
      <c r="M22" s="20" t="s">
        <v>68</v>
      </c>
      <c r="N22" s="21"/>
      <c r="P22" s="79" t="str">
        <f>VLOOKUP(C22,'Train Runs'!$A$3:$V$260,20,0)</f>
        <v>NorthBound</v>
      </c>
      <c r="Q22" s="19" t="str">
        <f t="shared" ref="Q22:Q62" si="2">MID(B22,13,4)</f>
        <v>4020</v>
      </c>
    </row>
    <row r="23" spans="1:17" s="19" customFormat="1" x14ac:dyDescent="0.25">
      <c r="A23" s="23">
        <v>42534.94189814815</v>
      </c>
      <c r="B23" s="22" t="s">
        <v>113</v>
      </c>
      <c r="C23" s="22" t="s">
        <v>382</v>
      </c>
      <c r="D23" s="22" t="s">
        <v>52</v>
      </c>
      <c r="E23" s="22" t="s">
        <v>60</v>
      </c>
      <c r="F23" s="22">
        <v>450</v>
      </c>
      <c r="G23" s="22">
        <v>553</v>
      </c>
      <c r="H23" s="22">
        <v>188976</v>
      </c>
      <c r="I23" s="22" t="s">
        <v>61</v>
      </c>
      <c r="J23" s="22">
        <v>190834</v>
      </c>
      <c r="K23" s="21" t="s">
        <v>55</v>
      </c>
      <c r="L23" s="21" t="str">
        <f>VLOOKUP(C23,'Trips&amp;Operators'!$C$1:$E$9999,3,FALSE)</f>
        <v>STRICKLAND</v>
      </c>
      <c r="M23" s="20" t="s">
        <v>68</v>
      </c>
      <c r="N23" s="21"/>
      <c r="P23" s="79" t="str">
        <f>VLOOKUP(C23,'Train Runs'!$A$3:$V$260,20,0)</f>
        <v>NorthBound</v>
      </c>
      <c r="Q23" s="19" t="str">
        <f t="shared" si="2"/>
        <v>4009</v>
      </c>
    </row>
    <row r="24" spans="1:17" s="19" customFormat="1" x14ac:dyDescent="0.25">
      <c r="A24" s="23">
        <v>42534.94190972222</v>
      </c>
      <c r="B24" s="22" t="s">
        <v>287</v>
      </c>
      <c r="C24" s="22" t="s">
        <v>384</v>
      </c>
      <c r="D24" s="22" t="s">
        <v>52</v>
      </c>
      <c r="E24" s="22" t="s">
        <v>60</v>
      </c>
      <c r="F24" s="22">
        <v>450</v>
      </c>
      <c r="G24" s="22">
        <v>552</v>
      </c>
      <c r="H24" s="22">
        <v>189013</v>
      </c>
      <c r="I24" s="22" t="s">
        <v>61</v>
      </c>
      <c r="J24" s="22">
        <v>190834</v>
      </c>
      <c r="K24" s="21" t="s">
        <v>55</v>
      </c>
      <c r="L24" s="21" t="str">
        <f>VLOOKUP(C24,'Trips&amp;Operators'!$C$1:$E$9999,3,FALSE)</f>
        <v>STRICKLAND</v>
      </c>
      <c r="M24" s="20" t="s">
        <v>68</v>
      </c>
      <c r="N24" s="21"/>
      <c r="P24" s="79" t="str">
        <f>VLOOKUP(C24,'Train Runs'!$A$3:$V$260,20,0)</f>
        <v>Southbound</v>
      </c>
      <c r="Q24" s="19" t="str">
        <f t="shared" si="2"/>
        <v>4010</v>
      </c>
    </row>
    <row r="25" spans="1:17" s="19" customFormat="1" x14ac:dyDescent="0.25">
      <c r="A25" s="23">
        <v>42534.609166666669</v>
      </c>
      <c r="B25" s="22" t="s">
        <v>281</v>
      </c>
      <c r="C25" s="22" t="s">
        <v>401</v>
      </c>
      <c r="D25" s="22" t="s">
        <v>52</v>
      </c>
      <c r="E25" s="22" t="s">
        <v>60</v>
      </c>
      <c r="F25" s="22">
        <v>450</v>
      </c>
      <c r="G25" s="22">
        <v>438</v>
      </c>
      <c r="H25" s="22">
        <v>192328</v>
      </c>
      <c r="I25" s="22" t="s">
        <v>61</v>
      </c>
      <c r="J25" s="22">
        <v>191108</v>
      </c>
      <c r="K25" s="21" t="s">
        <v>56</v>
      </c>
      <c r="L25" s="21" t="str">
        <f>VLOOKUP(C25,'Trips&amp;Operators'!$C$1:$E$9999,3,FALSE)</f>
        <v>NELSON</v>
      </c>
      <c r="M25" s="20" t="s">
        <v>68</v>
      </c>
      <c r="N25" s="21"/>
      <c r="P25" s="79" t="str">
        <f>VLOOKUP(C25,'Train Runs'!$A$3:$V$260,20,0)</f>
        <v>Southbound</v>
      </c>
      <c r="Q25" s="19" t="str">
        <f t="shared" si="2"/>
        <v>4012</v>
      </c>
    </row>
    <row r="26" spans="1:17" s="19" customFormat="1" x14ac:dyDescent="0.25">
      <c r="A26" s="23">
        <v>42535.043321759258</v>
      </c>
      <c r="B26" s="22" t="s">
        <v>113</v>
      </c>
      <c r="C26" s="22" t="s">
        <v>397</v>
      </c>
      <c r="D26" s="22" t="s">
        <v>52</v>
      </c>
      <c r="E26" s="22" t="s">
        <v>60</v>
      </c>
      <c r="F26" s="22">
        <v>450</v>
      </c>
      <c r="G26" s="22">
        <v>413</v>
      </c>
      <c r="H26" s="22">
        <v>193077</v>
      </c>
      <c r="I26" s="22" t="s">
        <v>61</v>
      </c>
      <c r="J26" s="22">
        <v>191108</v>
      </c>
      <c r="K26" s="21" t="s">
        <v>56</v>
      </c>
      <c r="L26" s="21" t="str">
        <f>VLOOKUP(C26,'Trips&amp;Operators'!$C$1:$E$9999,3,FALSE)</f>
        <v>STRICKLAND</v>
      </c>
      <c r="M26" s="20" t="s">
        <v>68</v>
      </c>
      <c r="N26" s="21"/>
      <c r="P26" s="79" t="str">
        <f>VLOOKUP(C26,'Train Runs'!$A$3:$V$260,20,0)</f>
        <v>NorthBound</v>
      </c>
      <c r="Q26" s="19" t="str">
        <f t="shared" si="2"/>
        <v>4009</v>
      </c>
    </row>
    <row r="27" spans="1:17" s="19" customFormat="1" x14ac:dyDescent="0.25">
      <c r="A27" s="23">
        <v>42535.043333333335</v>
      </c>
      <c r="B27" s="22" t="s">
        <v>287</v>
      </c>
      <c r="C27" s="22" t="s">
        <v>477</v>
      </c>
      <c r="D27" s="22" t="s">
        <v>52</v>
      </c>
      <c r="E27" s="22" t="s">
        <v>60</v>
      </c>
      <c r="F27" s="22">
        <v>450</v>
      </c>
      <c r="G27" s="22">
        <v>444</v>
      </c>
      <c r="H27" s="22">
        <v>192610</v>
      </c>
      <c r="I27" s="22" t="s">
        <v>61</v>
      </c>
      <c r="J27" s="22">
        <v>191108</v>
      </c>
      <c r="K27" s="21" t="s">
        <v>56</v>
      </c>
      <c r="L27" s="21" t="str">
        <f>VLOOKUP(C27,'Trips&amp;Operators'!$C$1:$E$9999,3,FALSE)</f>
        <v>STRICKLAND</v>
      </c>
      <c r="M27" s="20" t="s">
        <v>68</v>
      </c>
      <c r="N27" s="21"/>
      <c r="P27" s="79" t="str">
        <f>VLOOKUP(C27,'Train Runs'!$A$3:$V$260,20,0)</f>
        <v>Southbound</v>
      </c>
      <c r="Q27" s="19" t="str">
        <f t="shared" si="2"/>
        <v>4010</v>
      </c>
    </row>
    <row r="28" spans="1:17" s="19" customFormat="1" x14ac:dyDescent="0.25">
      <c r="A28" s="23">
        <v>42534.942800925928</v>
      </c>
      <c r="B28" s="22" t="s">
        <v>120</v>
      </c>
      <c r="C28" s="22" t="s">
        <v>333</v>
      </c>
      <c r="D28" s="22" t="s">
        <v>52</v>
      </c>
      <c r="E28" s="22" t="s">
        <v>60</v>
      </c>
      <c r="F28" s="22">
        <v>450</v>
      </c>
      <c r="G28" s="22">
        <v>475</v>
      </c>
      <c r="H28" s="22">
        <v>220572</v>
      </c>
      <c r="I28" s="22" t="s">
        <v>61</v>
      </c>
      <c r="J28" s="22">
        <v>219780</v>
      </c>
      <c r="K28" s="21" t="s">
        <v>56</v>
      </c>
      <c r="L28" s="21" t="str">
        <f>VLOOKUP(C28,'Trips&amp;Operators'!$C$1:$E$9999,3,FALSE)</f>
        <v>CHANDLER</v>
      </c>
      <c r="M28" s="20" t="s">
        <v>68</v>
      </c>
      <c r="N28" s="21"/>
      <c r="P28" s="79" t="str">
        <f>VLOOKUP(C28,'Train Runs'!$A$3:$V$260,20,0)</f>
        <v>Southbound</v>
      </c>
      <c r="Q28" s="19" t="str">
        <f t="shared" ref="Q28:Q61" si="3">MID(B28,13,4)</f>
        <v>4017</v>
      </c>
    </row>
    <row r="29" spans="1:17" s="19" customFormat="1" x14ac:dyDescent="0.25">
      <c r="A29" s="23">
        <v>42534.998206018521</v>
      </c>
      <c r="B29" s="22" t="s">
        <v>97</v>
      </c>
      <c r="C29" s="22" t="s">
        <v>341</v>
      </c>
      <c r="D29" s="22" t="s">
        <v>52</v>
      </c>
      <c r="E29" s="22" t="s">
        <v>60</v>
      </c>
      <c r="F29" s="22">
        <v>150</v>
      </c>
      <c r="G29" s="22">
        <v>163</v>
      </c>
      <c r="H29" s="22">
        <v>231379</v>
      </c>
      <c r="I29" s="22" t="s">
        <v>61</v>
      </c>
      <c r="J29" s="22">
        <v>231269</v>
      </c>
      <c r="K29" s="21" t="s">
        <v>56</v>
      </c>
      <c r="L29" s="21" t="str">
        <f>VLOOKUP(C29,'Trips&amp;Operators'!$C$1:$E$9999,3,FALSE)</f>
        <v>REBOLETTI</v>
      </c>
      <c r="M29" s="20" t="s">
        <v>68</v>
      </c>
      <c r="N29" s="21"/>
      <c r="P29" s="79" t="str">
        <f>VLOOKUP(C29,'Train Runs'!$A$3:$V$260,20,0)</f>
        <v>Southbound</v>
      </c>
      <c r="Q29" s="19" t="str">
        <f t="shared" si="3"/>
        <v>4043</v>
      </c>
    </row>
    <row r="30" spans="1:17" s="19" customFormat="1" x14ac:dyDescent="0.25">
      <c r="A30" s="23">
        <v>42535.001435185186</v>
      </c>
      <c r="B30" s="22" t="s">
        <v>113</v>
      </c>
      <c r="C30" s="22" t="s">
        <v>397</v>
      </c>
      <c r="D30" s="22" t="s">
        <v>57</v>
      </c>
      <c r="E30" s="22" t="s">
        <v>60</v>
      </c>
      <c r="F30" s="22">
        <v>150</v>
      </c>
      <c r="G30" s="22">
        <v>201</v>
      </c>
      <c r="H30" s="22">
        <v>3225</v>
      </c>
      <c r="I30" s="22" t="s">
        <v>61</v>
      </c>
      <c r="J30" s="22">
        <v>0</v>
      </c>
      <c r="K30" s="21" t="s">
        <v>55</v>
      </c>
      <c r="L30" s="21" t="str">
        <f>VLOOKUP(C30,'Trips&amp;Operators'!$C$1:$E$9999,3,FALSE)</f>
        <v>STRICKLAND</v>
      </c>
      <c r="M30" s="20" t="s">
        <v>68</v>
      </c>
      <c r="N30" s="21"/>
      <c r="P30" s="79" t="str">
        <f>VLOOKUP(C30,'Train Runs'!$A$3:$V$260,20,0)</f>
        <v>NorthBound</v>
      </c>
      <c r="Q30" s="19" t="str">
        <f t="shared" si="3"/>
        <v>4009</v>
      </c>
    </row>
    <row r="31" spans="1:17" s="19" customFormat="1" x14ac:dyDescent="0.25">
      <c r="A31" s="23">
        <v>42534.483865740738</v>
      </c>
      <c r="B31" s="22" t="s">
        <v>108</v>
      </c>
      <c r="C31" s="22" t="s">
        <v>443</v>
      </c>
      <c r="D31" s="22" t="s">
        <v>57</v>
      </c>
      <c r="E31" s="22" t="s">
        <v>60</v>
      </c>
      <c r="F31" s="22">
        <v>300</v>
      </c>
      <c r="G31" s="22">
        <v>352</v>
      </c>
      <c r="H31" s="22">
        <v>20720</v>
      </c>
      <c r="I31" s="22" t="s">
        <v>61</v>
      </c>
      <c r="J31" s="22">
        <v>20338</v>
      </c>
      <c r="K31" s="21" t="s">
        <v>55</v>
      </c>
      <c r="L31" s="21" t="str">
        <f>VLOOKUP(C31,'Trips&amp;Operators'!$C$1:$E$9999,3,FALSE)</f>
        <v>BRABO</v>
      </c>
      <c r="M31" s="20" t="s">
        <v>68</v>
      </c>
      <c r="N31" s="21"/>
      <c r="P31" s="79" t="str">
        <f>VLOOKUP(C31,'Train Runs'!$A$3:$V$260,20,0)</f>
        <v>NorthBound</v>
      </c>
      <c r="Q31" s="19" t="str">
        <f t="shared" si="3"/>
        <v>4020</v>
      </c>
    </row>
    <row r="32" spans="1:17" s="19" customFormat="1" x14ac:dyDescent="0.25">
      <c r="A32" s="23">
        <v>42534.665069444447</v>
      </c>
      <c r="B32" s="22" t="s">
        <v>107</v>
      </c>
      <c r="C32" s="22" t="s">
        <v>478</v>
      </c>
      <c r="D32" s="22" t="s">
        <v>57</v>
      </c>
      <c r="E32" s="22" t="s">
        <v>60</v>
      </c>
      <c r="F32" s="22">
        <v>350</v>
      </c>
      <c r="G32" s="22">
        <v>404</v>
      </c>
      <c r="H32" s="22">
        <v>228924</v>
      </c>
      <c r="I32" s="22" t="s">
        <v>61</v>
      </c>
      <c r="J32" s="22">
        <v>232107</v>
      </c>
      <c r="K32" s="21" t="s">
        <v>56</v>
      </c>
      <c r="L32" s="21" t="str">
        <f>VLOOKUP(C32,'Trips&amp;Operators'!$C$1:$E$9999,3,FALSE)</f>
        <v>BRABO</v>
      </c>
      <c r="M32" s="20" t="s">
        <v>68</v>
      </c>
      <c r="N32" s="21"/>
      <c r="P32" s="79" t="str">
        <f>VLOOKUP(C32,'Train Runs'!$A$3:$V$260,20,0)</f>
        <v>Southbound</v>
      </c>
      <c r="Q32" s="19" t="str">
        <f t="shared" si="3"/>
        <v>4019</v>
      </c>
    </row>
    <row r="33" spans="1:17" s="19" customFormat="1" x14ac:dyDescent="0.25">
      <c r="A33" s="23">
        <v>42534.281747685185</v>
      </c>
      <c r="B33" s="22" t="s">
        <v>97</v>
      </c>
      <c r="C33" s="22" t="s">
        <v>327</v>
      </c>
      <c r="D33" s="22" t="s">
        <v>52</v>
      </c>
      <c r="E33" s="22" t="s">
        <v>58</v>
      </c>
      <c r="F33" s="22">
        <v>0</v>
      </c>
      <c r="G33" s="22">
        <v>788</v>
      </c>
      <c r="H33" s="22">
        <v>99186</v>
      </c>
      <c r="I33" s="22" t="s">
        <v>59</v>
      </c>
      <c r="J33" s="22">
        <v>95986</v>
      </c>
      <c r="K33" s="21" t="s">
        <v>56</v>
      </c>
      <c r="L33" s="21" t="str">
        <f>VLOOKUP(C33,'Trips&amp;Operators'!$C$1:$E$9999,3,FALSE)</f>
        <v>MALAVE</v>
      </c>
      <c r="M33" s="20" t="s">
        <v>79</v>
      </c>
      <c r="N33" s="21" t="s">
        <v>325</v>
      </c>
      <c r="P33" s="79" t="str">
        <f>VLOOKUP(C33,'Train Runs'!$A$3:$V$260,20,0)</f>
        <v>Southbound</v>
      </c>
      <c r="Q33" s="19" t="str">
        <f t="shared" si="3"/>
        <v>4043</v>
      </c>
    </row>
    <row r="34" spans="1:17" s="19" customFormat="1" x14ac:dyDescent="0.25">
      <c r="A34" s="23">
        <v>42534.385335648149</v>
      </c>
      <c r="B34" s="22" t="s">
        <v>107</v>
      </c>
      <c r="C34" s="22" t="s">
        <v>426</v>
      </c>
      <c r="D34" s="22" t="s">
        <v>52</v>
      </c>
      <c r="E34" s="22" t="s">
        <v>58</v>
      </c>
      <c r="F34" s="22">
        <v>0</v>
      </c>
      <c r="G34" s="22">
        <v>765</v>
      </c>
      <c r="H34" s="22">
        <v>102105</v>
      </c>
      <c r="I34" s="22" t="s">
        <v>59</v>
      </c>
      <c r="J34" s="22">
        <v>95986</v>
      </c>
      <c r="K34" s="21" t="s">
        <v>56</v>
      </c>
      <c r="L34" s="21" t="str">
        <f>VLOOKUP(C34,'Trips&amp;Operators'!$C$1:$E$9999,3,FALSE)</f>
        <v>STARKS</v>
      </c>
      <c r="M34" s="20" t="s">
        <v>79</v>
      </c>
      <c r="N34" s="21" t="s">
        <v>325</v>
      </c>
      <c r="P34" s="79" t="str">
        <f>VLOOKUP(C34,'Train Runs'!$A$3:$V$260,20,0)</f>
        <v>Southbound</v>
      </c>
      <c r="Q34" s="19" t="str">
        <f t="shared" si="3"/>
        <v>4019</v>
      </c>
    </row>
    <row r="35" spans="1:17" s="19" customFormat="1" x14ac:dyDescent="0.25">
      <c r="A35" s="23">
        <v>42534.442037037035</v>
      </c>
      <c r="B35" s="22" t="s">
        <v>347</v>
      </c>
      <c r="C35" s="22" t="s">
        <v>381</v>
      </c>
      <c r="D35" s="22" t="s">
        <v>57</v>
      </c>
      <c r="E35" s="22" t="s">
        <v>58</v>
      </c>
      <c r="F35" s="22">
        <v>0</v>
      </c>
      <c r="G35" s="22">
        <v>776</v>
      </c>
      <c r="H35" s="22">
        <v>95964</v>
      </c>
      <c r="I35" s="22" t="s">
        <v>59</v>
      </c>
      <c r="J35" s="22">
        <v>95986</v>
      </c>
      <c r="K35" s="21" t="s">
        <v>56</v>
      </c>
      <c r="L35" s="21" t="str">
        <f>VLOOKUP(C35,'Trips&amp;Operators'!$C$1:$E$9999,3,FALSE)</f>
        <v>STURGEON</v>
      </c>
      <c r="M35" s="20" t="s">
        <v>79</v>
      </c>
      <c r="N35" s="21" t="s">
        <v>325</v>
      </c>
      <c r="P35" s="79" t="str">
        <f>VLOOKUP(C35,'Train Runs'!$A$3:$V$260,20,0)</f>
        <v>Southbound</v>
      </c>
      <c r="Q35" s="19" t="str">
        <f t="shared" si="3"/>
        <v>4026</v>
      </c>
    </row>
    <row r="36" spans="1:17" s="19" customFormat="1" x14ac:dyDescent="0.25">
      <c r="A36" s="23">
        <v>42534.816342592596</v>
      </c>
      <c r="B36" s="22" t="s">
        <v>107</v>
      </c>
      <c r="C36" s="22" t="s">
        <v>337</v>
      </c>
      <c r="D36" s="22" t="s">
        <v>52</v>
      </c>
      <c r="E36" s="22" t="s">
        <v>58</v>
      </c>
      <c r="F36" s="22">
        <v>0</v>
      </c>
      <c r="G36" s="22">
        <v>541</v>
      </c>
      <c r="H36" s="22">
        <v>172035</v>
      </c>
      <c r="I36" s="22" t="s">
        <v>59</v>
      </c>
      <c r="J36" s="22">
        <v>168014</v>
      </c>
      <c r="K36" s="21" t="s">
        <v>56</v>
      </c>
      <c r="L36" s="21" t="str">
        <f>VLOOKUP(C36,'Trips&amp;Operators'!$C$1:$E$9999,3,FALSE)</f>
        <v>BARTLETT</v>
      </c>
      <c r="M36" s="20" t="s">
        <v>79</v>
      </c>
      <c r="N36" s="21" t="s">
        <v>325</v>
      </c>
      <c r="P36" s="79" t="str">
        <f>VLOOKUP(C36,'Train Runs'!$A$3:$V$260,20,0)</f>
        <v>Southbound</v>
      </c>
      <c r="Q36" s="19" t="str">
        <f t="shared" si="3"/>
        <v>4019</v>
      </c>
    </row>
    <row r="37" spans="1:17" s="19" customFormat="1" x14ac:dyDescent="0.25">
      <c r="A37" s="23">
        <v>42534.340173611112</v>
      </c>
      <c r="B37" s="22" t="s">
        <v>78</v>
      </c>
      <c r="C37" s="22" t="s">
        <v>422</v>
      </c>
      <c r="D37" s="22" t="s">
        <v>52</v>
      </c>
      <c r="E37" s="22" t="s">
        <v>58</v>
      </c>
      <c r="F37" s="22">
        <v>0</v>
      </c>
      <c r="G37" s="22">
        <v>419</v>
      </c>
      <c r="H37" s="22">
        <v>130090</v>
      </c>
      <c r="I37" s="22" t="s">
        <v>59</v>
      </c>
      <c r="J37" s="22">
        <v>127587</v>
      </c>
      <c r="K37" s="21" t="s">
        <v>56</v>
      </c>
      <c r="L37" s="21" t="str">
        <f>VLOOKUP(C37,'Trips&amp;Operators'!$C$1:$E$9999,3,FALSE)</f>
        <v>CANFIELD</v>
      </c>
      <c r="M37" s="20" t="s">
        <v>68</v>
      </c>
      <c r="N37" s="21" t="s">
        <v>608</v>
      </c>
      <c r="P37" s="79" t="str">
        <f>VLOOKUP(C37,'Train Runs'!$A$3:$V$260,20,0)</f>
        <v>Southbound</v>
      </c>
      <c r="Q37" s="19" t="str">
        <f t="shared" si="3"/>
        <v>4032</v>
      </c>
    </row>
    <row r="38" spans="1:17" s="19" customFormat="1" x14ac:dyDescent="0.25">
      <c r="A38" s="23">
        <v>42534.527372685188</v>
      </c>
      <c r="B38" s="22" t="s">
        <v>107</v>
      </c>
      <c r="C38" s="22" t="s">
        <v>459</v>
      </c>
      <c r="D38" s="22" t="s">
        <v>52</v>
      </c>
      <c r="E38" s="22" t="s">
        <v>58</v>
      </c>
      <c r="F38" s="22">
        <v>0</v>
      </c>
      <c r="G38" s="22">
        <v>659</v>
      </c>
      <c r="H38" s="22">
        <v>133004</v>
      </c>
      <c r="I38" s="22" t="s">
        <v>59</v>
      </c>
      <c r="J38" s="22">
        <v>127587</v>
      </c>
      <c r="K38" s="21" t="s">
        <v>56</v>
      </c>
      <c r="L38" s="21" t="str">
        <f>VLOOKUP(C38,'Trips&amp;Operators'!$C$1:$E$9999,3,FALSE)</f>
        <v>BRABO</v>
      </c>
      <c r="M38" s="20" t="s">
        <v>68</v>
      </c>
      <c r="N38" s="21" t="s">
        <v>608</v>
      </c>
      <c r="P38" s="79" t="str">
        <f>VLOOKUP(C38,'Train Runs'!$A$3:$V$260,20,0)</f>
        <v>Southbound</v>
      </c>
      <c r="Q38" s="19" t="str">
        <f t="shared" si="3"/>
        <v>4019</v>
      </c>
    </row>
    <row r="39" spans="1:17" s="19" customFormat="1" x14ac:dyDescent="0.25">
      <c r="A39" s="23">
        <v>42534.715995370374</v>
      </c>
      <c r="B39" s="22" t="s">
        <v>97</v>
      </c>
      <c r="C39" s="22" t="s">
        <v>336</v>
      </c>
      <c r="D39" s="22" t="s">
        <v>52</v>
      </c>
      <c r="E39" s="22" t="s">
        <v>58</v>
      </c>
      <c r="F39" s="22">
        <v>0</v>
      </c>
      <c r="G39" s="22">
        <v>569</v>
      </c>
      <c r="H39" s="22">
        <v>130757</v>
      </c>
      <c r="I39" s="22" t="s">
        <v>59</v>
      </c>
      <c r="J39" s="22">
        <v>127587</v>
      </c>
      <c r="K39" s="21" t="s">
        <v>56</v>
      </c>
      <c r="L39" s="21" t="str">
        <f>VLOOKUP(C39,'Trips&amp;Operators'!$C$1:$E$9999,3,FALSE)</f>
        <v>ADANE</v>
      </c>
      <c r="M39" s="20" t="s">
        <v>68</v>
      </c>
      <c r="N39" s="21" t="s">
        <v>608</v>
      </c>
      <c r="P39" s="79" t="str">
        <f>VLOOKUP(C39,'Train Runs'!$A$3:$V$260,20,0)</f>
        <v>Southbound</v>
      </c>
      <c r="Q39" s="19" t="str">
        <f t="shared" si="3"/>
        <v>4043</v>
      </c>
    </row>
    <row r="40" spans="1:17" s="19" customFormat="1" x14ac:dyDescent="0.25">
      <c r="A40" s="23">
        <v>42534.905405092592</v>
      </c>
      <c r="B40" s="22" t="s">
        <v>157</v>
      </c>
      <c r="C40" s="22" t="s">
        <v>464</v>
      </c>
      <c r="D40" s="22" t="s">
        <v>52</v>
      </c>
      <c r="E40" s="22" t="s">
        <v>58</v>
      </c>
      <c r="F40" s="22">
        <v>0</v>
      </c>
      <c r="G40" s="22">
        <v>604</v>
      </c>
      <c r="H40" s="22">
        <v>49911</v>
      </c>
      <c r="I40" s="22" t="s">
        <v>59</v>
      </c>
      <c r="J40" s="22">
        <v>50746</v>
      </c>
      <c r="K40" s="21" t="s">
        <v>55</v>
      </c>
      <c r="L40" s="21" t="str">
        <f>VLOOKUP(C40,'Trips&amp;Operators'!$C$1:$E$9999,3,FALSE)</f>
        <v>REBOLETTI</v>
      </c>
      <c r="M40" s="20" t="s">
        <v>79</v>
      </c>
      <c r="N40" s="21" t="s">
        <v>325</v>
      </c>
      <c r="P40" s="79" t="str">
        <f>VLOOKUP(C40,'Train Runs'!$A$3:$V$260,20,0)</f>
        <v>NorthBound</v>
      </c>
      <c r="Q40" s="19" t="str">
        <f t="shared" si="3"/>
        <v>4044</v>
      </c>
    </row>
    <row r="41" spans="1:17" s="19" customFormat="1" x14ac:dyDescent="0.25">
      <c r="A41" s="23">
        <v>42534.565949074073</v>
      </c>
      <c r="B41" s="22" t="s">
        <v>122</v>
      </c>
      <c r="C41" s="22" t="s">
        <v>380</v>
      </c>
      <c r="D41" s="22" t="s">
        <v>52</v>
      </c>
      <c r="E41" s="22" t="s">
        <v>53</v>
      </c>
      <c r="F41" s="22">
        <v>0</v>
      </c>
      <c r="G41" s="22">
        <v>72</v>
      </c>
      <c r="H41" s="22">
        <v>263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ACKERMAN</v>
      </c>
      <c r="M41" s="20" t="s">
        <v>68</v>
      </c>
      <c r="N41" s="21"/>
      <c r="P41" s="79" t="str">
        <f>VLOOKUP(C41,'Train Runs'!$A$3:$V$260,20,0)</f>
        <v>Southbound</v>
      </c>
      <c r="Q41" s="19" t="str">
        <f t="shared" si="3"/>
        <v>4023</v>
      </c>
    </row>
    <row r="42" spans="1:17" s="19" customFormat="1" x14ac:dyDescent="0.25">
      <c r="A42" s="23">
        <v>42534.693229166667</v>
      </c>
      <c r="B42" s="22" t="s">
        <v>107</v>
      </c>
      <c r="C42" s="22" t="s">
        <v>478</v>
      </c>
      <c r="D42" s="22" t="s">
        <v>52</v>
      </c>
      <c r="E42" s="22" t="s">
        <v>53</v>
      </c>
      <c r="F42" s="22">
        <v>0</v>
      </c>
      <c r="G42" s="22">
        <v>9</v>
      </c>
      <c r="H42" s="22">
        <v>3136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BRABO</v>
      </c>
      <c r="M42" s="20" t="s">
        <v>68</v>
      </c>
      <c r="N42" s="21"/>
      <c r="P42" s="79" t="str">
        <f>VLOOKUP(C42,'Train Runs'!$A$3:$V$260,20,0)</f>
        <v>Southbound</v>
      </c>
      <c r="Q42" s="19" t="str">
        <f t="shared" si="3"/>
        <v>4019</v>
      </c>
    </row>
    <row r="43" spans="1:17" s="19" customFormat="1" x14ac:dyDescent="0.25">
      <c r="A43" s="23">
        <v>42534.202465277776</v>
      </c>
      <c r="B43" s="22" t="s">
        <v>78</v>
      </c>
      <c r="C43" s="22" t="s">
        <v>440</v>
      </c>
      <c r="D43" s="22" t="s">
        <v>52</v>
      </c>
      <c r="E43" s="22" t="s">
        <v>53</v>
      </c>
      <c r="F43" s="22">
        <v>0</v>
      </c>
      <c r="G43" s="22">
        <v>9</v>
      </c>
      <c r="H43" s="22">
        <v>125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CANFIELD</v>
      </c>
      <c r="M43" s="20" t="s">
        <v>68</v>
      </c>
      <c r="N43" s="21"/>
      <c r="P43" s="79" t="str">
        <f>VLOOKUP(C43,'Train Runs'!$A$3:$V$260,20,0)</f>
        <v>Southbound</v>
      </c>
      <c r="Q43" s="19" t="str">
        <f t="shared" si="3"/>
        <v>4032</v>
      </c>
    </row>
    <row r="44" spans="1:17" s="19" customFormat="1" x14ac:dyDescent="0.25">
      <c r="A44" s="23">
        <v>42534.284768518519</v>
      </c>
      <c r="B44" s="22" t="s">
        <v>78</v>
      </c>
      <c r="C44" s="22" t="s">
        <v>372</v>
      </c>
      <c r="D44" s="22" t="s">
        <v>52</v>
      </c>
      <c r="E44" s="22" t="s">
        <v>53</v>
      </c>
      <c r="F44" s="22">
        <v>0</v>
      </c>
      <c r="G44" s="22">
        <v>6</v>
      </c>
      <c r="H44" s="22">
        <v>396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CANFIELD</v>
      </c>
      <c r="M44" s="20" t="s">
        <v>68</v>
      </c>
      <c r="N44" s="21"/>
      <c r="P44" s="79" t="str">
        <f>VLOOKUP(C44,'Train Runs'!$A$3:$V$260,20,0)</f>
        <v>Southbound</v>
      </c>
      <c r="Q44" s="19" t="str">
        <f t="shared" si="3"/>
        <v>4032</v>
      </c>
    </row>
    <row r="45" spans="1:17" s="19" customFormat="1" x14ac:dyDescent="0.25">
      <c r="A45" s="23">
        <v>42534.358611111114</v>
      </c>
      <c r="B45" s="22" t="s">
        <v>78</v>
      </c>
      <c r="C45" s="22" t="s">
        <v>422</v>
      </c>
      <c r="D45" s="22" t="s">
        <v>52</v>
      </c>
      <c r="E45" s="22" t="s">
        <v>53</v>
      </c>
      <c r="F45" s="22">
        <v>0</v>
      </c>
      <c r="G45" s="22">
        <v>6</v>
      </c>
      <c r="H45" s="22">
        <v>130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CANFIELD</v>
      </c>
      <c r="M45" s="20" t="s">
        <v>68</v>
      </c>
      <c r="N45" s="21"/>
      <c r="P45" s="79" t="str">
        <f>VLOOKUP(C45,'Train Runs'!$A$3:$V$260,20,0)</f>
        <v>Southbound</v>
      </c>
      <c r="Q45" s="19" t="str">
        <f t="shared" si="3"/>
        <v>4032</v>
      </c>
    </row>
    <row r="46" spans="1:17" s="19" customFormat="1" x14ac:dyDescent="0.25">
      <c r="A46" s="23">
        <v>42534.801099537035</v>
      </c>
      <c r="B46" s="22" t="s">
        <v>418</v>
      </c>
      <c r="C46" s="22" t="s">
        <v>424</v>
      </c>
      <c r="D46" s="22" t="s">
        <v>52</v>
      </c>
      <c r="E46" s="22" t="s">
        <v>53</v>
      </c>
      <c r="F46" s="22">
        <v>0</v>
      </c>
      <c r="G46" s="22">
        <v>89</v>
      </c>
      <c r="H46" s="22">
        <v>289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CHIONE</v>
      </c>
      <c r="M46" s="20" t="s">
        <v>68</v>
      </c>
      <c r="N46" s="21"/>
      <c r="P46" s="79" t="str">
        <f>VLOOKUP(C46,'Train Runs'!$A$3:$V$260,20,0)</f>
        <v>Southbound</v>
      </c>
      <c r="Q46" s="19" t="str">
        <f t="shared" si="3"/>
        <v>4039</v>
      </c>
    </row>
    <row r="47" spans="1:17" s="19" customFormat="1" x14ac:dyDescent="0.25">
      <c r="A47" s="23">
        <v>42534.31554398148</v>
      </c>
      <c r="B47" s="22" t="s">
        <v>287</v>
      </c>
      <c r="C47" s="22" t="s">
        <v>362</v>
      </c>
      <c r="D47" s="22" t="s">
        <v>52</v>
      </c>
      <c r="E47" s="22" t="s">
        <v>53</v>
      </c>
      <c r="F47" s="22">
        <v>0</v>
      </c>
      <c r="G47" s="22">
        <v>44</v>
      </c>
      <c r="H47" s="22">
        <v>136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COOLAHAN</v>
      </c>
      <c r="M47" s="20" t="s">
        <v>68</v>
      </c>
      <c r="N47" s="21"/>
      <c r="P47" s="79" t="str">
        <f>VLOOKUP(C47,'Train Runs'!$A$3:$V$260,20,0)</f>
        <v>Southbound</v>
      </c>
      <c r="Q47" s="19" t="str">
        <f t="shared" si="3"/>
        <v>4010</v>
      </c>
    </row>
    <row r="48" spans="1:17" s="19" customFormat="1" x14ac:dyDescent="0.25">
      <c r="A48" s="23">
        <v>42534.300706018519</v>
      </c>
      <c r="B48" s="22" t="s">
        <v>97</v>
      </c>
      <c r="C48" s="22" t="s">
        <v>327</v>
      </c>
      <c r="D48" s="22" t="s">
        <v>52</v>
      </c>
      <c r="E48" s="22" t="s">
        <v>53</v>
      </c>
      <c r="F48" s="22">
        <v>0</v>
      </c>
      <c r="G48" s="22">
        <v>3</v>
      </c>
      <c r="H48" s="22">
        <v>121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MALAVE</v>
      </c>
      <c r="M48" s="20" t="s">
        <v>68</v>
      </c>
      <c r="N48" s="21"/>
      <c r="P48" s="79" t="str">
        <f>VLOOKUP(C48,'Train Runs'!$A$3:$V$260,20,0)</f>
        <v>Southbound</v>
      </c>
      <c r="Q48" s="19" t="str">
        <f t="shared" si="3"/>
        <v>4043</v>
      </c>
    </row>
    <row r="49" spans="1:17" s="19" customFormat="1" x14ac:dyDescent="0.25">
      <c r="A49" s="23">
        <v>42534.447592592594</v>
      </c>
      <c r="B49" s="22" t="s">
        <v>97</v>
      </c>
      <c r="C49" s="22" t="s">
        <v>353</v>
      </c>
      <c r="D49" s="22" t="s">
        <v>52</v>
      </c>
      <c r="E49" s="22" t="s">
        <v>53</v>
      </c>
      <c r="F49" s="22">
        <v>0</v>
      </c>
      <c r="G49" s="22">
        <v>5</v>
      </c>
      <c r="H49" s="22">
        <v>132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MALAVE</v>
      </c>
      <c r="M49" s="20" t="s">
        <v>68</v>
      </c>
      <c r="N49" s="21"/>
      <c r="P49" s="79" t="str">
        <f>VLOOKUP(C49,'Train Runs'!$A$3:$V$260,20,0)</f>
        <v>Southbound</v>
      </c>
      <c r="Q49" s="19" t="str">
        <f t="shared" si="3"/>
        <v>4043</v>
      </c>
    </row>
    <row r="50" spans="1:17" s="19" customFormat="1" x14ac:dyDescent="0.25">
      <c r="A50" s="23">
        <v>42534.529953703706</v>
      </c>
      <c r="B50" s="22" t="s">
        <v>347</v>
      </c>
      <c r="C50" s="22" t="s">
        <v>387</v>
      </c>
      <c r="D50" s="22" t="s">
        <v>52</v>
      </c>
      <c r="E50" s="22" t="s">
        <v>53</v>
      </c>
      <c r="F50" s="22">
        <v>0</v>
      </c>
      <c r="G50" s="22">
        <v>9</v>
      </c>
      <c r="H50" s="22">
        <v>132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MALAVE</v>
      </c>
      <c r="M50" s="20" t="s">
        <v>68</v>
      </c>
      <c r="N50" s="21"/>
      <c r="P50" s="79" t="str">
        <f>VLOOKUP(C50,'Train Runs'!$A$3:$V$260,20,0)</f>
        <v>Southbound</v>
      </c>
      <c r="Q50" s="19" t="str">
        <f t="shared" si="3"/>
        <v>4026</v>
      </c>
    </row>
    <row r="51" spans="1:17" s="19" customFormat="1" x14ac:dyDescent="0.25">
      <c r="A51" s="23">
        <v>42534.879143518519</v>
      </c>
      <c r="B51" s="22" t="s">
        <v>97</v>
      </c>
      <c r="C51" s="22" t="s">
        <v>368</v>
      </c>
      <c r="D51" s="22" t="s">
        <v>52</v>
      </c>
      <c r="E51" s="22" t="s">
        <v>53</v>
      </c>
      <c r="F51" s="22">
        <v>0</v>
      </c>
      <c r="G51" s="22">
        <v>4</v>
      </c>
      <c r="H51" s="22">
        <v>324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REBOLETTI</v>
      </c>
      <c r="M51" s="20" t="s">
        <v>68</v>
      </c>
      <c r="N51" s="21"/>
      <c r="P51" s="79" t="str">
        <f>VLOOKUP(C51,'Train Runs'!$A$3:$V$260,20,0)</f>
        <v>Southbound</v>
      </c>
      <c r="Q51" s="19" t="str">
        <f t="shared" si="3"/>
        <v>4043</v>
      </c>
    </row>
    <row r="52" spans="1:17" s="19" customFormat="1" x14ac:dyDescent="0.25">
      <c r="A52" s="23">
        <v>42534.940578703703</v>
      </c>
      <c r="B52" s="22" t="s">
        <v>97</v>
      </c>
      <c r="C52" s="22" t="s">
        <v>476</v>
      </c>
      <c r="D52" s="22" t="s">
        <v>52</v>
      </c>
      <c r="E52" s="22" t="s">
        <v>53</v>
      </c>
      <c r="F52" s="22">
        <v>0</v>
      </c>
      <c r="G52" s="22">
        <v>8</v>
      </c>
      <c r="H52" s="22">
        <v>336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REBOLETTI</v>
      </c>
      <c r="M52" s="20" t="s">
        <v>68</v>
      </c>
      <c r="N52" s="21"/>
      <c r="P52" s="79" t="str">
        <f>VLOOKUP(C52,'Train Runs'!$A$3:$V$260,20,0)</f>
        <v>Southbound</v>
      </c>
      <c r="Q52" s="19" t="str">
        <f t="shared" si="3"/>
        <v>4043</v>
      </c>
    </row>
    <row r="53" spans="1:17" s="19" customFormat="1" x14ac:dyDescent="0.25">
      <c r="A53" s="23">
        <v>42534.338842592595</v>
      </c>
      <c r="B53" s="22" t="s">
        <v>281</v>
      </c>
      <c r="C53" s="22" t="s">
        <v>349</v>
      </c>
      <c r="D53" s="22" t="s">
        <v>52</v>
      </c>
      <c r="E53" s="22" t="s">
        <v>53</v>
      </c>
      <c r="F53" s="22">
        <v>0</v>
      </c>
      <c r="G53" s="22">
        <v>76</v>
      </c>
      <c r="H53" s="22">
        <v>373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SPECTOR</v>
      </c>
      <c r="M53" s="20" t="s">
        <v>68</v>
      </c>
      <c r="N53" s="21"/>
      <c r="P53" s="79" t="str">
        <f>VLOOKUP(C53,'Train Runs'!$A$3:$V$260,20,0)</f>
        <v>Southbound</v>
      </c>
      <c r="Q53" s="19" t="str">
        <f t="shared" si="3"/>
        <v>4012</v>
      </c>
    </row>
    <row r="54" spans="1:17" s="19" customFormat="1" x14ac:dyDescent="0.25">
      <c r="A54" s="23">
        <v>42534.339201388888</v>
      </c>
      <c r="B54" s="22" t="s">
        <v>281</v>
      </c>
      <c r="C54" s="22" t="s">
        <v>349</v>
      </c>
      <c r="D54" s="22" t="s">
        <v>52</v>
      </c>
      <c r="E54" s="22" t="s">
        <v>53</v>
      </c>
      <c r="F54" s="22">
        <v>0</v>
      </c>
      <c r="G54" s="22">
        <v>47</v>
      </c>
      <c r="H54" s="22">
        <v>276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SPECTOR</v>
      </c>
      <c r="M54" s="20" t="s">
        <v>68</v>
      </c>
      <c r="N54" s="21"/>
      <c r="P54" s="79" t="str">
        <f>VLOOKUP(C54,'Train Runs'!$A$3:$V$260,20,0)</f>
        <v>Southbound</v>
      </c>
      <c r="Q54" s="19" t="str">
        <f t="shared" si="3"/>
        <v>4012</v>
      </c>
    </row>
    <row r="55" spans="1:17" s="19" customFormat="1" x14ac:dyDescent="0.25">
      <c r="A55" s="23">
        <v>42534.253611111111</v>
      </c>
      <c r="B55" s="22" t="s">
        <v>107</v>
      </c>
      <c r="C55" s="22" t="s">
        <v>415</v>
      </c>
      <c r="D55" s="22" t="s">
        <v>52</v>
      </c>
      <c r="E55" s="22" t="s">
        <v>53</v>
      </c>
      <c r="F55" s="22">
        <v>0</v>
      </c>
      <c r="G55" s="22">
        <v>65</v>
      </c>
      <c r="H55" s="22">
        <v>265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STARKS</v>
      </c>
      <c r="M55" s="20" t="s">
        <v>68</v>
      </c>
      <c r="N55" s="21"/>
      <c r="P55" s="79" t="str">
        <f>VLOOKUP(C55,'Train Runs'!$A$3:$V$260,20,0)</f>
        <v>Southbound</v>
      </c>
      <c r="Q55" s="19" t="str">
        <f t="shared" si="3"/>
        <v>4019</v>
      </c>
    </row>
    <row r="56" spans="1:17" s="19" customFormat="1" x14ac:dyDescent="0.25">
      <c r="A56" s="23">
        <v>42534.40121527778</v>
      </c>
      <c r="B56" s="22" t="s">
        <v>107</v>
      </c>
      <c r="C56" s="22" t="s">
        <v>426</v>
      </c>
      <c r="D56" s="22" t="s">
        <v>52</v>
      </c>
      <c r="E56" s="22" t="s">
        <v>53</v>
      </c>
      <c r="F56" s="22">
        <v>0</v>
      </c>
      <c r="G56" s="22">
        <v>8</v>
      </c>
      <c r="H56" s="22">
        <v>98</v>
      </c>
      <c r="I56" s="22" t="s">
        <v>54</v>
      </c>
      <c r="J56" s="22">
        <v>1</v>
      </c>
      <c r="K56" s="21" t="s">
        <v>56</v>
      </c>
      <c r="L56" s="21" t="str">
        <f>VLOOKUP(C56,'Trips&amp;Operators'!$C$1:$E$9999,3,FALSE)</f>
        <v>STARKS</v>
      </c>
      <c r="M56" s="20" t="s">
        <v>68</v>
      </c>
      <c r="N56" s="21"/>
      <c r="P56" s="79" t="str">
        <f>VLOOKUP(C56,'Train Runs'!$A$3:$V$260,20,0)</f>
        <v>Southbound</v>
      </c>
      <c r="Q56" s="19" t="str">
        <f t="shared" si="3"/>
        <v>4019</v>
      </c>
    </row>
    <row r="57" spans="1:17" s="19" customFormat="1" x14ac:dyDescent="0.25">
      <c r="A57" s="23">
        <v>42534.475416666668</v>
      </c>
      <c r="B57" s="22" t="s">
        <v>107</v>
      </c>
      <c r="C57" s="22" t="s">
        <v>355</v>
      </c>
      <c r="D57" s="22" t="s">
        <v>52</v>
      </c>
      <c r="E57" s="22" t="s">
        <v>53</v>
      </c>
      <c r="F57" s="22">
        <v>0</v>
      </c>
      <c r="G57" s="22">
        <v>4</v>
      </c>
      <c r="H57" s="22">
        <v>118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STARKS</v>
      </c>
      <c r="M57" s="20" t="s">
        <v>68</v>
      </c>
      <c r="N57" s="21"/>
      <c r="P57" s="79" t="str">
        <f>VLOOKUP(C57,'Train Runs'!$A$3:$V$260,20,0)</f>
        <v>Southbound</v>
      </c>
      <c r="Q57" s="19" t="str">
        <f t="shared" si="3"/>
        <v>4019</v>
      </c>
    </row>
    <row r="58" spans="1:17" s="19" customFormat="1" x14ac:dyDescent="0.25">
      <c r="A58" s="23">
        <v>42535.067430555559</v>
      </c>
      <c r="B58" s="22" t="s">
        <v>113</v>
      </c>
      <c r="C58" s="22" t="s">
        <v>397</v>
      </c>
      <c r="D58" s="22" t="s">
        <v>52</v>
      </c>
      <c r="E58" s="22" t="s">
        <v>53</v>
      </c>
      <c r="F58" s="22">
        <v>0</v>
      </c>
      <c r="G58" s="22">
        <v>7</v>
      </c>
      <c r="H58" s="22">
        <v>136</v>
      </c>
      <c r="I58" s="22" t="s">
        <v>54</v>
      </c>
      <c r="J58" s="22">
        <v>1</v>
      </c>
      <c r="K58" s="21" t="s">
        <v>56</v>
      </c>
      <c r="L58" s="21" t="str">
        <f>VLOOKUP(C58,'Trips&amp;Operators'!$C$1:$E$9999,3,FALSE)</f>
        <v>STRICKLAND</v>
      </c>
      <c r="M58" s="20" t="s">
        <v>68</v>
      </c>
      <c r="N58" s="21"/>
      <c r="P58" s="79" t="str">
        <f>VLOOKUP(C58,'Train Runs'!$A$3:$V$260,20,0)</f>
        <v>NorthBound</v>
      </c>
      <c r="Q58" s="19" t="str">
        <f t="shared" si="3"/>
        <v>4009</v>
      </c>
    </row>
    <row r="59" spans="1:17" s="19" customFormat="1" x14ac:dyDescent="0.25">
      <c r="A59" s="23">
        <v>42534.224965277775</v>
      </c>
      <c r="B59" s="22" t="s">
        <v>347</v>
      </c>
      <c r="C59" s="22" t="s">
        <v>465</v>
      </c>
      <c r="D59" s="22" t="s">
        <v>52</v>
      </c>
      <c r="E59" s="22" t="s">
        <v>53</v>
      </c>
      <c r="F59" s="22">
        <v>0</v>
      </c>
      <c r="G59" s="22">
        <v>7</v>
      </c>
      <c r="H59" s="22">
        <v>136</v>
      </c>
      <c r="I59" s="22" t="s">
        <v>54</v>
      </c>
      <c r="J59" s="22">
        <v>1</v>
      </c>
      <c r="K59" s="21" t="s">
        <v>56</v>
      </c>
      <c r="L59" s="21" t="str">
        <f>VLOOKUP(C59,'Trips&amp;Operators'!$C$1:$E$9999,3,FALSE)</f>
        <v>STURGEON</v>
      </c>
      <c r="M59" s="20" t="s">
        <v>68</v>
      </c>
      <c r="N59" s="21"/>
      <c r="P59" s="79" t="str">
        <f>VLOOKUP(C59,'Train Runs'!$A$3:$V$260,20,0)</f>
        <v>Southbound</v>
      </c>
      <c r="Q59" s="19" t="str">
        <f t="shared" si="3"/>
        <v>4026</v>
      </c>
    </row>
    <row r="60" spans="1:17" s="19" customFormat="1" x14ac:dyDescent="0.25">
      <c r="A60" s="23">
        <v>42534.597824074073</v>
      </c>
      <c r="B60" s="22" t="s">
        <v>347</v>
      </c>
      <c r="C60" s="22" t="s">
        <v>392</v>
      </c>
      <c r="D60" s="22" t="s">
        <v>52</v>
      </c>
      <c r="E60" s="22" t="s">
        <v>53</v>
      </c>
      <c r="F60" s="22">
        <v>0</v>
      </c>
      <c r="G60" s="22">
        <v>6</v>
      </c>
      <c r="H60" s="22">
        <v>110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WEBSTER</v>
      </c>
      <c r="M60" s="20" t="s">
        <v>68</v>
      </c>
      <c r="N60" s="21"/>
      <c r="P60" s="79" t="str">
        <f>VLOOKUP(C60,'Train Runs'!$A$3:$V$260,20,0)</f>
        <v>Southbound</v>
      </c>
      <c r="Q60" s="19" t="str">
        <f t="shared" si="3"/>
        <v>4026</v>
      </c>
    </row>
    <row r="61" spans="1:17" s="19" customFormat="1" x14ac:dyDescent="0.25">
      <c r="A61" s="23">
        <v>42534.869629629633</v>
      </c>
      <c r="B61" s="22" t="s">
        <v>120</v>
      </c>
      <c r="C61" s="22" t="s">
        <v>332</v>
      </c>
      <c r="D61" s="22" t="s">
        <v>52</v>
      </c>
      <c r="E61" s="22" t="s">
        <v>53</v>
      </c>
      <c r="F61" s="22">
        <v>0</v>
      </c>
      <c r="G61" s="22">
        <v>5</v>
      </c>
      <c r="H61" s="22">
        <v>119</v>
      </c>
      <c r="I61" s="22" t="s">
        <v>54</v>
      </c>
      <c r="J61" s="22">
        <v>1</v>
      </c>
      <c r="K61" s="21" t="s">
        <v>56</v>
      </c>
      <c r="L61" s="21" t="str">
        <f>VLOOKUP(C61,'Trips&amp;Operators'!$C$1:$E$9999,3,FALSE)</f>
        <v>YOUNG</v>
      </c>
      <c r="M61" s="20" t="s">
        <v>68</v>
      </c>
      <c r="N61" s="21"/>
      <c r="P61" s="79" t="str">
        <f>VLOOKUP(C61,'Train Runs'!$A$3:$V$260,20,0)</f>
        <v>Southbound</v>
      </c>
      <c r="Q61" s="19" t="str">
        <f t="shared" si="3"/>
        <v>4017</v>
      </c>
    </row>
    <row r="62" spans="1:17" s="19" customFormat="1" x14ac:dyDescent="0.25">
      <c r="A62" s="23">
        <v>42535.050868055558</v>
      </c>
      <c r="B62" s="22" t="s">
        <v>120</v>
      </c>
      <c r="C62" s="22" t="s">
        <v>363</v>
      </c>
      <c r="D62" s="22" t="s">
        <v>52</v>
      </c>
      <c r="E62" s="22" t="s">
        <v>53</v>
      </c>
      <c r="F62" s="22">
        <v>0</v>
      </c>
      <c r="G62" s="22">
        <v>4</v>
      </c>
      <c r="H62" s="22">
        <v>139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YOUNG</v>
      </c>
      <c r="M62" s="20" t="s">
        <v>68</v>
      </c>
      <c r="N62" s="21"/>
      <c r="P62" s="79" t="str">
        <f>VLOOKUP(C62,'Train Runs'!$A$3:$V$260,20,0)</f>
        <v>Southbound</v>
      </c>
      <c r="Q62" s="19" t="str">
        <f t="shared" si="2"/>
        <v>4017</v>
      </c>
    </row>
    <row r="63" spans="1:17" s="19" customFormat="1" x14ac:dyDescent="0.25">
      <c r="A63" s="23">
        <v>42534.532175925924</v>
      </c>
      <c r="B63" s="22" t="s">
        <v>139</v>
      </c>
      <c r="C63" s="22" t="s">
        <v>430</v>
      </c>
      <c r="D63" s="22" t="s">
        <v>52</v>
      </c>
      <c r="E63" s="22" t="s">
        <v>53</v>
      </c>
      <c r="F63" s="22">
        <v>0</v>
      </c>
      <c r="G63" s="22">
        <v>78</v>
      </c>
      <c r="H63" s="22">
        <v>233195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ACKERMAN</v>
      </c>
      <c r="M63" s="20" t="s">
        <v>68</v>
      </c>
      <c r="N63" s="21"/>
      <c r="P63" s="79" t="str">
        <f>VLOOKUP(C63,'Train Runs'!$A$3:$V$260,20,0)</f>
        <v>NorthBound</v>
      </c>
      <c r="Q63" s="19" t="str">
        <f t="shared" si="1"/>
        <v>4024</v>
      </c>
    </row>
    <row r="64" spans="1:17" s="19" customFormat="1" x14ac:dyDescent="0.25">
      <c r="A64" s="23">
        <v>42534.480717592596</v>
      </c>
      <c r="B64" s="22" t="s">
        <v>157</v>
      </c>
      <c r="C64" s="22" t="s">
        <v>433</v>
      </c>
      <c r="D64" s="22" t="s">
        <v>52</v>
      </c>
      <c r="E64" s="22" t="s">
        <v>53</v>
      </c>
      <c r="F64" s="22">
        <v>0</v>
      </c>
      <c r="G64" s="22">
        <v>84</v>
      </c>
      <c r="H64" s="22">
        <v>233176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ADANE</v>
      </c>
      <c r="M64" s="20" t="s">
        <v>68</v>
      </c>
      <c r="N64" s="21"/>
      <c r="P64" s="79" t="str">
        <f>VLOOKUP(C64,'Train Runs'!$A$3:$V$260,20,0)</f>
        <v>NorthBound</v>
      </c>
      <c r="Q64" s="19" t="str">
        <f t="shared" si="1"/>
        <v>4044</v>
      </c>
    </row>
    <row r="65" spans="1:17" s="19" customFormat="1" x14ac:dyDescent="0.25">
      <c r="A65" s="23">
        <v>42534.693020833336</v>
      </c>
      <c r="B65" s="22" t="s">
        <v>157</v>
      </c>
      <c r="C65" s="22" t="s">
        <v>448</v>
      </c>
      <c r="D65" s="22" t="s">
        <v>52</v>
      </c>
      <c r="E65" s="22" t="s">
        <v>53</v>
      </c>
      <c r="F65" s="22">
        <v>0</v>
      </c>
      <c r="G65" s="22">
        <v>186</v>
      </c>
      <c r="H65" s="22">
        <v>232585</v>
      </c>
      <c r="I65" s="22" t="s">
        <v>54</v>
      </c>
      <c r="J65" s="22">
        <v>233491</v>
      </c>
      <c r="K65" s="21" t="s">
        <v>55</v>
      </c>
      <c r="L65" s="21" t="str">
        <f>VLOOKUP(C65,'Trips&amp;Operators'!$C$1:$E$9999,3,FALSE)</f>
        <v>ADANE</v>
      </c>
      <c r="M65" s="20" t="s">
        <v>68</v>
      </c>
      <c r="N65" s="21"/>
      <c r="P65" s="79" t="str">
        <f>VLOOKUP(C65,'Train Runs'!$A$3:$V$260,20,0)</f>
        <v>NorthBound</v>
      </c>
      <c r="Q65" s="19" t="str">
        <f t="shared" si="1"/>
        <v>4044</v>
      </c>
    </row>
    <row r="66" spans="1:17" s="19" customFormat="1" x14ac:dyDescent="0.25">
      <c r="A66" s="23">
        <v>42534.693576388891</v>
      </c>
      <c r="B66" s="22" t="s">
        <v>157</v>
      </c>
      <c r="C66" s="22" t="s">
        <v>448</v>
      </c>
      <c r="D66" s="22" t="s">
        <v>52</v>
      </c>
      <c r="E66" s="22" t="s">
        <v>53</v>
      </c>
      <c r="F66" s="22">
        <v>0</v>
      </c>
      <c r="G66" s="22">
        <v>75</v>
      </c>
      <c r="H66" s="22">
        <v>233189</v>
      </c>
      <c r="I66" s="22" t="s">
        <v>54</v>
      </c>
      <c r="J66" s="22">
        <v>233491</v>
      </c>
      <c r="K66" s="21" t="s">
        <v>55</v>
      </c>
      <c r="L66" s="21" t="str">
        <f>VLOOKUP(C66,'Trips&amp;Operators'!$C$1:$E$9999,3,FALSE)</f>
        <v>ADANE</v>
      </c>
      <c r="M66" s="20" t="s">
        <v>68</v>
      </c>
      <c r="N66" s="21"/>
      <c r="P66" s="79" t="str">
        <f>VLOOKUP(C66,'Train Runs'!$A$3:$V$260,20,0)</f>
        <v>NorthBound</v>
      </c>
      <c r="Q66" s="19" t="str">
        <f t="shared" si="1"/>
        <v>4044</v>
      </c>
    </row>
    <row r="67" spans="1:17" s="19" customFormat="1" x14ac:dyDescent="0.25">
      <c r="A67" s="23">
        <v>42534.758923611109</v>
      </c>
      <c r="B67" s="22" t="s">
        <v>342</v>
      </c>
      <c r="C67" s="22" t="s">
        <v>343</v>
      </c>
      <c r="D67" s="22" t="s">
        <v>52</v>
      </c>
      <c r="E67" s="22" t="s">
        <v>53</v>
      </c>
      <c r="F67" s="22">
        <v>0</v>
      </c>
      <c r="G67" s="22">
        <v>5</v>
      </c>
      <c r="H67" s="22">
        <v>233080</v>
      </c>
      <c r="I67" s="22" t="s">
        <v>54</v>
      </c>
      <c r="J67" s="22">
        <v>233491</v>
      </c>
      <c r="K67" s="21" t="s">
        <v>55</v>
      </c>
      <c r="L67" s="21" t="str">
        <f>VLOOKUP(C67,'Trips&amp;Operators'!$C$1:$E$9999,3,FALSE)</f>
        <v>CHIONE</v>
      </c>
      <c r="M67" s="20" t="s">
        <v>68</v>
      </c>
      <c r="N67" s="21"/>
      <c r="P67" s="79" t="str">
        <f>VLOOKUP(C67,'Train Runs'!$A$3:$V$260,20,0)</f>
        <v>NorthBound</v>
      </c>
      <c r="Q67" s="19" t="str">
        <f t="shared" si="1"/>
        <v>4040</v>
      </c>
    </row>
    <row r="68" spans="1:17" s="19" customFormat="1" x14ac:dyDescent="0.25">
      <c r="A68" s="23">
        <v>42534.328969907408</v>
      </c>
      <c r="B68" s="22" t="s">
        <v>157</v>
      </c>
      <c r="C68" s="22" t="s">
        <v>346</v>
      </c>
      <c r="D68" s="22" t="s">
        <v>52</v>
      </c>
      <c r="E68" s="22" t="s">
        <v>53</v>
      </c>
      <c r="F68" s="22">
        <v>0</v>
      </c>
      <c r="G68" s="22">
        <v>158</v>
      </c>
      <c r="H68" s="22">
        <v>232821</v>
      </c>
      <c r="I68" s="22" t="s">
        <v>54</v>
      </c>
      <c r="J68" s="22">
        <v>233491</v>
      </c>
      <c r="K68" s="21" t="s">
        <v>55</v>
      </c>
      <c r="L68" s="21" t="str">
        <f>VLOOKUP(C68,'Trips&amp;Operators'!$C$1:$E$9999,3,FALSE)</f>
        <v>MALAVE</v>
      </c>
      <c r="M68" s="20" t="s">
        <v>68</v>
      </c>
      <c r="N68" s="21"/>
      <c r="P68" s="79" t="str">
        <f>VLOOKUP(C68,'Train Runs'!$A$3:$V$260,20,0)</f>
        <v>NorthBound</v>
      </c>
      <c r="Q68" s="19" t="str">
        <f t="shared" si="1"/>
        <v>4044</v>
      </c>
    </row>
    <row r="69" spans="1:17" s="19" customFormat="1" x14ac:dyDescent="0.25">
      <c r="A69" s="23">
        <v>42534.32949074074</v>
      </c>
      <c r="B69" s="22" t="s">
        <v>157</v>
      </c>
      <c r="C69" s="22" t="s">
        <v>346</v>
      </c>
      <c r="D69" s="22" t="s">
        <v>52</v>
      </c>
      <c r="E69" s="22" t="s">
        <v>53</v>
      </c>
      <c r="F69" s="22">
        <v>0</v>
      </c>
      <c r="G69" s="22">
        <v>6</v>
      </c>
      <c r="H69" s="22">
        <v>233327</v>
      </c>
      <c r="I69" s="22" t="s">
        <v>54</v>
      </c>
      <c r="J69" s="22">
        <v>233491</v>
      </c>
      <c r="K69" s="21" t="s">
        <v>55</v>
      </c>
      <c r="L69" s="21" t="str">
        <f>VLOOKUP(C69,'Trips&amp;Operators'!$C$1:$E$9999,3,FALSE)</f>
        <v>MALAVE</v>
      </c>
      <c r="M69" s="20" t="s">
        <v>68</v>
      </c>
      <c r="N69" s="21"/>
      <c r="P69" s="79" t="str">
        <f>VLOOKUP(C69,'Train Runs'!$A$3:$V$260,20,0)</f>
        <v>NorthBound</v>
      </c>
      <c r="Q69" s="19" t="str">
        <f t="shared" si="1"/>
        <v>4044</v>
      </c>
    </row>
    <row r="70" spans="1:17" s="19" customFormat="1" x14ac:dyDescent="0.25">
      <c r="A70" s="23">
        <v>42534.379247685189</v>
      </c>
      <c r="B70" s="22" t="s">
        <v>139</v>
      </c>
      <c r="C70" s="22" t="s">
        <v>376</v>
      </c>
      <c r="D70" s="22" t="s">
        <v>52</v>
      </c>
      <c r="E70" s="22" t="s">
        <v>53</v>
      </c>
      <c r="F70" s="22">
        <v>0</v>
      </c>
      <c r="G70" s="22">
        <v>67</v>
      </c>
      <c r="H70" s="22">
        <v>233224</v>
      </c>
      <c r="I70" s="22" t="s">
        <v>54</v>
      </c>
      <c r="J70" s="22">
        <v>233491</v>
      </c>
      <c r="K70" s="21" t="s">
        <v>55</v>
      </c>
      <c r="L70" s="21" t="str">
        <f>VLOOKUP(C70,'Trips&amp;Operators'!$C$1:$E$9999,3,FALSE)</f>
        <v>SANTIZO</v>
      </c>
      <c r="M70" s="20" t="s">
        <v>68</v>
      </c>
      <c r="N70" s="21"/>
      <c r="P70" s="79" t="str">
        <f>VLOOKUP(C70,'Train Runs'!$A$3:$V$260,20,0)</f>
        <v>NorthBound</v>
      </c>
      <c r="Q70" s="19" t="str">
        <f t="shared" si="1"/>
        <v>4024</v>
      </c>
    </row>
    <row r="71" spans="1:17" s="19" customFormat="1" x14ac:dyDescent="0.25">
      <c r="A71" s="23">
        <v>42534.214467592596</v>
      </c>
      <c r="B71" s="22" t="s">
        <v>108</v>
      </c>
      <c r="C71" s="22" t="s">
        <v>449</v>
      </c>
      <c r="D71" s="22" t="s">
        <v>52</v>
      </c>
      <c r="E71" s="22" t="s">
        <v>53</v>
      </c>
      <c r="F71" s="22">
        <v>0</v>
      </c>
      <c r="G71" s="22">
        <v>37</v>
      </c>
      <c r="H71" s="22">
        <v>233399</v>
      </c>
      <c r="I71" s="22" t="s">
        <v>54</v>
      </c>
      <c r="J71" s="22">
        <v>233491</v>
      </c>
      <c r="K71" s="21" t="s">
        <v>55</v>
      </c>
      <c r="L71" s="21" t="str">
        <f>VLOOKUP(C71,'Trips&amp;Operators'!$C$1:$E$9999,3,FALSE)</f>
        <v>STARKS</v>
      </c>
      <c r="M71" s="20" t="s">
        <v>68</v>
      </c>
      <c r="N71" s="21"/>
      <c r="P71" s="79" t="str">
        <f>VLOOKUP(C71,'Train Runs'!$A$3:$V$260,20,0)</f>
        <v>NorthBound</v>
      </c>
      <c r="Q71" s="19" t="str">
        <f t="shared" si="1"/>
        <v>4020</v>
      </c>
    </row>
    <row r="72" spans="1:17" s="19" customFormat="1" x14ac:dyDescent="0.25">
      <c r="A72" s="23">
        <v>42534.436666666668</v>
      </c>
      <c r="B72" s="22" t="s">
        <v>108</v>
      </c>
      <c r="C72" s="22" t="s">
        <v>378</v>
      </c>
      <c r="D72" s="22" t="s">
        <v>52</v>
      </c>
      <c r="E72" s="22" t="s">
        <v>53</v>
      </c>
      <c r="F72" s="22">
        <v>0</v>
      </c>
      <c r="G72" s="22">
        <v>7</v>
      </c>
      <c r="H72" s="22">
        <v>233406</v>
      </c>
      <c r="I72" s="22" t="s">
        <v>54</v>
      </c>
      <c r="J72" s="22">
        <v>233491</v>
      </c>
      <c r="K72" s="21" t="s">
        <v>55</v>
      </c>
      <c r="L72" s="21" t="str">
        <f>VLOOKUP(C72,'Trips&amp;Operators'!$C$1:$E$9999,3,FALSE)</f>
        <v>STARKS</v>
      </c>
      <c r="M72" s="20" t="s">
        <v>68</v>
      </c>
      <c r="N72" s="21"/>
      <c r="P72" s="79" t="str">
        <f>VLOOKUP(C72,'Train Runs'!$A$3:$V$260,20,0)</f>
        <v>NorthBound</v>
      </c>
      <c r="Q72" s="19" t="str">
        <f t="shared" si="1"/>
        <v>4020</v>
      </c>
    </row>
    <row r="73" spans="1:17" s="19" customFormat="1" x14ac:dyDescent="0.25">
      <c r="A73" s="23">
        <v>42534.418298611112</v>
      </c>
      <c r="B73" s="22" t="s">
        <v>328</v>
      </c>
      <c r="C73" s="22" t="s">
        <v>409</v>
      </c>
      <c r="D73" s="22" t="s">
        <v>52</v>
      </c>
      <c r="E73" s="22" t="s">
        <v>53</v>
      </c>
      <c r="F73" s="22">
        <v>0</v>
      </c>
      <c r="G73" s="22">
        <v>7</v>
      </c>
      <c r="H73" s="22">
        <v>233329</v>
      </c>
      <c r="I73" s="22" t="s">
        <v>54</v>
      </c>
      <c r="J73" s="22">
        <v>233491</v>
      </c>
      <c r="K73" s="21" t="s">
        <v>55</v>
      </c>
      <c r="L73" s="21" t="str">
        <f>VLOOKUP(C73,'Trips&amp;Operators'!$C$1:$E$9999,3,FALSE)</f>
        <v>STURGEON</v>
      </c>
      <c r="M73" s="20" t="s">
        <v>68</v>
      </c>
      <c r="N73" s="21"/>
      <c r="P73" s="79" t="str">
        <f>VLOOKUP(C73,'Train Runs'!$A$3:$V$260,20,0)</f>
        <v>NorthBound</v>
      </c>
      <c r="Q73" s="19" t="str">
        <f t="shared" si="1"/>
        <v>4025</v>
      </c>
    </row>
    <row r="74" spans="1:17" s="19" customFormat="1" x14ac:dyDescent="0.25">
      <c r="A74" s="23">
        <v>42534.630648148152</v>
      </c>
      <c r="B74" s="22" t="s">
        <v>328</v>
      </c>
      <c r="C74" s="22" t="s">
        <v>379</v>
      </c>
      <c r="D74" s="22" t="s">
        <v>52</v>
      </c>
      <c r="E74" s="22" t="s">
        <v>53</v>
      </c>
      <c r="F74" s="22">
        <v>0</v>
      </c>
      <c r="G74" s="22">
        <v>8</v>
      </c>
      <c r="H74" s="22">
        <v>233314</v>
      </c>
      <c r="I74" s="22" t="s">
        <v>54</v>
      </c>
      <c r="J74" s="22">
        <v>233491</v>
      </c>
      <c r="K74" s="21" t="s">
        <v>55</v>
      </c>
      <c r="L74" s="21" t="str">
        <f>VLOOKUP(C74,'Trips&amp;Operators'!$C$1:$E$9999,3,FALSE)</f>
        <v>WEBSTER</v>
      </c>
      <c r="M74" s="20" t="s">
        <v>68</v>
      </c>
      <c r="N74" s="21"/>
      <c r="P74" s="79" t="str">
        <f>VLOOKUP(C74,'Train Runs'!$A$3:$V$260,20,0)</f>
        <v>NorthBound</v>
      </c>
      <c r="Q74" s="19" t="str">
        <f t="shared" si="1"/>
        <v>4025</v>
      </c>
    </row>
    <row r="75" spans="1:17" s="19" customFormat="1" ht="15.75" thickBot="1" x14ac:dyDescent="0.3">
      <c r="A75" s="41"/>
      <c r="B75" s="42"/>
      <c r="C75" s="42"/>
      <c r="D75" s="42"/>
      <c r="E75" s="42"/>
      <c r="F75" s="42"/>
      <c r="G75" s="42"/>
      <c r="H75" s="42"/>
      <c r="I75" s="42"/>
      <c r="J75" s="42"/>
      <c r="K75" s="43"/>
      <c r="L75" s="43"/>
      <c r="M75" s="44"/>
      <c r="N75" s="43"/>
      <c r="P75" s="79"/>
    </row>
    <row r="76" spans="1:17" ht="30" x14ac:dyDescent="0.25">
      <c r="B76" s="59"/>
      <c r="C76" s="59"/>
      <c r="D76" s="59"/>
      <c r="E76" s="59"/>
      <c r="F76" s="59"/>
      <c r="G76" s="59"/>
      <c r="H76" s="59"/>
      <c r="I76" s="59"/>
      <c r="J76" s="59"/>
      <c r="K76" s="18" t="s">
        <v>28</v>
      </c>
      <c r="L76" s="52"/>
      <c r="M76" s="17">
        <f>COUNTIF(M21:M74,"=Y")</f>
        <v>5</v>
      </c>
      <c r="N76" s="77"/>
    </row>
    <row r="77" spans="1:17" ht="15.75" thickBot="1" x14ac:dyDescent="0.3">
      <c r="B77" s="59"/>
      <c r="C77" s="59"/>
      <c r="D77" s="59"/>
      <c r="E77" s="59"/>
      <c r="F77" s="59"/>
      <c r="G77" s="59"/>
      <c r="H77" s="59"/>
      <c r="I77" s="59"/>
      <c r="J77" s="59"/>
      <c r="K77" s="16" t="s">
        <v>27</v>
      </c>
      <c r="L77" s="53"/>
      <c r="M77" s="15">
        <f>COUNTA(M21:M74)-M76</f>
        <v>49</v>
      </c>
    </row>
  </sheetData>
  <autoFilter ref="A2:N74">
    <sortState ref="A3:N74">
      <sortCondition ref="E2:E78"/>
    </sortState>
  </autoFilter>
  <sortState ref="A15:M36">
    <sortCondition ref="D15:D36"/>
    <sortCondition ref="J15:J36"/>
    <sortCondition ref="K15:K36"/>
  </sortState>
  <mergeCells count="1">
    <mergeCell ref="A1:M1"/>
  </mergeCells>
  <conditionalFormatting sqref="P2 M2:N2 M3:M1048576">
    <cfRule type="cellIs" dxfId="49" priority="8" operator="equal">
      <formula>"Y"</formula>
    </cfRule>
  </conditionalFormatting>
  <conditionalFormatting sqref="A3:N74">
    <cfRule type="expression" dxfId="48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5" sqref="D5"/>
    </sheetView>
  </sheetViews>
  <sheetFormatPr defaultRowHeight="15" x14ac:dyDescent="0.25"/>
  <cols>
    <col min="1" max="1" width="9.140625" customWidth="1"/>
    <col min="2" max="2" width="8" style="87" bestFit="1" customWidth="1"/>
    <col min="3" max="3" width="7.85546875" style="89" bestFit="1" customWidth="1"/>
    <col min="4" max="4" width="31.28515625" bestFit="1" customWidth="1"/>
    <col min="5" max="5" width="18.140625" bestFit="1" customWidth="1"/>
  </cols>
  <sheetData>
    <row r="1" spans="1:5" s="59" customFormat="1" x14ac:dyDescent="0.25">
      <c r="A1" s="104" t="str">
        <f>"Trips that did not appear in PTC Data "&amp;TEXT(Variables!$A$2,"YYYY-mm-dd")</f>
        <v>Trips that did not appear in PTC Data 2016-06-13</v>
      </c>
      <c r="B1" s="104"/>
      <c r="C1" s="104"/>
      <c r="D1" s="104"/>
      <c r="E1" s="104"/>
    </row>
    <row r="2" spans="1:5" s="77" customFormat="1" ht="45" x14ac:dyDescent="0.25">
      <c r="A2" s="76" t="s">
        <v>277</v>
      </c>
      <c r="B2" s="90" t="s">
        <v>278</v>
      </c>
      <c r="C2" s="88" t="s">
        <v>279</v>
      </c>
      <c r="D2" s="77" t="s">
        <v>275</v>
      </c>
      <c r="E2" s="59" t="s">
        <v>276</v>
      </c>
    </row>
    <row r="3" spans="1:5" x14ac:dyDescent="0.25">
      <c r="A3" s="60" t="s">
        <v>598</v>
      </c>
      <c r="B3" s="91">
        <v>0</v>
      </c>
      <c r="C3" s="60"/>
      <c r="D3" s="61"/>
      <c r="E3" s="60" t="e">
        <f>VLOOKUP(#REF!,'Trips&amp;Operators'!$C$1:$E$9999,3,FALSE)</f>
        <v>#REF!</v>
      </c>
    </row>
    <row r="4" spans="1:5" x14ac:dyDescent="0.25">
      <c r="A4" s="60" t="s">
        <v>599</v>
      </c>
      <c r="B4" s="91">
        <v>0</v>
      </c>
      <c r="C4" s="60"/>
      <c r="D4" s="61" t="s">
        <v>606</v>
      </c>
      <c r="E4" s="60" t="e">
        <f>VLOOKUP(A4,'Trips&amp;Operators'!$C$1:$E$9999,3,FALSE)</f>
        <v>#N/A</v>
      </c>
    </row>
    <row r="5" spans="1:5" x14ac:dyDescent="0.25">
      <c r="A5" s="85" t="s">
        <v>600</v>
      </c>
      <c r="B5" s="92">
        <v>0</v>
      </c>
      <c r="C5" s="93"/>
      <c r="D5" s="61" t="s">
        <v>603</v>
      </c>
      <c r="E5" s="60" t="e">
        <f>VLOOKUP(A5,'Trips&amp;Operators'!$C$1:$E$9999,3,FALSE)</f>
        <v>#N/A</v>
      </c>
    </row>
    <row r="6" spans="1:5" x14ac:dyDescent="0.25">
      <c r="A6" s="60"/>
      <c r="B6" s="91"/>
      <c r="C6" s="93"/>
      <c r="D6" s="61"/>
      <c r="E6" s="60" t="e">
        <f>VLOOKUP(A6,'Trips&amp;Operators'!$C$1:$E$9999,3,FALSE)</f>
        <v>#N/A</v>
      </c>
    </row>
    <row r="7" spans="1:5" x14ac:dyDescent="0.25">
      <c r="A7" s="86"/>
      <c r="B7" s="91"/>
      <c r="C7" s="60"/>
      <c r="D7" s="61"/>
      <c r="E7" s="60" t="e">
        <f>VLOOKUP(A7,'Trips&amp;Operators'!$C$1:$E$9999,3,FALSE)</f>
        <v>#N/A</v>
      </c>
    </row>
    <row r="8" spans="1:5" x14ac:dyDescent="0.25">
      <c r="A8" s="60"/>
      <c r="B8" s="91"/>
      <c r="C8" s="60"/>
      <c r="D8" s="61"/>
      <c r="E8" s="60" t="e">
        <f>VLOOKUP(A8,'Trips&amp;Operators'!$C$1:$E$9999,3,FALSE)</f>
        <v>#N/A</v>
      </c>
    </row>
    <row r="9" spans="1:5" x14ac:dyDescent="0.25">
      <c r="A9" s="86"/>
      <c r="B9" s="91"/>
      <c r="C9" s="60"/>
      <c r="D9" s="61"/>
      <c r="E9" s="60" t="e">
        <f>VLOOKUP(A9,'Trips&amp;Operators'!$C$1:$E$9999,3,FALSE)</f>
        <v>#N/A</v>
      </c>
    </row>
    <row r="10" spans="1:5" x14ac:dyDescent="0.25">
      <c r="A10" s="86"/>
      <c r="B10" s="91"/>
      <c r="C10" s="60"/>
      <c r="D10" s="61"/>
      <c r="E10" s="60" t="e">
        <f>VLOOKUP(A10,'Trips&amp;Operators'!$C$1:$E$9999,3,FALSE)</f>
        <v>#N/A</v>
      </c>
    </row>
    <row r="11" spans="1:5" x14ac:dyDescent="0.25">
      <c r="A11" s="60"/>
      <c r="B11" s="91"/>
      <c r="C11" s="60"/>
      <c r="D11" s="85"/>
      <c r="E11" s="60" t="e">
        <f>VLOOKUP(A11,'Trips&amp;Operators'!$C$1:$E$9999,3,FALSE)</f>
        <v>#N/A</v>
      </c>
    </row>
    <row r="12" spans="1:5" x14ac:dyDescent="0.25">
      <c r="A12" s="60"/>
      <c r="B12" s="91"/>
      <c r="C12" s="60"/>
      <c r="D12" s="85"/>
      <c r="E12" s="60" t="e">
        <f>VLOOKUP(A12,'Trips&amp;Operators'!$C$1:$E$9999,3,FALSE)</f>
        <v>#N/A</v>
      </c>
    </row>
    <row r="13" spans="1:5" x14ac:dyDescent="0.25">
      <c r="A13" s="60"/>
      <c r="B13" s="91"/>
      <c r="C13" s="60"/>
      <c r="D13" s="85"/>
      <c r="E13" s="60" t="e">
        <f>VLOOKUP(A13,'Trips&amp;Operators'!$C$1:$E$9999,3,FALSE)</f>
        <v>#N/A</v>
      </c>
    </row>
    <row r="14" spans="1:5" x14ac:dyDescent="0.25">
      <c r="A14" s="86"/>
      <c r="B14" s="91"/>
      <c r="C14" s="60"/>
      <c r="D14" s="85"/>
      <c r="E14" s="60" t="e">
        <f>VLOOKUP(A14,'Trips&amp;Operators'!$C$1:$E$9999,3,FALSE)</f>
        <v>#N/A</v>
      </c>
    </row>
  </sheetData>
  <sortState ref="A2:B13">
    <sortCondition ref="A2:A13"/>
  </sortState>
  <mergeCells count="1">
    <mergeCell ref="A1:E1"/>
  </mergeCells>
  <conditionalFormatting sqref="B3:C3">
    <cfRule type="expression" dxfId="47" priority="44">
      <formula>$R3&gt;0</formula>
    </cfRule>
    <cfRule type="expression" dxfId="46" priority="45">
      <formula>$Q3&gt;0</formula>
    </cfRule>
  </conditionalFormatting>
  <conditionalFormatting sqref="A5:C5">
    <cfRule type="expression" dxfId="45" priority="41">
      <formula>$R5&gt;0</formula>
    </cfRule>
    <cfRule type="expression" dxfId="44" priority="42">
      <formula>$Q5&gt;0</formula>
    </cfRule>
  </conditionalFormatting>
  <conditionalFormatting sqref="A6:B6">
    <cfRule type="expression" dxfId="43" priority="38">
      <formula>$R6&gt;0</formula>
    </cfRule>
    <cfRule type="expression" dxfId="42" priority="39">
      <formula>$Q6&gt;0</formula>
    </cfRule>
  </conditionalFormatting>
  <conditionalFormatting sqref="A11:C12">
    <cfRule type="expression" dxfId="41" priority="35">
      <formula>$R11&gt;0</formula>
    </cfRule>
    <cfRule type="expression" dxfId="40" priority="36">
      <formula>$Q11&gt;0</formula>
    </cfRule>
  </conditionalFormatting>
  <conditionalFormatting sqref="A13:C13">
    <cfRule type="expression" dxfId="39" priority="32">
      <formula>$R13&gt;0</formula>
    </cfRule>
    <cfRule type="expression" dxfId="38" priority="33">
      <formula>$Q13&gt;0</formula>
    </cfRule>
  </conditionalFormatting>
  <conditionalFormatting sqref="D3:D4 D6:D10">
    <cfRule type="expression" dxfId="37" priority="29">
      <formula>$R3&gt;0</formula>
    </cfRule>
    <cfRule type="expression" dxfId="36" priority="30">
      <formula>$Q3&gt;0</formula>
    </cfRule>
  </conditionalFormatting>
  <conditionalFormatting sqref="E3:E14">
    <cfRule type="expression" dxfId="35" priority="26">
      <formula>$R3&gt;0</formula>
    </cfRule>
    <cfRule type="expression" dxfId="34" priority="27">
      <formula>$Q3&gt;0</formula>
    </cfRule>
  </conditionalFormatting>
  <conditionalFormatting sqref="C7">
    <cfRule type="expression" dxfId="33" priority="17">
      <formula>$R7&gt;0</formula>
    </cfRule>
    <cfRule type="expression" dxfId="32" priority="18">
      <formula>$Q7&gt;0</formula>
    </cfRule>
  </conditionalFormatting>
  <conditionalFormatting sqref="C6">
    <cfRule type="expression" dxfId="31" priority="14">
      <formula>$R6&gt;0</formula>
    </cfRule>
    <cfRule type="expression" dxfId="30" priority="15">
      <formula>$Q6&gt;0</formula>
    </cfRule>
  </conditionalFormatting>
  <conditionalFormatting sqref="A8">
    <cfRule type="expression" dxfId="29" priority="11">
      <formula>$P8&gt;0</formula>
    </cfRule>
    <cfRule type="expression" dxfId="28" priority="12">
      <formula>$O8&gt;0</formula>
    </cfRule>
  </conditionalFormatting>
  <conditionalFormatting sqref="A3">
    <cfRule type="expression" dxfId="27" priority="8">
      <formula>$P3&gt;0</formula>
    </cfRule>
    <cfRule type="expression" dxfId="26" priority="9">
      <formula>$O3&gt;0</formula>
    </cfRule>
  </conditionalFormatting>
  <conditionalFormatting sqref="A4">
    <cfRule type="expression" dxfId="25" priority="5">
      <formula>$P4&gt;0</formula>
    </cfRule>
    <cfRule type="expression" dxfId="24" priority="6">
      <formula>$O4&gt;0</formula>
    </cfRule>
  </conditionalFormatting>
  <conditionalFormatting sqref="D5">
    <cfRule type="expression" dxfId="23" priority="2">
      <formula>$P5&gt;0</formula>
    </cfRule>
    <cfRule type="expression" dxfId="22" priority="3">
      <formula>$O5&gt;0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EB016D9B-668F-4EEA-859B-63F0F621CEF6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B3:C3</xm:sqref>
        </x14:conditionalFormatting>
        <x14:conditionalFormatting xmlns:xm="http://schemas.microsoft.com/office/excel/2006/main">
          <x14:cfRule type="expression" priority="40" id="{3DFDDCCC-1A4E-4FF0-B2E6-406B9821E61E}">
            <xm:f>$P5&gt;Variables!$C$2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A5:C5</xm:sqref>
        </x14:conditionalFormatting>
        <x14:conditionalFormatting xmlns:xm="http://schemas.microsoft.com/office/excel/2006/main">
          <x14:cfRule type="expression" priority="37" id="{2E40D95F-8D8D-4FDF-89D9-2FB20FADC43A}">
            <xm:f>$P6&gt;Variables!$C$2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A6:B6</xm:sqref>
        </x14:conditionalFormatting>
        <x14:conditionalFormatting xmlns:xm="http://schemas.microsoft.com/office/excel/2006/main">
          <x14:cfRule type="expression" priority="34" id="{8C5EC98D-C68B-4949-8138-C40417B65DE0}">
            <xm:f>$P11&gt;Variables!$C$2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A11:C12</xm:sqref>
        </x14:conditionalFormatting>
        <x14:conditionalFormatting xmlns:xm="http://schemas.microsoft.com/office/excel/2006/main">
          <x14:cfRule type="expression" priority="31" id="{6213FC8E-D413-47F3-8068-AE5178331F5D}">
            <xm:f>$P13&gt;Variables!$C$2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A13:C13</xm:sqref>
        </x14:conditionalFormatting>
        <x14:conditionalFormatting xmlns:xm="http://schemas.microsoft.com/office/excel/2006/main">
          <x14:cfRule type="expression" priority="28" id="{2A4AD9E0-B4C1-4289-9540-CE65982561AB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D3:D4 D6:D10</xm:sqref>
        </x14:conditionalFormatting>
        <x14:conditionalFormatting xmlns:xm="http://schemas.microsoft.com/office/excel/2006/main">
          <x14:cfRule type="expression" priority="25" id="{05DBD86D-4680-4C5B-A043-C2DA17B3AFD9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E3:E14</xm:sqref>
        </x14:conditionalFormatting>
        <x14:conditionalFormatting xmlns:xm="http://schemas.microsoft.com/office/excel/2006/main">
          <x14:cfRule type="expression" priority="16" id="{D69D4575-06B5-4544-9A0F-9E568A51613A}">
            <xm:f>$P7&gt;Variables!$C$2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expression" priority="13" id="{9548D54F-5938-4DC2-85B4-3511A0629027}">
            <xm:f>$P6&gt;Variables!$C$2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expression" priority="10" id="{CAAFE473-4C7F-43EC-9E7B-4F04D1AD355A}">
            <xm:f>$N8&gt;Variables!$C$2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7" id="{9FBE9AEA-4FB8-477A-B111-342197AA2D2B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expression" priority="4" id="{C1D376B4-D49F-4C90-9F40-B0E948A44A4D}">
            <xm:f>$N4&gt;Variables!$C$2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expression" priority="1" id="{0B1933BB-7CA6-49B5-8D01-DCF904FCA323}">
            <xm:f>$N5&gt;Variables!$C$2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D5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91"/>
  <sheetViews>
    <sheetView workbookViewId="0">
      <selection sqref="A1:E158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42534.286516203705</v>
      </c>
      <c r="B1" t="s">
        <v>97</v>
      </c>
      <c r="C1" t="s">
        <v>327</v>
      </c>
      <c r="D1">
        <v>1310000</v>
      </c>
      <c r="E1" t="s">
        <v>185</v>
      </c>
    </row>
    <row r="2" spans="1:5" x14ac:dyDescent="0.25">
      <c r="A2" s="14">
        <v>42534.232499999998</v>
      </c>
      <c r="B2" t="s">
        <v>328</v>
      </c>
      <c r="C2" t="s">
        <v>329</v>
      </c>
      <c r="D2">
        <v>1480000</v>
      </c>
      <c r="E2" t="s">
        <v>293</v>
      </c>
    </row>
    <row r="3" spans="1:5" x14ac:dyDescent="0.25">
      <c r="A3" s="14">
        <v>42534.56077546296</v>
      </c>
      <c r="B3" t="s">
        <v>285</v>
      </c>
      <c r="C3" t="s">
        <v>330</v>
      </c>
      <c r="D3">
        <v>1460000</v>
      </c>
      <c r="E3" t="s">
        <v>194</v>
      </c>
    </row>
    <row r="4" spans="1:5" x14ac:dyDescent="0.25">
      <c r="A4" s="14">
        <v>42534.622002314813</v>
      </c>
      <c r="B4" t="s">
        <v>113</v>
      </c>
      <c r="C4" t="s">
        <v>331</v>
      </c>
      <c r="D4">
        <v>1540000</v>
      </c>
      <c r="E4" t="s">
        <v>123</v>
      </c>
    </row>
    <row r="5" spans="1:5" x14ac:dyDescent="0.25">
      <c r="A5" s="14">
        <v>42534.847037037034</v>
      </c>
      <c r="B5" t="s">
        <v>120</v>
      </c>
      <c r="C5" t="s">
        <v>332</v>
      </c>
      <c r="D5">
        <v>1140000</v>
      </c>
      <c r="E5" t="s">
        <v>124</v>
      </c>
    </row>
    <row r="6" spans="1:5" x14ac:dyDescent="0.25">
      <c r="A6" s="14">
        <v>42534.939641203702</v>
      </c>
      <c r="B6" t="s">
        <v>120</v>
      </c>
      <c r="C6" t="s">
        <v>333</v>
      </c>
      <c r="D6">
        <v>1800000</v>
      </c>
      <c r="E6" t="s">
        <v>334</v>
      </c>
    </row>
    <row r="7" spans="1:5" x14ac:dyDescent="0.25">
      <c r="A7" s="14">
        <v>42534.949259259258</v>
      </c>
      <c r="B7" t="s">
        <v>157</v>
      </c>
      <c r="C7" t="s">
        <v>335</v>
      </c>
      <c r="D7">
        <v>1750000</v>
      </c>
      <c r="E7" t="s">
        <v>298</v>
      </c>
    </row>
    <row r="8" spans="1:5" ht="15.75" thickBot="1" x14ac:dyDescent="0.3">
      <c r="A8" s="82">
        <v>42534.702060185184</v>
      </c>
      <c r="B8" t="s">
        <v>97</v>
      </c>
      <c r="C8" t="s">
        <v>336</v>
      </c>
      <c r="D8">
        <v>1820000</v>
      </c>
      <c r="E8" t="s">
        <v>138</v>
      </c>
    </row>
    <row r="9" spans="1:5" x14ac:dyDescent="0.25">
      <c r="A9" s="14">
        <v>42534.80605324074</v>
      </c>
      <c r="B9" t="s">
        <v>107</v>
      </c>
      <c r="C9" t="s">
        <v>337</v>
      </c>
      <c r="D9">
        <v>1280000</v>
      </c>
      <c r="E9" t="s">
        <v>182</v>
      </c>
    </row>
    <row r="10" spans="1:5" x14ac:dyDescent="0.25">
      <c r="A10" s="14">
        <v>42534.862743055557</v>
      </c>
      <c r="B10" t="s">
        <v>113</v>
      </c>
      <c r="C10" t="s">
        <v>338</v>
      </c>
      <c r="D10">
        <v>1760000</v>
      </c>
      <c r="E10" t="s">
        <v>339</v>
      </c>
    </row>
    <row r="11" spans="1:5" x14ac:dyDescent="0.25">
      <c r="A11" s="14">
        <v>42534.807511574072</v>
      </c>
      <c r="B11" t="s">
        <v>157</v>
      </c>
      <c r="C11" t="s">
        <v>340</v>
      </c>
      <c r="D11">
        <v>1750000</v>
      </c>
      <c r="E11" t="s">
        <v>298</v>
      </c>
    </row>
    <row r="12" spans="1:5" x14ac:dyDescent="0.25">
      <c r="A12" s="14">
        <v>42534.994490740741</v>
      </c>
      <c r="B12" t="s">
        <v>97</v>
      </c>
      <c r="C12" t="s">
        <v>341</v>
      </c>
      <c r="D12">
        <v>1750000</v>
      </c>
      <c r="E12" t="s">
        <v>298</v>
      </c>
    </row>
    <row r="13" spans="1:5" x14ac:dyDescent="0.25">
      <c r="A13" s="14">
        <v>42534.726655092592</v>
      </c>
      <c r="B13" t="s">
        <v>342</v>
      </c>
      <c r="C13" t="s">
        <v>343</v>
      </c>
      <c r="D13">
        <v>780000</v>
      </c>
      <c r="E13" t="s">
        <v>344</v>
      </c>
    </row>
    <row r="14" spans="1:5" x14ac:dyDescent="0.25">
      <c r="A14" s="14">
        <v>42534.228784722225</v>
      </c>
      <c r="B14" t="s">
        <v>157</v>
      </c>
      <c r="C14" t="s">
        <v>345</v>
      </c>
      <c r="D14">
        <v>1310000</v>
      </c>
      <c r="E14" t="s">
        <v>185</v>
      </c>
    </row>
    <row r="15" spans="1:5" x14ac:dyDescent="0.25">
      <c r="A15" s="14">
        <v>42534.338101851848</v>
      </c>
      <c r="B15" t="s">
        <v>97</v>
      </c>
      <c r="C15" t="s">
        <v>346</v>
      </c>
      <c r="D15">
        <v>1310000</v>
      </c>
      <c r="E15" t="s">
        <v>185</v>
      </c>
    </row>
    <row r="16" spans="1:5" x14ac:dyDescent="0.25">
      <c r="A16" s="14">
        <v>42534.266828703701</v>
      </c>
      <c r="B16" s="59" t="s">
        <v>97</v>
      </c>
      <c r="C16" t="s">
        <v>327</v>
      </c>
      <c r="D16">
        <v>1310000</v>
      </c>
      <c r="E16" t="s">
        <v>185</v>
      </c>
    </row>
    <row r="17" spans="1:5" x14ac:dyDescent="0.25">
      <c r="A17" s="14">
        <v>42534.641805555555</v>
      </c>
      <c r="B17" t="s">
        <v>347</v>
      </c>
      <c r="C17" t="s">
        <v>348</v>
      </c>
      <c r="D17">
        <v>950000</v>
      </c>
      <c r="E17" t="s">
        <v>296</v>
      </c>
    </row>
    <row r="18" spans="1:5" x14ac:dyDescent="0.25">
      <c r="A18" s="14">
        <v>42534.302719907406</v>
      </c>
      <c r="B18" t="s">
        <v>281</v>
      </c>
      <c r="C18" t="s">
        <v>349</v>
      </c>
      <c r="D18">
        <v>1090000</v>
      </c>
      <c r="E18" t="s">
        <v>350</v>
      </c>
    </row>
    <row r="19" spans="1:5" x14ac:dyDescent="0.25">
      <c r="A19" s="14">
        <v>42534.599490740744</v>
      </c>
      <c r="B19" t="s">
        <v>281</v>
      </c>
      <c r="C19" t="s">
        <v>330</v>
      </c>
      <c r="D19">
        <v>1460000</v>
      </c>
      <c r="E19" t="s">
        <v>194</v>
      </c>
    </row>
    <row r="20" spans="1:5" x14ac:dyDescent="0.25">
      <c r="A20" s="14">
        <v>42534.361956018518</v>
      </c>
      <c r="B20" t="s">
        <v>161</v>
      </c>
      <c r="C20" t="s">
        <v>351</v>
      </c>
      <c r="D20">
        <v>1840000</v>
      </c>
      <c r="E20" t="s">
        <v>292</v>
      </c>
    </row>
    <row r="21" spans="1:5" x14ac:dyDescent="0.25">
      <c r="A21" s="14">
        <v>42534.29792824074</v>
      </c>
      <c r="B21" t="s">
        <v>107</v>
      </c>
      <c r="C21" t="s">
        <v>352</v>
      </c>
      <c r="D21">
        <v>1110000</v>
      </c>
      <c r="E21" t="s">
        <v>134</v>
      </c>
    </row>
    <row r="22" spans="1:5" x14ac:dyDescent="0.25">
      <c r="A22" s="14">
        <v>42534.412939814814</v>
      </c>
      <c r="B22" t="s">
        <v>97</v>
      </c>
      <c r="C22" t="s">
        <v>353</v>
      </c>
      <c r="D22">
        <v>1310000</v>
      </c>
      <c r="E22" t="s">
        <v>185</v>
      </c>
    </row>
    <row r="23" spans="1:5" x14ac:dyDescent="0.25">
      <c r="A23" s="14">
        <v>42535.055983796294</v>
      </c>
      <c r="B23" t="s">
        <v>107</v>
      </c>
      <c r="C23" t="s">
        <v>354</v>
      </c>
      <c r="D23">
        <v>1280000</v>
      </c>
      <c r="E23" t="s">
        <v>182</v>
      </c>
    </row>
    <row r="24" spans="1:5" x14ac:dyDescent="0.25">
      <c r="A24" s="14">
        <v>42534.443599537037</v>
      </c>
      <c r="B24" t="s">
        <v>107</v>
      </c>
      <c r="C24" t="s">
        <v>355</v>
      </c>
      <c r="D24">
        <v>1110000</v>
      </c>
      <c r="E24" t="s">
        <v>134</v>
      </c>
    </row>
    <row r="25" spans="1:5" x14ac:dyDescent="0.25">
      <c r="A25" s="14">
        <v>42534.744189814817</v>
      </c>
      <c r="B25" t="s">
        <v>281</v>
      </c>
      <c r="C25" t="s">
        <v>356</v>
      </c>
      <c r="D25">
        <v>1460000</v>
      </c>
      <c r="E25" t="s">
        <v>194</v>
      </c>
    </row>
    <row r="26" spans="1:5" x14ac:dyDescent="0.25">
      <c r="A26" s="14">
        <v>42534.549166666664</v>
      </c>
      <c r="B26" t="s">
        <v>108</v>
      </c>
      <c r="C26" t="s">
        <v>357</v>
      </c>
      <c r="D26">
        <v>1450000</v>
      </c>
      <c r="E26" t="s">
        <v>358</v>
      </c>
    </row>
    <row r="27" spans="1:5" x14ac:dyDescent="0.25">
      <c r="A27" s="14">
        <v>42534.714120370372</v>
      </c>
      <c r="B27" s="59" t="s">
        <v>347</v>
      </c>
      <c r="C27" t="s">
        <v>359</v>
      </c>
      <c r="D27">
        <v>950000</v>
      </c>
      <c r="E27" t="s">
        <v>296</v>
      </c>
    </row>
    <row r="28" spans="1:5" x14ac:dyDescent="0.25">
      <c r="A28" s="14">
        <v>42534.245509259257</v>
      </c>
      <c r="B28" t="s">
        <v>122</v>
      </c>
      <c r="C28" t="s">
        <v>360</v>
      </c>
      <c r="D28">
        <v>1360000</v>
      </c>
      <c r="E28" t="s">
        <v>105</v>
      </c>
    </row>
    <row r="29" spans="1:5" x14ac:dyDescent="0.25">
      <c r="A29" s="14">
        <v>42534.630069444444</v>
      </c>
      <c r="B29" t="s">
        <v>97</v>
      </c>
      <c r="C29" t="s">
        <v>361</v>
      </c>
      <c r="D29">
        <v>1820000</v>
      </c>
      <c r="E29" t="s">
        <v>138</v>
      </c>
    </row>
    <row r="30" spans="1:5" x14ac:dyDescent="0.25">
      <c r="A30" s="14">
        <v>42534.285266203704</v>
      </c>
      <c r="B30" t="s">
        <v>287</v>
      </c>
      <c r="C30" t="s">
        <v>362</v>
      </c>
      <c r="D30">
        <v>1290000</v>
      </c>
      <c r="E30" t="s">
        <v>128</v>
      </c>
    </row>
    <row r="31" spans="1:5" x14ac:dyDescent="0.25">
      <c r="A31" s="14">
        <v>42535.011782407404</v>
      </c>
      <c r="B31" t="s">
        <v>120</v>
      </c>
      <c r="C31" t="s">
        <v>363</v>
      </c>
      <c r="D31">
        <v>1140000</v>
      </c>
      <c r="E31" t="s">
        <v>124</v>
      </c>
    </row>
    <row r="32" spans="1:5" x14ac:dyDescent="0.25">
      <c r="A32" s="14">
        <v>42534.509826388887</v>
      </c>
      <c r="B32" t="s">
        <v>161</v>
      </c>
      <c r="C32" t="s">
        <v>364</v>
      </c>
      <c r="D32">
        <v>1510000</v>
      </c>
      <c r="E32" t="s">
        <v>365</v>
      </c>
    </row>
    <row r="33" spans="1:5" x14ac:dyDescent="0.25">
      <c r="A33" s="14">
        <v>42534.977939814817</v>
      </c>
      <c r="B33" t="s">
        <v>118</v>
      </c>
      <c r="C33" t="s">
        <v>366</v>
      </c>
      <c r="D33">
        <v>1140000</v>
      </c>
      <c r="E33" t="s">
        <v>124</v>
      </c>
    </row>
    <row r="34" spans="1:5" x14ac:dyDescent="0.25">
      <c r="A34" s="14">
        <v>42534.234791666669</v>
      </c>
      <c r="B34" t="s">
        <v>281</v>
      </c>
      <c r="C34" t="s">
        <v>367</v>
      </c>
      <c r="D34">
        <v>1090000</v>
      </c>
      <c r="E34" t="s">
        <v>350</v>
      </c>
    </row>
    <row r="35" spans="1:5" x14ac:dyDescent="0.25">
      <c r="A35" s="14">
        <v>42534.857546296298</v>
      </c>
      <c r="B35" t="s">
        <v>97</v>
      </c>
      <c r="C35" t="s">
        <v>368</v>
      </c>
      <c r="D35">
        <v>1750000</v>
      </c>
      <c r="E35" t="s">
        <v>298</v>
      </c>
    </row>
    <row r="36" spans="1:5" x14ac:dyDescent="0.25">
      <c r="A36" s="14">
        <v>42534.380879629629</v>
      </c>
      <c r="B36" t="s">
        <v>281</v>
      </c>
      <c r="C36" t="s">
        <v>369</v>
      </c>
      <c r="D36">
        <v>1090000</v>
      </c>
      <c r="E36" t="s">
        <v>350</v>
      </c>
    </row>
    <row r="37" spans="1:5" x14ac:dyDescent="0.25">
      <c r="A37" s="14">
        <v>42534.855243055557</v>
      </c>
      <c r="B37" t="s">
        <v>113</v>
      </c>
      <c r="C37" t="s">
        <v>370</v>
      </c>
      <c r="D37">
        <v>1760000</v>
      </c>
      <c r="E37" t="s">
        <v>339</v>
      </c>
    </row>
    <row r="38" spans="1:5" x14ac:dyDescent="0.25">
      <c r="A38" s="14">
        <v>42534.503321759257</v>
      </c>
      <c r="B38" t="s">
        <v>287</v>
      </c>
      <c r="C38" t="s">
        <v>371</v>
      </c>
      <c r="D38">
        <v>1470000</v>
      </c>
      <c r="E38" t="s">
        <v>114</v>
      </c>
    </row>
    <row r="39" spans="1:5" x14ac:dyDescent="0.25">
      <c r="A39" s="14">
        <v>42534.853379629632</v>
      </c>
      <c r="B39" t="s">
        <v>113</v>
      </c>
      <c r="C39" t="s">
        <v>370</v>
      </c>
      <c r="D39">
        <v>1760000</v>
      </c>
      <c r="E39" t="s">
        <v>339</v>
      </c>
    </row>
    <row r="40" spans="1:5" x14ac:dyDescent="0.25">
      <c r="A40" s="14">
        <v>42534.253194444442</v>
      </c>
      <c r="B40" t="s">
        <v>78</v>
      </c>
      <c r="C40" t="s">
        <v>372</v>
      </c>
      <c r="D40">
        <v>1840000</v>
      </c>
      <c r="E40" t="s">
        <v>292</v>
      </c>
    </row>
    <row r="41" spans="1:5" x14ac:dyDescent="0.25">
      <c r="A41" s="14">
        <v>42534.761967592596</v>
      </c>
      <c r="B41" t="s">
        <v>113</v>
      </c>
      <c r="C41" t="s">
        <v>373</v>
      </c>
      <c r="D41">
        <v>1760000</v>
      </c>
      <c r="E41" t="s">
        <v>339</v>
      </c>
    </row>
    <row r="42" spans="1:5" x14ac:dyDescent="0.25">
      <c r="A42" s="14">
        <v>42534.288553240738</v>
      </c>
      <c r="B42" s="83" t="s">
        <v>161</v>
      </c>
      <c r="C42" t="s">
        <v>374</v>
      </c>
      <c r="D42">
        <v>1840000</v>
      </c>
      <c r="E42" t="s">
        <v>292</v>
      </c>
    </row>
    <row r="43" spans="1:5" x14ac:dyDescent="0.25">
      <c r="A43" s="14">
        <v>42534.693113425928</v>
      </c>
      <c r="B43" t="s">
        <v>78</v>
      </c>
      <c r="C43" t="s">
        <v>375</v>
      </c>
      <c r="D43">
        <v>1510000</v>
      </c>
      <c r="E43" t="s">
        <v>365</v>
      </c>
    </row>
    <row r="44" spans="1:5" x14ac:dyDescent="0.25">
      <c r="A44" s="14">
        <v>42534.351712962962</v>
      </c>
      <c r="B44" t="s">
        <v>139</v>
      </c>
      <c r="C44" t="s">
        <v>376</v>
      </c>
      <c r="D44">
        <v>1360000</v>
      </c>
      <c r="E44" t="s">
        <v>105</v>
      </c>
    </row>
    <row r="45" spans="1:5" x14ac:dyDescent="0.25">
      <c r="A45" s="14">
        <v>42534.60832175926</v>
      </c>
      <c r="B45" t="s">
        <v>122</v>
      </c>
      <c r="C45" t="s">
        <v>377</v>
      </c>
      <c r="D45">
        <v>1260000</v>
      </c>
      <c r="E45" t="s">
        <v>294</v>
      </c>
    </row>
    <row r="46" spans="1:5" x14ac:dyDescent="0.25">
      <c r="A46" s="14">
        <v>42534.404826388891</v>
      </c>
      <c r="B46" t="s">
        <v>108</v>
      </c>
      <c r="C46" t="s">
        <v>378</v>
      </c>
      <c r="D46">
        <v>1110000</v>
      </c>
      <c r="E46" t="s">
        <v>134</v>
      </c>
    </row>
    <row r="47" spans="1:5" x14ac:dyDescent="0.25">
      <c r="A47" s="14">
        <v>42534.599780092591</v>
      </c>
      <c r="B47" t="s">
        <v>328</v>
      </c>
      <c r="C47" t="s">
        <v>379</v>
      </c>
      <c r="D47">
        <v>950000</v>
      </c>
      <c r="E47" t="s">
        <v>296</v>
      </c>
    </row>
    <row r="48" spans="1:5" x14ac:dyDescent="0.25">
      <c r="A48" s="14">
        <v>42534.413587962961</v>
      </c>
      <c r="B48" t="s">
        <v>285</v>
      </c>
      <c r="C48" t="s">
        <v>349</v>
      </c>
      <c r="D48">
        <v>1090000</v>
      </c>
      <c r="E48" t="s">
        <v>350</v>
      </c>
    </row>
    <row r="49" spans="1:5" x14ac:dyDescent="0.25">
      <c r="A49" s="14">
        <v>42534.537118055552</v>
      </c>
      <c r="B49" t="s">
        <v>122</v>
      </c>
      <c r="C49" t="s">
        <v>380</v>
      </c>
      <c r="D49">
        <v>1260000</v>
      </c>
      <c r="E49" t="s">
        <v>294</v>
      </c>
    </row>
    <row r="50" spans="1:5" x14ac:dyDescent="0.25">
      <c r="A50" s="14">
        <v>42534.421087962961</v>
      </c>
      <c r="B50" t="s">
        <v>347</v>
      </c>
      <c r="C50" t="s">
        <v>381</v>
      </c>
      <c r="D50">
        <v>1480000</v>
      </c>
      <c r="E50" t="s">
        <v>293</v>
      </c>
    </row>
    <row r="51" spans="1:5" x14ac:dyDescent="0.25">
      <c r="A51" s="14">
        <v>42534.915034722224</v>
      </c>
      <c r="B51" t="s">
        <v>113</v>
      </c>
      <c r="C51" t="s">
        <v>382</v>
      </c>
      <c r="D51">
        <v>1760000</v>
      </c>
      <c r="E51" t="s">
        <v>339</v>
      </c>
    </row>
    <row r="52" spans="1:5" x14ac:dyDescent="0.25">
      <c r="A52" s="14">
        <v>42534.437060185184</v>
      </c>
      <c r="B52" t="s">
        <v>161</v>
      </c>
      <c r="C52" t="s">
        <v>383</v>
      </c>
      <c r="D52">
        <v>1360000</v>
      </c>
      <c r="E52" t="s">
        <v>105</v>
      </c>
    </row>
    <row r="53" spans="1:5" x14ac:dyDescent="0.25">
      <c r="A53" s="14">
        <v>42534.884444444448</v>
      </c>
      <c r="B53" t="s">
        <v>287</v>
      </c>
      <c r="C53" t="s">
        <v>384</v>
      </c>
      <c r="D53">
        <v>1760000</v>
      </c>
      <c r="E53" t="s">
        <v>339</v>
      </c>
    </row>
    <row r="54" spans="1:5" x14ac:dyDescent="0.25">
      <c r="A54" s="14">
        <v>42534.463402777779</v>
      </c>
      <c r="B54" t="s">
        <v>122</v>
      </c>
      <c r="C54" t="s">
        <v>385</v>
      </c>
      <c r="D54">
        <v>1260000</v>
      </c>
      <c r="E54" t="s">
        <v>294</v>
      </c>
    </row>
    <row r="55" spans="1:5" x14ac:dyDescent="0.25">
      <c r="A55" s="14">
        <v>42534.679456018515</v>
      </c>
      <c r="B55" t="s">
        <v>122</v>
      </c>
      <c r="C55" t="s">
        <v>386</v>
      </c>
      <c r="D55">
        <v>1260000</v>
      </c>
      <c r="E55" t="s">
        <v>294</v>
      </c>
    </row>
    <row r="56" spans="1:5" x14ac:dyDescent="0.25">
      <c r="A56" s="14">
        <v>42534.496064814812</v>
      </c>
      <c r="B56" t="s">
        <v>347</v>
      </c>
      <c r="C56" t="s">
        <v>387</v>
      </c>
      <c r="D56">
        <v>1310000</v>
      </c>
      <c r="E56" t="s">
        <v>185</v>
      </c>
    </row>
    <row r="57" spans="1:5" x14ac:dyDescent="0.25">
      <c r="A57" s="14">
        <v>42534.642685185187</v>
      </c>
      <c r="B57" t="s">
        <v>139</v>
      </c>
      <c r="C57" t="s">
        <v>388</v>
      </c>
      <c r="D57">
        <v>1260000</v>
      </c>
      <c r="E57" t="s">
        <v>294</v>
      </c>
    </row>
    <row r="58" spans="1:5" x14ac:dyDescent="0.25">
      <c r="A58" s="14">
        <v>42534.568842592591</v>
      </c>
      <c r="B58" t="s">
        <v>139</v>
      </c>
      <c r="C58" t="s">
        <v>389</v>
      </c>
      <c r="D58">
        <v>1260000</v>
      </c>
      <c r="E58" t="s">
        <v>294</v>
      </c>
    </row>
    <row r="59" spans="1:5" x14ac:dyDescent="0.25">
      <c r="A59" s="14">
        <v>42534.587534722225</v>
      </c>
      <c r="B59" t="s">
        <v>107</v>
      </c>
      <c r="C59" t="s">
        <v>390</v>
      </c>
      <c r="D59">
        <v>1450000</v>
      </c>
      <c r="E59" t="s">
        <v>358</v>
      </c>
    </row>
    <row r="60" spans="1:5" x14ac:dyDescent="0.25">
      <c r="A60" s="14">
        <v>42534.652881944443</v>
      </c>
      <c r="B60" t="s">
        <v>161</v>
      </c>
      <c r="C60" t="s">
        <v>391</v>
      </c>
      <c r="D60">
        <v>1510000</v>
      </c>
      <c r="E60" t="s">
        <v>365</v>
      </c>
    </row>
    <row r="61" spans="1:5" x14ac:dyDescent="0.25">
      <c r="A61" s="14">
        <v>42534.566400462965</v>
      </c>
      <c r="B61" t="s">
        <v>347</v>
      </c>
      <c r="C61" t="s">
        <v>392</v>
      </c>
      <c r="D61">
        <v>950000</v>
      </c>
      <c r="E61" t="s">
        <v>296</v>
      </c>
    </row>
    <row r="62" spans="1:5" x14ac:dyDescent="0.25">
      <c r="A62" s="14">
        <v>42534.757025462961</v>
      </c>
      <c r="B62" t="s">
        <v>122</v>
      </c>
      <c r="C62" t="s">
        <v>393</v>
      </c>
      <c r="D62">
        <v>1140000</v>
      </c>
      <c r="E62" t="s">
        <v>124</v>
      </c>
    </row>
    <row r="63" spans="1:5" x14ac:dyDescent="0.25">
      <c r="A63" s="14">
        <v>42534.518020833333</v>
      </c>
      <c r="B63" t="s">
        <v>157</v>
      </c>
      <c r="C63" t="s">
        <v>394</v>
      </c>
      <c r="D63">
        <v>1820000</v>
      </c>
      <c r="E63" t="s">
        <v>138</v>
      </c>
    </row>
    <row r="64" spans="1:5" x14ac:dyDescent="0.25">
      <c r="A64" s="14">
        <v>42534.795092592591</v>
      </c>
      <c r="B64" t="s">
        <v>118</v>
      </c>
      <c r="C64" t="s">
        <v>395</v>
      </c>
      <c r="D64">
        <v>1140000</v>
      </c>
      <c r="E64" t="s">
        <v>124</v>
      </c>
    </row>
    <row r="65" spans="1:5" x14ac:dyDescent="0.25">
      <c r="A65" s="14">
        <v>42534.319884259261</v>
      </c>
      <c r="B65" t="s">
        <v>113</v>
      </c>
      <c r="C65" t="s">
        <v>396</v>
      </c>
      <c r="D65">
        <v>1290000</v>
      </c>
      <c r="E65" t="s">
        <v>128</v>
      </c>
    </row>
    <row r="66" spans="1:5" x14ac:dyDescent="0.25">
      <c r="A66" s="14">
        <v>42534.99255787037</v>
      </c>
      <c r="B66" t="s">
        <v>113</v>
      </c>
      <c r="C66" t="s">
        <v>397</v>
      </c>
      <c r="D66">
        <v>1760000</v>
      </c>
      <c r="E66" t="s">
        <v>339</v>
      </c>
    </row>
    <row r="67" spans="1:5" x14ac:dyDescent="0.25">
      <c r="A67" s="14">
        <v>42534.249606481484</v>
      </c>
      <c r="B67" t="s">
        <v>113</v>
      </c>
      <c r="C67" t="s">
        <v>398</v>
      </c>
      <c r="D67">
        <v>1290000</v>
      </c>
      <c r="E67" t="s">
        <v>128</v>
      </c>
    </row>
    <row r="68" spans="1:5" x14ac:dyDescent="0.25">
      <c r="A68" s="14">
        <v>42535.01253472222</v>
      </c>
      <c r="B68" t="s">
        <v>108</v>
      </c>
      <c r="C68" t="s">
        <v>399</v>
      </c>
      <c r="D68">
        <v>1280000</v>
      </c>
      <c r="E68" t="s">
        <v>182</v>
      </c>
    </row>
    <row r="69" spans="1:5" x14ac:dyDescent="0.25">
      <c r="A69" s="14">
        <v>42534.451990740738</v>
      </c>
      <c r="B69" t="s">
        <v>281</v>
      </c>
      <c r="C69" t="s">
        <v>400</v>
      </c>
      <c r="D69">
        <v>1090000</v>
      </c>
      <c r="E69" t="s">
        <v>350</v>
      </c>
    </row>
    <row r="70" spans="1:5" x14ac:dyDescent="0.25">
      <c r="A70" s="14">
        <v>42534.600972222222</v>
      </c>
      <c r="B70" t="s">
        <v>281</v>
      </c>
      <c r="C70" t="s">
        <v>401</v>
      </c>
      <c r="D70">
        <v>1460000</v>
      </c>
      <c r="E70" t="s">
        <v>194</v>
      </c>
    </row>
    <row r="71" spans="1:5" x14ac:dyDescent="0.25">
      <c r="A71" s="14">
        <v>42534.426793981482</v>
      </c>
      <c r="B71" t="s">
        <v>139</v>
      </c>
      <c r="C71" t="s">
        <v>402</v>
      </c>
      <c r="D71">
        <v>1260000</v>
      </c>
      <c r="E71" t="s">
        <v>294</v>
      </c>
    </row>
    <row r="72" spans="1:5" x14ac:dyDescent="0.25">
      <c r="A72" s="14">
        <v>42534.620335648149</v>
      </c>
      <c r="B72" t="s">
        <v>78</v>
      </c>
      <c r="C72" t="s">
        <v>391</v>
      </c>
      <c r="D72">
        <v>1510000</v>
      </c>
      <c r="E72" t="s">
        <v>365</v>
      </c>
    </row>
    <row r="73" spans="1:5" x14ac:dyDescent="0.25">
      <c r="A73" s="14">
        <v>42534.389513888891</v>
      </c>
      <c r="B73" t="s">
        <v>122</v>
      </c>
      <c r="C73" t="s">
        <v>403</v>
      </c>
      <c r="D73">
        <v>1360000</v>
      </c>
      <c r="E73" t="s">
        <v>105</v>
      </c>
    </row>
    <row r="74" spans="1:5" x14ac:dyDescent="0.25">
      <c r="A74" s="14">
        <v>42534.736192129632</v>
      </c>
      <c r="B74" t="s">
        <v>107</v>
      </c>
      <c r="C74" t="s">
        <v>404</v>
      </c>
      <c r="D74">
        <v>1450000</v>
      </c>
      <c r="E74" t="s">
        <v>358</v>
      </c>
    </row>
    <row r="75" spans="1:5" x14ac:dyDescent="0.25">
      <c r="A75" s="14">
        <v>42534.308472222219</v>
      </c>
      <c r="B75" t="s">
        <v>328</v>
      </c>
      <c r="C75" t="s">
        <v>405</v>
      </c>
      <c r="D75">
        <v>1480000</v>
      </c>
      <c r="E75" t="s">
        <v>293</v>
      </c>
    </row>
    <row r="76" spans="1:5" x14ac:dyDescent="0.25">
      <c r="A76" s="14">
        <v>42534.854189814818</v>
      </c>
      <c r="B76" t="s">
        <v>113</v>
      </c>
      <c r="C76" t="s">
        <v>370</v>
      </c>
      <c r="D76">
        <v>1760000</v>
      </c>
      <c r="E76" t="s">
        <v>339</v>
      </c>
    </row>
    <row r="77" spans="1:5" x14ac:dyDescent="0.25">
      <c r="A77" s="14">
        <v>42534.429756944446</v>
      </c>
      <c r="B77" t="s">
        <v>287</v>
      </c>
      <c r="C77" t="s">
        <v>406</v>
      </c>
      <c r="D77">
        <v>1290000</v>
      </c>
      <c r="E77" t="s">
        <v>128</v>
      </c>
    </row>
    <row r="78" spans="1:5" x14ac:dyDescent="0.25">
      <c r="A78" s="14">
        <v>42534.86178240741</v>
      </c>
      <c r="B78" t="s">
        <v>113</v>
      </c>
      <c r="C78" t="s">
        <v>338</v>
      </c>
      <c r="D78">
        <v>1760000</v>
      </c>
      <c r="E78" t="s">
        <v>339</v>
      </c>
    </row>
    <row r="79" spans="1:5" x14ac:dyDescent="0.25">
      <c r="A79" s="14">
        <v>42534.393819444442</v>
      </c>
      <c r="B79" t="s">
        <v>113</v>
      </c>
      <c r="C79" t="s">
        <v>407</v>
      </c>
      <c r="D79">
        <v>1290000</v>
      </c>
      <c r="E79" t="s">
        <v>128</v>
      </c>
    </row>
    <row r="80" spans="1:5" x14ac:dyDescent="0.25">
      <c r="A80" s="14">
        <v>42534.973703703705</v>
      </c>
      <c r="B80" t="s">
        <v>107</v>
      </c>
      <c r="C80" t="s">
        <v>408</v>
      </c>
      <c r="D80">
        <v>1280000</v>
      </c>
      <c r="E80" t="s">
        <v>182</v>
      </c>
    </row>
    <row r="81" spans="1:5" x14ac:dyDescent="0.25">
      <c r="A81" s="14">
        <v>42534.385243055556</v>
      </c>
      <c r="B81" t="s">
        <v>328</v>
      </c>
      <c r="C81" t="s">
        <v>409</v>
      </c>
      <c r="D81">
        <v>1480000</v>
      </c>
      <c r="E81" t="s">
        <v>293</v>
      </c>
    </row>
    <row r="82" spans="1:5" x14ac:dyDescent="0.25">
      <c r="A82" s="14">
        <v>42534.271215277775</v>
      </c>
      <c r="B82" t="s">
        <v>347</v>
      </c>
      <c r="C82" t="s">
        <v>410</v>
      </c>
      <c r="D82">
        <v>1480000</v>
      </c>
      <c r="E82" t="s">
        <v>293</v>
      </c>
    </row>
    <row r="83" spans="1:5" x14ac:dyDescent="0.25">
      <c r="A83" s="14">
        <v>42534.344664351855</v>
      </c>
      <c r="B83" t="s">
        <v>347</v>
      </c>
      <c r="C83" t="s">
        <v>411</v>
      </c>
      <c r="D83">
        <v>1480000</v>
      </c>
      <c r="E83" t="s">
        <v>293</v>
      </c>
    </row>
    <row r="84" spans="1:5" x14ac:dyDescent="0.25">
      <c r="A84" s="14">
        <v>42534.578668981485</v>
      </c>
      <c r="B84" t="s">
        <v>161</v>
      </c>
      <c r="C84" t="s">
        <v>412</v>
      </c>
      <c r="D84">
        <v>1510000</v>
      </c>
      <c r="E84" t="s">
        <v>365</v>
      </c>
    </row>
    <row r="85" spans="1:5" x14ac:dyDescent="0.25">
      <c r="A85" s="14">
        <v>42534.315104166664</v>
      </c>
      <c r="B85" t="s">
        <v>122</v>
      </c>
      <c r="C85" t="s">
        <v>413</v>
      </c>
      <c r="D85">
        <v>1360000</v>
      </c>
      <c r="E85" t="s">
        <v>105</v>
      </c>
    </row>
    <row r="86" spans="1:5" x14ac:dyDescent="0.25">
      <c r="A86" s="14">
        <v>42534.653587962966</v>
      </c>
      <c r="B86" t="s">
        <v>161</v>
      </c>
      <c r="C86" t="s">
        <v>414</v>
      </c>
      <c r="D86">
        <v>1510000</v>
      </c>
      <c r="E86" t="s">
        <v>365</v>
      </c>
    </row>
    <row r="87" spans="1:5" x14ac:dyDescent="0.25">
      <c r="A87" s="14">
        <v>42534.222800925927</v>
      </c>
      <c r="B87" t="s">
        <v>107</v>
      </c>
      <c r="C87" t="s">
        <v>415</v>
      </c>
      <c r="D87">
        <v>1110000</v>
      </c>
      <c r="E87" t="s">
        <v>134</v>
      </c>
    </row>
    <row r="88" spans="1:5" x14ac:dyDescent="0.25">
      <c r="A88" s="14">
        <v>42534.721666666665</v>
      </c>
      <c r="B88" t="s">
        <v>287</v>
      </c>
      <c r="C88" t="s">
        <v>416</v>
      </c>
      <c r="D88">
        <v>1540000</v>
      </c>
      <c r="E88" t="s">
        <v>123</v>
      </c>
    </row>
    <row r="89" spans="1:5" x14ac:dyDescent="0.25">
      <c r="A89" s="14">
        <v>42534.173935185187</v>
      </c>
      <c r="B89" t="s">
        <v>113</v>
      </c>
      <c r="C89" t="s">
        <v>417</v>
      </c>
      <c r="D89">
        <v>1290000</v>
      </c>
      <c r="E89" t="s">
        <v>128</v>
      </c>
    </row>
    <row r="90" spans="1:5" x14ac:dyDescent="0.25">
      <c r="A90" s="14">
        <v>42534.212129629632</v>
      </c>
      <c r="B90" t="s">
        <v>418</v>
      </c>
      <c r="C90" t="s">
        <v>419</v>
      </c>
      <c r="D90">
        <v>1290000</v>
      </c>
      <c r="E90" t="s">
        <v>128</v>
      </c>
    </row>
    <row r="91" spans="1:5" x14ac:dyDescent="0.25">
      <c r="A91" s="14">
        <v>42534.152233796296</v>
      </c>
      <c r="B91" t="s">
        <v>157</v>
      </c>
      <c r="C91" t="s">
        <v>420</v>
      </c>
      <c r="D91">
        <v>1480000</v>
      </c>
      <c r="E91" t="s">
        <v>293</v>
      </c>
    </row>
    <row r="92" spans="1:5" x14ac:dyDescent="0.25">
      <c r="A92" s="14">
        <v>42534.268750000003</v>
      </c>
      <c r="B92" t="s">
        <v>285</v>
      </c>
      <c r="C92" t="s">
        <v>421</v>
      </c>
      <c r="D92">
        <v>1090000</v>
      </c>
      <c r="E92" t="s">
        <v>350</v>
      </c>
    </row>
    <row r="93" spans="1:5" x14ac:dyDescent="0.25">
      <c r="A93" s="14">
        <v>42534.326261574075</v>
      </c>
      <c r="B93" t="s">
        <v>78</v>
      </c>
      <c r="C93" t="s">
        <v>422</v>
      </c>
      <c r="D93">
        <v>1840000</v>
      </c>
      <c r="E93" t="s">
        <v>292</v>
      </c>
    </row>
    <row r="94" spans="1:5" x14ac:dyDescent="0.25">
      <c r="A94" s="14">
        <v>42534.338773148149</v>
      </c>
      <c r="B94" t="s">
        <v>97</v>
      </c>
      <c r="C94" t="s">
        <v>423</v>
      </c>
      <c r="D94">
        <v>1310000</v>
      </c>
      <c r="E94" t="s">
        <v>185</v>
      </c>
    </row>
    <row r="95" spans="1:5" x14ac:dyDescent="0.25">
      <c r="A95" s="14">
        <v>42534.765729166669</v>
      </c>
      <c r="B95" t="s">
        <v>418</v>
      </c>
      <c r="C95" t="s">
        <v>424</v>
      </c>
      <c r="D95">
        <v>780000</v>
      </c>
      <c r="E95" t="s">
        <v>344</v>
      </c>
    </row>
    <row r="96" spans="1:5" x14ac:dyDescent="0.25">
      <c r="A96" s="84">
        <v>42534.381874999999</v>
      </c>
      <c r="B96" t="s">
        <v>157</v>
      </c>
      <c r="C96" t="s">
        <v>425</v>
      </c>
      <c r="D96">
        <v>1310000</v>
      </c>
      <c r="E96" t="s">
        <v>185</v>
      </c>
    </row>
    <row r="97" spans="1:5" x14ac:dyDescent="0.25">
      <c r="A97" s="14">
        <v>42534.369791666664</v>
      </c>
      <c r="B97" t="s">
        <v>107</v>
      </c>
      <c r="C97" t="s">
        <v>426</v>
      </c>
      <c r="D97">
        <v>1110000</v>
      </c>
      <c r="E97" t="s">
        <v>134</v>
      </c>
    </row>
    <row r="98" spans="1:5" x14ac:dyDescent="0.25">
      <c r="A98" s="14">
        <v>42534.401898148149</v>
      </c>
      <c r="B98" t="s">
        <v>78</v>
      </c>
      <c r="C98" t="s">
        <v>427</v>
      </c>
      <c r="D98">
        <v>1840000</v>
      </c>
      <c r="E98" t="s">
        <v>292</v>
      </c>
    </row>
    <row r="99" spans="1:5" x14ac:dyDescent="0.25">
      <c r="A99" s="14">
        <v>42534.675798611112</v>
      </c>
      <c r="B99" t="s">
        <v>328</v>
      </c>
      <c r="C99" t="s">
        <v>428</v>
      </c>
      <c r="D99">
        <v>950000</v>
      </c>
      <c r="E99" t="s">
        <v>296</v>
      </c>
    </row>
    <row r="100" spans="1:5" x14ac:dyDescent="0.25">
      <c r="A100" s="14">
        <v>42534.472824074073</v>
      </c>
      <c r="B100" t="s">
        <v>78</v>
      </c>
      <c r="C100" t="s">
        <v>429</v>
      </c>
      <c r="D100">
        <v>1360000</v>
      </c>
      <c r="E100" t="s">
        <v>105</v>
      </c>
    </row>
    <row r="101" spans="1:5" x14ac:dyDescent="0.25">
      <c r="A101" s="14">
        <v>42534.522534722222</v>
      </c>
      <c r="B101" t="s">
        <v>139</v>
      </c>
      <c r="C101" t="s">
        <v>430</v>
      </c>
      <c r="D101">
        <v>1260000</v>
      </c>
      <c r="E101" t="s">
        <v>294</v>
      </c>
    </row>
    <row r="102" spans="1:5" x14ac:dyDescent="0.25">
      <c r="A102" s="14">
        <v>42534.857592592591</v>
      </c>
      <c r="B102" t="s">
        <v>113</v>
      </c>
      <c r="C102" t="s">
        <v>370</v>
      </c>
      <c r="D102">
        <v>1760000</v>
      </c>
      <c r="E102" t="s">
        <v>339</v>
      </c>
    </row>
    <row r="103" spans="1:5" x14ac:dyDescent="0.25">
      <c r="A103" s="14">
        <v>42534.468032407407</v>
      </c>
      <c r="B103" t="s">
        <v>113</v>
      </c>
      <c r="C103" t="s">
        <v>431</v>
      </c>
      <c r="D103">
        <v>1470000</v>
      </c>
      <c r="E103" t="s">
        <v>114</v>
      </c>
    </row>
    <row r="104" spans="1:5" x14ac:dyDescent="0.25">
      <c r="A104" s="14">
        <v>42534.417071759257</v>
      </c>
      <c r="B104" t="s">
        <v>285</v>
      </c>
      <c r="C104" t="s">
        <v>432</v>
      </c>
      <c r="D104">
        <v>1090000</v>
      </c>
      <c r="E104" t="s">
        <v>350</v>
      </c>
    </row>
    <row r="105" spans="1:5" x14ac:dyDescent="0.25">
      <c r="A105" s="14">
        <v>42534.450474537036</v>
      </c>
      <c r="B105" t="s">
        <v>157</v>
      </c>
      <c r="C105" t="s">
        <v>433</v>
      </c>
      <c r="D105">
        <v>1820000</v>
      </c>
      <c r="E105" t="s">
        <v>138</v>
      </c>
    </row>
    <row r="106" spans="1:5" x14ac:dyDescent="0.25">
      <c r="A106" s="14">
        <v>42534.547546296293</v>
      </c>
      <c r="B106" t="s">
        <v>78</v>
      </c>
      <c r="C106" t="s">
        <v>434</v>
      </c>
      <c r="D106">
        <v>1510000</v>
      </c>
      <c r="E106" t="s">
        <v>365</v>
      </c>
    </row>
    <row r="107" spans="1:5" x14ac:dyDescent="0.25">
      <c r="A107" s="14">
        <v>42534.277650462966</v>
      </c>
      <c r="B107" t="s">
        <v>139</v>
      </c>
      <c r="C107" t="s">
        <v>435</v>
      </c>
      <c r="D107">
        <v>1360000</v>
      </c>
      <c r="E107" t="s">
        <v>105</v>
      </c>
    </row>
    <row r="108" spans="1:5" x14ac:dyDescent="0.25">
      <c r="A108" s="14">
        <v>42534.719421296293</v>
      </c>
      <c r="B108" t="s">
        <v>139</v>
      </c>
      <c r="C108" t="s">
        <v>436</v>
      </c>
      <c r="D108">
        <v>1140000</v>
      </c>
      <c r="E108" t="s">
        <v>124</v>
      </c>
    </row>
    <row r="109" spans="1:5" x14ac:dyDescent="0.25">
      <c r="A109" s="14">
        <v>42534.697546296295</v>
      </c>
      <c r="B109" t="s">
        <v>108</v>
      </c>
      <c r="C109" t="s">
        <v>437</v>
      </c>
      <c r="D109">
        <v>1450000</v>
      </c>
      <c r="E109" t="s">
        <v>358</v>
      </c>
    </row>
    <row r="110" spans="1:5" x14ac:dyDescent="0.25">
      <c r="A110" s="14">
        <v>42534.795694444445</v>
      </c>
      <c r="B110" t="s">
        <v>287</v>
      </c>
      <c r="C110" t="s">
        <v>438</v>
      </c>
      <c r="D110">
        <v>1760000</v>
      </c>
      <c r="E110" t="s">
        <v>339</v>
      </c>
    </row>
    <row r="111" spans="1:5" x14ac:dyDescent="0.25">
      <c r="A111" s="14">
        <v>42534.652361111112</v>
      </c>
      <c r="B111" t="s">
        <v>287</v>
      </c>
      <c r="C111" t="s">
        <v>439</v>
      </c>
      <c r="D111">
        <v>1540000</v>
      </c>
      <c r="E111" t="s">
        <v>123</v>
      </c>
    </row>
    <row r="112" spans="1:5" x14ac:dyDescent="0.25">
      <c r="A112" s="14">
        <v>42534.170960648145</v>
      </c>
      <c r="B112" t="s">
        <v>78</v>
      </c>
      <c r="C112" t="s">
        <v>440</v>
      </c>
      <c r="D112">
        <v>1840000</v>
      </c>
      <c r="E112" t="s">
        <v>292</v>
      </c>
    </row>
    <row r="113" spans="1:5" x14ac:dyDescent="0.25">
      <c r="A113" s="14">
        <v>42534.190601851849</v>
      </c>
      <c r="B113" t="s">
        <v>285</v>
      </c>
      <c r="C113" t="s">
        <v>441</v>
      </c>
      <c r="D113">
        <v>1090000</v>
      </c>
      <c r="E113" t="s">
        <v>350</v>
      </c>
    </row>
    <row r="114" spans="1:5" x14ac:dyDescent="0.25">
      <c r="A114" s="14">
        <v>42534.302557870367</v>
      </c>
      <c r="B114" t="s">
        <v>157</v>
      </c>
      <c r="C114" t="s">
        <v>346</v>
      </c>
      <c r="D114">
        <v>1310000</v>
      </c>
      <c r="E114" t="s">
        <v>185</v>
      </c>
    </row>
    <row r="115" spans="1:5" x14ac:dyDescent="0.25">
      <c r="A115" s="14">
        <v>42534.591944444444</v>
      </c>
      <c r="B115" t="s">
        <v>157</v>
      </c>
      <c r="C115" t="s">
        <v>442</v>
      </c>
      <c r="D115">
        <v>1820000</v>
      </c>
      <c r="E115" t="s">
        <v>138</v>
      </c>
    </row>
    <row r="116" spans="1:5" x14ac:dyDescent="0.25">
      <c r="A116" s="14">
        <v>42534.47929398148</v>
      </c>
      <c r="B116" t="s">
        <v>108</v>
      </c>
      <c r="C116" t="s">
        <v>443</v>
      </c>
      <c r="D116">
        <v>1450000</v>
      </c>
      <c r="E116" t="s">
        <v>358</v>
      </c>
    </row>
    <row r="117" spans="1:5" x14ac:dyDescent="0.25">
      <c r="A117" s="14">
        <v>42534.395196759258</v>
      </c>
      <c r="B117" t="s">
        <v>157</v>
      </c>
      <c r="C117" t="s">
        <v>425</v>
      </c>
      <c r="D117">
        <v>1310000</v>
      </c>
      <c r="E117" t="s">
        <v>185</v>
      </c>
    </row>
    <row r="118" spans="1:5" x14ac:dyDescent="0.25">
      <c r="A118" s="14">
        <v>42534.485925925925</v>
      </c>
      <c r="B118" t="s">
        <v>285</v>
      </c>
      <c r="C118" t="s">
        <v>444</v>
      </c>
      <c r="D118">
        <v>1460000</v>
      </c>
      <c r="E118" t="s">
        <v>194</v>
      </c>
    </row>
    <row r="119" spans="1:5" x14ac:dyDescent="0.25">
      <c r="A119" s="14">
        <v>42534.331087962964</v>
      </c>
      <c r="B119" t="s">
        <v>108</v>
      </c>
      <c r="C119" t="s">
        <v>445</v>
      </c>
      <c r="D119">
        <v>1110000</v>
      </c>
      <c r="E119" t="s">
        <v>134</v>
      </c>
    </row>
    <row r="120" spans="1:5" x14ac:dyDescent="0.25">
      <c r="A120" s="14">
        <v>42534.581354166665</v>
      </c>
      <c r="B120" t="s">
        <v>287</v>
      </c>
      <c r="C120" t="s">
        <v>446</v>
      </c>
      <c r="D120">
        <v>390000</v>
      </c>
      <c r="E120" t="s">
        <v>447</v>
      </c>
    </row>
    <row r="121" spans="1:5" x14ac:dyDescent="0.25">
      <c r="A121" s="14">
        <v>42534.210104166668</v>
      </c>
      <c r="B121" t="s">
        <v>285</v>
      </c>
      <c r="C121" t="s">
        <v>441</v>
      </c>
      <c r="D121">
        <v>1090000</v>
      </c>
      <c r="E121" t="s">
        <v>350</v>
      </c>
    </row>
    <row r="122" spans="1:5" x14ac:dyDescent="0.25">
      <c r="A122" s="14">
        <v>42534.664097222223</v>
      </c>
      <c r="B122" t="s">
        <v>157</v>
      </c>
      <c r="C122" t="s">
        <v>448</v>
      </c>
      <c r="D122">
        <v>1820000</v>
      </c>
      <c r="E122" t="s">
        <v>138</v>
      </c>
    </row>
    <row r="123" spans="1:5" x14ac:dyDescent="0.25">
      <c r="A123" s="14">
        <v>42534.185335648152</v>
      </c>
      <c r="B123" t="s">
        <v>108</v>
      </c>
      <c r="C123" t="s">
        <v>449</v>
      </c>
      <c r="D123">
        <v>1110000</v>
      </c>
      <c r="E123" t="s">
        <v>134</v>
      </c>
    </row>
    <row r="124" spans="1:5" x14ac:dyDescent="0.25">
      <c r="A124" s="14">
        <v>42534.686041666668</v>
      </c>
      <c r="B124" t="s">
        <v>113</v>
      </c>
      <c r="C124" t="s">
        <v>450</v>
      </c>
      <c r="D124">
        <v>1540000</v>
      </c>
      <c r="E124" t="s">
        <v>123</v>
      </c>
    </row>
    <row r="125" spans="1:5" x14ac:dyDescent="0.25">
      <c r="A125" s="14">
        <v>42534.967534722222</v>
      </c>
      <c r="B125" t="s">
        <v>287</v>
      </c>
      <c r="C125" t="s">
        <v>451</v>
      </c>
      <c r="D125">
        <v>1760000</v>
      </c>
      <c r="E125" t="s">
        <v>339</v>
      </c>
    </row>
    <row r="126" spans="1:5" x14ac:dyDescent="0.25">
      <c r="A126" s="14">
        <v>42534.740219907406</v>
      </c>
      <c r="B126" t="s">
        <v>157</v>
      </c>
      <c r="C126" t="s">
        <v>452</v>
      </c>
      <c r="D126">
        <v>1750000</v>
      </c>
      <c r="E126" t="s">
        <v>298</v>
      </c>
    </row>
    <row r="127" spans="1:5" x14ac:dyDescent="0.25">
      <c r="A127" s="14">
        <v>42534.70616898148</v>
      </c>
      <c r="B127" t="s">
        <v>285</v>
      </c>
      <c r="C127" t="s">
        <v>453</v>
      </c>
      <c r="D127">
        <v>1460000</v>
      </c>
      <c r="E127" t="s">
        <v>194</v>
      </c>
    </row>
    <row r="128" spans="1:5" x14ac:dyDescent="0.25">
      <c r="A128" s="14">
        <v>42534.525439814817</v>
      </c>
      <c r="B128" t="s">
        <v>281</v>
      </c>
      <c r="C128" t="s">
        <v>454</v>
      </c>
      <c r="D128">
        <v>1460000</v>
      </c>
      <c r="E128" t="s">
        <v>194</v>
      </c>
    </row>
    <row r="129" spans="1:5" x14ac:dyDescent="0.25">
      <c r="A129" s="14">
        <v>42534.623425925929</v>
      </c>
      <c r="B129" t="s">
        <v>108</v>
      </c>
      <c r="C129" t="s">
        <v>455</v>
      </c>
      <c r="D129">
        <v>1450000</v>
      </c>
      <c r="E129" t="s">
        <v>358</v>
      </c>
    </row>
    <row r="130" spans="1:5" x14ac:dyDescent="0.25">
      <c r="A130" s="14">
        <v>42534.634097222224</v>
      </c>
      <c r="B130" t="s">
        <v>285</v>
      </c>
      <c r="C130" t="s">
        <v>456</v>
      </c>
      <c r="D130">
        <v>1460000</v>
      </c>
      <c r="E130" t="s">
        <v>194</v>
      </c>
    </row>
    <row r="131" spans="1:5" x14ac:dyDescent="0.25">
      <c r="A131" s="14">
        <v>42534.533078703702</v>
      </c>
      <c r="B131" t="s">
        <v>328</v>
      </c>
      <c r="C131" t="s">
        <v>457</v>
      </c>
      <c r="D131">
        <v>950000</v>
      </c>
      <c r="E131" t="s">
        <v>296</v>
      </c>
    </row>
    <row r="132" spans="1:5" x14ac:dyDescent="0.25">
      <c r="A132" s="14">
        <v>42534.747372685182</v>
      </c>
      <c r="B132" t="s">
        <v>328</v>
      </c>
      <c r="C132" t="s">
        <v>458</v>
      </c>
      <c r="D132">
        <v>950000</v>
      </c>
      <c r="E132" t="s">
        <v>296</v>
      </c>
    </row>
    <row r="133" spans="1:5" x14ac:dyDescent="0.25">
      <c r="A133" s="14">
        <v>42534.512592592589</v>
      </c>
      <c r="B133" t="s">
        <v>107</v>
      </c>
      <c r="C133" t="s">
        <v>459</v>
      </c>
      <c r="D133">
        <v>1450000</v>
      </c>
      <c r="E133" t="s">
        <v>358</v>
      </c>
    </row>
    <row r="134" spans="1:5" x14ac:dyDescent="0.25">
      <c r="A134" s="14">
        <v>42534.775879629633</v>
      </c>
      <c r="B134" t="s">
        <v>97</v>
      </c>
      <c r="C134" t="s">
        <v>460</v>
      </c>
      <c r="D134">
        <v>1750000</v>
      </c>
      <c r="E134" t="s">
        <v>298</v>
      </c>
    </row>
    <row r="135" spans="1:5" x14ac:dyDescent="0.25">
      <c r="A135" s="14">
        <v>42534.258819444447</v>
      </c>
      <c r="B135" t="s">
        <v>108</v>
      </c>
      <c r="C135" t="s">
        <v>461</v>
      </c>
      <c r="D135">
        <v>1110000</v>
      </c>
      <c r="E135" t="s">
        <v>134</v>
      </c>
    </row>
    <row r="136" spans="1:5" x14ac:dyDescent="0.25">
      <c r="A136" s="14">
        <v>42534.876608796294</v>
      </c>
      <c r="B136" t="s">
        <v>118</v>
      </c>
      <c r="C136" t="s">
        <v>462</v>
      </c>
      <c r="D136">
        <v>1800000</v>
      </c>
      <c r="E136" t="s">
        <v>334</v>
      </c>
    </row>
    <row r="137" spans="1:5" x14ac:dyDescent="0.25">
      <c r="A137" s="14">
        <v>42534.127256944441</v>
      </c>
      <c r="B137" t="s">
        <v>139</v>
      </c>
      <c r="C137" t="s">
        <v>463</v>
      </c>
      <c r="D137">
        <v>1840000</v>
      </c>
      <c r="E137" t="s">
        <v>292</v>
      </c>
    </row>
    <row r="138" spans="1:5" x14ac:dyDescent="0.25">
      <c r="A138" s="14">
        <v>42534.889363425929</v>
      </c>
      <c r="B138" t="s">
        <v>157</v>
      </c>
      <c r="C138" t="s">
        <v>464</v>
      </c>
      <c r="D138">
        <v>1750000</v>
      </c>
      <c r="E138" t="s">
        <v>298</v>
      </c>
    </row>
    <row r="139" spans="1:5" x14ac:dyDescent="0.25">
      <c r="A139" s="14">
        <v>42534.951018518521</v>
      </c>
      <c r="B139" t="s">
        <v>287</v>
      </c>
      <c r="C139" t="s">
        <v>451</v>
      </c>
      <c r="D139">
        <v>1760000</v>
      </c>
      <c r="E139" t="s">
        <v>339</v>
      </c>
    </row>
    <row r="140" spans="1:5" x14ac:dyDescent="0.25">
      <c r="A140" s="14">
        <v>42534.191828703704</v>
      </c>
      <c r="B140" t="s">
        <v>347</v>
      </c>
      <c r="C140" t="s">
        <v>465</v>
      </c>
      <c r="D140">
        <v>1480000</v>
      </c>
      <c r="E140" t="s">
        <v>293</v>
      </c>
    </row>
    <row r="141" spans="1:5" x14ac:dyDescent="0.25">
      <c r="A141" s="14">
        <v>42534.786851851852</v>
      </c>
      <c r="B141" s="83" t="s">
        <v>347</v>
      </c>
      <c r="C141" t="s">
        <v>466</v>
      </c>
      <c r="D141">
        <v>950000</v>
      </c>
      <c r="E141" t="s">
        <v>296</v>
      </c>
    </row>
    <row r="142" spans="1:5" x14ac:dyDescent="0.25">
      <c r="A142" s="14">
        <v>42534.209548611114</v>
      </c>
      <c r="B142" t="s">
        <v>139</v>
      </c>
      <c r="C142" t="s">
        <v>467</v>
      </c>
      <c r="D142">
        <v>1360000</v>
      </c>
      <c r="E142" t="s">
        <v>105</v>
      </c>
    </row>
    <row r="143" spans="1:5" x14ac:dyDescent="0.25">
      <c r="A143" s="14">
        <v>42534.769212962965</v>
      </c>
      <c r="B143" t="s">
        <v>108</v>
      </c>
      <c r="C143" t="s">
        <v>468</v>
      </c>
      <c r="D143">
        <v>1280000</v>
      </c>
      <c r="E143" t="s">
        <v>182</v>
      </c>
    </row>
    <row r="144" spans="1:5" x14ac:dyDescent="0.25">
      <c r="A144" s="14">
        <v>42534.343900462962</v>
      </c>
      <c r="B144" t="s">
        <v>285</v>
      </c>
      <c r="C144" t="s">
        <v>469</v>
      </c>
      <c r="D144">
        <v>1090000</v>
      </c>
      <c r="E144" t="s">
        <v>350</v>
      </c>
    </row>
    <row r="145" spans="1:5" x14ac:dyDescent="0.25">
      <c r="A145" s="14">
        <v>42534.484189814815</v>
      </c>
      <c r="B145" t="s">
        <v>97</v>
      </c>
      <c r="C145" t="s">
        <v>470</v>
      </c>
      <c r="D145">
        <v>1820000</v>
      </c>
      <c r="E145" t="s">
        <v>138</v>
      </c>
    </row>
    <row r="146" spans="1:5" x14ac:dyDescent="0.25">
      <c r="A146" s="14">
        <v>42534.360162037039</v>
      </c>
      <c r="B146" t="s">
        <v>287</v>
      </c>
      <c r="C146" t="s">
        <v>471</v>
      </c>
      <c r="D146">
        <v>1290000</v>
      </c>
      <c r="E146" t="s">
        <v>128</v>
      </c>
    </row>
    <row r="147" spans="1:5" x14ac:dyDescent="0.25">
      <c r="A147" s="14">
        <v>42534.461597222224</v>
      </c>
      <c r="B147" t="s">
        <v>328</v>
      </c>
      <c r="C147" t="s">
        <v>472</v>
      </c>
      <c r="D147">
        <v>1310000</v>
      </c>
      <c r="E147" t="s">
        <v>185</v>
      </c>
    </row>
    <row r="148" spans="1:5" x14ac:dyDescent="0.25">
      <c r="A148" s="14">
        <v>42534.374178240738</v>
      </c>
      <c r="B148" t="s">
        <v>157</v>
      </c>
      <c r="C148" t="s">
        <v>425</v>
      </c>
      <c r="D148">
        <v>1310000</v>
      </c>
      <c r="E148" t="s">
        <v>185</v>
      </c>
    </row>
    <row r="149" spans="1:5" x14ac:dyDescent="0.25">
      <c r="A149" s="14">
        <v>42534.900775462964</v>
      </c>
      <c r="B149" t="s">
        <v>107</v>
      </c>
      <c r="C149" t="s">
        <v>473</v>
      </c>
      <c r="D149">
        <v>1280000</v>
      </c>
      <c r="E149" t="s">
        <v>182</v>
      </c>
    </row>
    <row r="150" spans="1:5" x14ac:dyDescent="0.25">
      <c r="A150" s="14">
        <v>42534.557326388887</v>
      </c>
      <c r="B150" t="s">
        <v>97</v>
      </c>
      <c r="C150" t="s">
        <v>474</v>
      </c>
      <c r="D150">
        <v>1820000</v>
      </c>
      <c r="E150" t="s">
        <v>138</v>
      </c>
    </row>
    <row r="151" spans="1:5" x14ac:dyDescent="0.25">
      <c r="A151" s="14">
        <v>42534.84574074074</v>
      </c>
      <c r="B151" t="s">
        <v>120</v>
      </c>
      <c r="C151" t="s">
        <v>332</v>
      </c>
      <c r="D151">
        <v>1140000</v>
      </c>
      <c r="E151" t="s">
        <v>124</v>
      </c>
    </row>
    <row r="152" spans="1:5" x14ac:dyDescent="0.25">
      <c r="A152" s="14">
        <v>42534.668981481482</v>
      </c>
      <c r="B152" t="s">
        <v>281</v>
      </c>
      <c r="C152" t="s">
        <v>475</v>
      </c>
      <c r="D152">
        <v>1460000</v>
      </c>
      <c r="E152" t="s">
        <v>194</v>
      </c>
    </row>
    <row r="153" spans="1:5" x14ac:dyDescent="0.25">
      <c r="A153" s="14">
        <v>42534.725243055553</v>
      </c>
      <c r="B153" t="s">
        <v>342</v>
      </c>
      <c r="C153" t="s">
        <v>343</v>
      </c>
      <c r="D153">
        <v>780000</v>
      </c>
      <c r="E153" t="s">
        <v>344</v>
      </c>
    </row>
    <row r="154" spans="1:5" x14ac:dyDescent="0.25">
      <c r="A154" s="14">
        <v>42534.919918981483</v>
      </c>
      <c r="B154" t="s">
        <v>97</v>
      </c>
      <c r="C154" t="s">
        <v>476</v>
      </c>
      <c r="D154">
        <v>1750000</v>
      </c>
      <c r="E154" t="s">
        <v>298</v>
      </c>
    </row>
    <row r="155" spans="1:5" x14ac:dyDescent="0.25">
      <c r="A155" s="14">
        <v>42534.495300925926</v>
      </c>
      <c r="B155" t="s">
        <v>139</v>
      </c>
      <c r="C155" t="s">
        <v>430</v>
      </c>
      <c r="D155">
        <v>1260000</v>
      </c>
      <c r="E155" t="s">
        <v>294</v>
      </c>
    </row>
    <row r="156" spans="1:5" x14ac:dyDescent="0.25">
      <c r="A156" s="14">
        <v>42535.037118055552</v>
      </c>
      <c r="B156" t="s">
        <v>287</v>
      </c>
      <c r="C156" t="s">
        <v>477</v>
      </c>
      <c r="D156">
        <v>1760000</v>
      </c>
      <c r="E156" t="s">
        <v>339</v>
      </c>
    </row>
    <row r="157" spans="1:5" x14ac:dyDescent="0.25">
      <c r="A157" s="14">
        <v>42534.661157407405</v>
      </c>
      <c r="B157" t="s">
        <v>107</v>
      </c>
      <c r="C157" t="s">
        <v>478</v>
      </c>
      <c r="D157">
        <v>1450000</v>
      </c>
      <c r="E157" t="s">
        <v>358</v>
      </c>
    </row>
    <row r="159" spans="1:5" x14ac:dyDescent="0.25">
      <c r="A159" s="14">
        <v>42533.659363425926</v>
      </c>
      <c r="B159" t="s">
        <v>107</v>
      </c>
      <c r="C159" t="s">
        <v>289</v>
      </c>
      <c r="D159">
        <v>1470000</v>
      </c>
      <c r="E159" t="s">
        <v>114</v>
      </c>
    </row>
    <row r="160" spans="1:5" x14ac:dyDescent="0.25">
      <c r="A160" s="14">
        <v>42533.294710648152</v>
      </c>
      <c r="B160" t="s">
        <v>120</v>
      </c>
      <c r="C160" t="s">
        <v>283</v>
      </c>
      <c r="D160">
        <v>1360000</v>
      </c>
      <c r="E160" t="s">
        <v>105</v>
      </c>
    </row>
    <row r="161" spans="1:5" x14ac:dyDescent="0.25">
      <c r="A161" s="14">
        <v>42533.721724537034</v>
      </c>
      <c r="B161" t="s">
        <v>145</v>
      </c>
      <c r="C161" t="s">
        <v>291</v>
      </c>
      <c r="D161">
        <v>950000</v>
      </c>
      <c r="E161" t="s">
        <v>296</v>
      </c>
    </row>
    <row r="162" spans="1:5" x14ac:dyDescent="0.25">
      <c r="A162" s="14">
        <v>42533.279641203706</v>
      </c>
      <c r="B162" t="s">
        <v>157</v>
      </c>
      <c r="C162" t="s">
        <v>301</v>
      </c>
      <c r="D162">
        <v>1100000</v>
      </c>
      <c r="E162" t="s">
        <v>101</v>
      </c>
    </row>
    <row r="163" spans="1:5" x14ac:dyDescent="0.25">
      <c r="A163" s="14">
        <v>42533.816921296297</v>
      </c>
      <c r="B163" t="s">
        <v>286</v>
      </c>
      <c r="C163" t="s">
        <v>302</v>
      </c>
      <c r="D163">
        <v>1140000</v>
      </c>
      <c r="E163" t="s">
        <v>124</v>
      </c>
    </row>
    <row r="164" spans="1:5" x14ac:dyDescent="0.25">
      <c r="A164" s="14">
        <v>42533.270208333335</v>
      </c>
      <c r="B164" t="s">
        <v>286</v>
      </c>
      <c r="C164" t="s">
        <v>303</v>
      </c>
      <c r="D164">
        <v>1310000</v>
      </c>
      <c r="E164" t="s">
        <v>185</v>
      </c>
    </row>
    <row r="165" spans="1:5" x14ac:dyDescent="0.25">
      <c r="A165" s="14">
        <v>42533.252615740741</v>
      </c>
      <c r="B165" t="s">
        <v>281</v>
      </c>
      <c r="C165" t="s">
        <v>282</v>
      </c>
      <c r="D165">
        <v>1840000</v>
      </c>
      <c r="E165" t="s">
        <v>292</v>
      </c>
    </row>
    <row r="166" spans="1:5" x14ac:dyDescent="0.25">
      <c r="A166" s="14">
        <v>42533.249456018515</v>
      </c>
      <c r="B166" t="s">
        <v>139</v>
      </c>
      <c r="C166" t="s">
        <v>280</v>
      </c>
      <c r="D166">
        <v>1830000</v>
      </c>
      <c r="E166" t="s">
        <v>297</v>
      </c>
    </row>
    <row r="167" spans="1:5" x14ac:dyDescent="0.25">
      <c r="A167" s="14">
        <v>42533.272789351853</v>
      </c>
      <c r="B167" t="s">
        <v>145</v>
      </c>
      <c r="C167" t="s">
        <v>299</v>
      </c>
      <c r="D167">
        <v>1480000</v>
      </c>
      <c r="E167" t="s">
        <v>293</v>
      </c>
    </row>
    <row r="168" spans="1:5" x14ac:dyDescent="0.25">
      <c r="A168" s="14">
        <v>42533.223032407404</v>
      </c>
      <c r="B168" t="s">
        <v>120</v>
      </c>
      <c r="C168" t="s">
        <v>304</v>
      </c>
      <c r="D168">
        <v>1360000</v>
      </c>
      <c r="E168" t="s">
        <v>105</v>
      </c>
    </row>
    <row r="169" spans="1:5" x14ac:dyDescent="0.25">
      <c r="A169" s="14">
        <v>42533.616377314815</v>
      </c>
      <c r="B169" t="s">
        <v>284</v>
      </c>
      <c r="C169" t="s">
        <v>288</v>
      </c>
      <c r="D169">
        <v>1120000</v>
      </c>
      <c r="E169" t="s">
        <v>295</v>
      </c>
    </row>
    <row r="170" spans="1:5" x14ac:dyDescent="0.25">
      <c r="A170" s="14">
        <v>42533.197465277779</v>
      </c>
      <c r="B170" t="s">
        <v>286</v>
      </c>
      <c r="C170" t="s">
        <v>305</v>
      </c>
      <c r="D170">
        <v>1310000</v>
      </c>
      <c r="E170" t="s">
        <v>185</v>
      </c>
    </row>
    <row r="171" spans="1:5" x14ac:dyDescent="0.25">
      <c r="A171" s="14">
        <v>42533.904224537036</v>
      </c>
      <c r="B171" t="s">
        <v>286</v>
      </c>
      <c r="C171" t="s">
        <v>300</v>
      </c>
      <c r="D171">
        <v>1140000</v>
      </c>
      <c r="E171" t="s">
        <v>124</v>
      </c>
    </row>
    <row r="172" spans="1:5" x14ac:dyDescent="0.25">
      <c r="A172" s="14">
        <v>42533.597430555557</v>
      </c>
      <c r="B172" t="s">
        <v>120</v>
      </c>
      <c r="C172" t="s">
        <v>306</v>
      </c>
      <c r="D172">
        <v>1540000</v>
      </c>
      <c r="E172" t="s">
        <v>123</v>
      </c>
    </row>
    <row r="173" spans="1:5" x14ac:dyDescent="0.25">
      <c r="A173" s="14">
        <v>42530.329513888886</v>
      </c>
      <c r="B173" t="s">
        <v>139</v>
      </c>
      <c r="C173" t="s">
        <v>196</v>
      </c>
      <c r="D173">
        <v>1310000</v>
      </c>
      <c r="E173" t="s">
        <v>185</v>
      </c>
    </row>
    <row r="174" spans="1:5" x14ac:dyDescent="0.25">
      <c r="A174" s="14">
        <v>42530.487025462964</v>
      </c>
      <c r="B174" t="s">
        <v>161</v>
      </c>
      <c r="C174" t="s">
        <v>197</v>
      </c>
      <c r="D174">
        <v>1740000</v>
      </c>
      <c r="E174" t="s">
        <v>135</v>
      </c>
    </row>
    <row r="175" spans="1:5" x14ac:dyDescent="0.25">
      <c r="A175" s="14">
        <v>42530.252384259256</v>
      </c>
      <c r="B175" t="s">
        <v>119</v>
      </c>
      <c r="C175" t="s">
        <v>198</v>
      </c>
      <c r="D175">
        <v>1460000</v>
      </c>
      <c r="E175" t="s">
        <v>194</v>
      </c>
    </row>
    <row r="176" spans="1:5" x14ac:dyDescent="0.25">
      <c r="A176" s="14">
        <v>42530.547569444447</v>
      </c>
      <c r="B176" t="s">
        <v>139</v>
      </c>
      <c r="C176" t="s">
        <v>154</v>
      </c>
      <c r="D176">
        <v>890000</v>
      </c>
      <c r="E176" t="s">
        <v>129</v>
      </c>
    </row>
    <row r="177" spans="1:5" x14ac:dyDescent="0.25">
      <c r="A177" s="14">
        <v>42531.013611111113</v>
      </c>
      <c r="B177" t="s">
        <v>120</v>
      </c>
      <c r="C177" t="s">
        <v>199</v>
      </c>
      <c r="D177">
        <v>1810000</v>
      </c>
      <c r="E177" t="s">
        <v>200</v>
      </c>
    </row>
    <row r="178" spans="1:5" x14ac:dyDescent="0.25">
      <c r="A178" s="14">
        <v>42530.684050925927</v>
      </c>
      <c r="B178" t="s">
        <v>165</v>
      </c>
      <c r="C178" t="s">
        <v>166</v>
      </c>
      <c r="D178">
        <v>900000</v>
      </c>
      <c r="E178" t="s">
        <v>180</v>
      </c>
    </row>
    <row r="179" spans="1:5" x14ac:dyDescent="0.25">
      <c r="A179" s="14">
        <v>42530.953333333331</v>
      </c>
      <c r="B179" t="s">
        <v>143</v>
      </c>
      <c r="C179" t="s">
        <v>201</v>
      </c>
      <c r="D179">
        <v>1820000</v>
      </c>
      <c r="E179" t="s">
        <v>138</v>
      </c>
    </row>
    <row r="180" spans="1:5" x14ac:dyDescent="0.25">
      <c r="A180" s="14">
        <v>42530.70349537037</v>
      </c>
      <c r="B180" t="s">
        <v>161</v>
      </c>
      <c r="C180" t="s">
        <v>168</v>
      </c>
      <c r="D180">
        <v>1740000</v>
      </c>
      <c r="E180" t="s">
        <v>135</v>
      </c>
    </row>
    <row r="181" spans="1:5" x14ac:dyDescent="0.25">
      <c r="A181" s="14">
        <v>42530.941724537035</v>
      </c>
      <c r="B181" t="s">
        <v>189</v>
      </c>
      <c r="C181" t="s">
        <v>202</v>
      </c>
      <c r="D181">
        <v>1440000</v>
      </c>
      <c r="E181" t="s">
        <v>190</v>
      </c>
    </row>
    <row r="182" spans="1:5" x14ac:dyDescent="0.25">
      <c r="A182" s="14">
        <v>42530.841643518521</v>
      </c>
      <c r="B182" t="s">
        <v>120</v>
      </c>
      <c r="C182" t="s">
        <v>203</v>
      </c>
      <c r="D182">
        <v>1180000</v>
      </c>
      <c r="E182" t="s">
        <v>140</v>
      </c>
    </row>
    <row r="183" spans="1:5" x14ac:dyDescent="0.25">
      <c r="A183" s="14">
        <v>42530.72797453704</v>
      </c>
      <c r="B183" t="s">
        <v>157</v>
      </c>
      <c r="C183" t="s">
        <v>204</v>
      </c>
      <c r="D183">
        <v>1140000</v>
      </c>
      <c r="E183" t="s">
        <v>124</v>
      </c>
    </row>
    <row r="184" spans="1:5" x14ac:dyDescent="0.25">
      <c r="A184" s="14">
        <v>42530.380046296297</v>
      </c>
      <c r="B184" t="s">
        <v>78</v>
      </c>
      <c r="C184" t="s">
        <v>205</v>
      </c>
      <c r="D184">
        <v>1340000</v>
      </c>
      <c r="E184" t="s">
        <v>136</v>
      </c>
    </row>
    <row r="185" spans="1:5" x14ac:dyDescent="0.25">
      <c r="A185" s="14">
        <v>42530.713703703703</v>
      </c>
      <c r="B185" t="s">
        <v>186</v>
      </c>
      <c r="C185" t="s">
        <v>170</v>
      </c>
      <c r="D185">
        <v>1500000</v>
      </c>
      <c r="E185" t="s">
        <v>187</v>
      </c>
    </row>
    <row r="186" spans="1:5" x14ac:dyDescent="0.25">
      <c r="A186" s="14">
        <v>42530.386643518519</v>
      </c>
      <c r="B186" t="s">
        <v>108</v>
      </c>
      <c r="C186" t="s">
        <v>206</v>
      </c>
      <c r="D186">
        <v>1100000</v>
      </c>
      <c r="E186" t="s">
        <v>101</v>
      </c>
    </row>
    <row r="187" spans="1:5" x14ac:dyDescent="0.25">
      <c r="A187" s="14">
        <v>42530.521574074075</v>
      </c>
      <c r="B187" t="s">
        <v>118</v>
      </c>
      <c r="C187" t="s">
        <v>152</v>
      </c>
      <c r="D187">
        <v>880000</v>
      </c>
      <c r="E187" t="s">
        <v>137</v>
      </c>
    </row>
    <row r="188" spans="1:5" x14ac:dyDescent="0.25">
      <c r="A188" s="14">
        <v>42530.399560185186</v>
      </c>
      <c r="B188" t="s">
        <v>145</v>
      </c>
      <c r="C188" t="s">
        <v>188</v>
      </c>
      <c r="D188">
        <v>1360000</v>
      </c>
      <c r="E188" t="s">
        <v>105</v>
      </c>
    </row>
    <row r="189" spans="1:5" x14ac:dyDescent="0.25">
      <c r="A189" s="14">
        <v>42530.476574074077</v>
      </c>
      <c r="B189" t="s">
        <v>139</v>
      </c>
      <c r="C189" t="s">
        <v>150</v>
      </c>
      <c r="D189">
        <v>890000</v>
      </c>
      <c r="E189" t="s">
        <v>129</v>
      </c>
    </row>
    <row r="190" spans="1:5" x14ac:dyDescent="0.25">
      <c r="A190" s="14">
        <v>42530.412442129629</v>
      </c>
      <c r="B190" t="s">
        <v>120</v>
      </c>
      <c r="C190" t="s">
        <v>184</v>
      </c>
      <c r="D190">
        <v>1230000</v>
      </c>
      <c r="E190" t="s">
        <v>178</v>
      </c>
    </row>
    <row r="191" spans="1:5" x14ac:dyDescent="0.25">
      <c r="A191" s="14">
        <v>42530.277592592596</v>
      </c>
      <c r="B191" t="s">
        <v>189</v>
      </c>
      <c r="C191" t="s">
        <v>207</v>
      </c>
      <c r="D191">
        <v>1360000</v>
      </c>
      <c r="E191" t="s">
        <v>105</v>
      </c>
    </row>
    <row r="192" spans="1:5" x14ac:dyDescent="0.25">
      <c r="A192" s="14">
        <v>42530.734826388885</v>
      </c>
      <c r="B192" t="s">
        <v>122</v>
      </c>
      <c r="C192" t="s">
        <v>171</v>
      </c>
      <c r="D192">
        <v>890000</v>
      </c>
      <c r="E192" t="s">
        <v>129</v>
      </c>
    </row>
    <row r="193" spans="1:5" x14ac:dyDescent="0.25">
      <c r="A193" s="14">
        <v>42530.206678240742</v>
      </c>
      <c r="B193" t="s">
        <v>108</v>
      </c>
      <c r="C193" t="s">
        <v>208</v>
      </c>
      <c r="D193">
        <v>1100000</v>
      </c>
      <c r="E193" t="s">
        <v>101</v>
      </c>
    </row>
    <row r="194" spans="1:5" x14ac:dyDescent="0.25">
      <c r="A194" s="14">
        <v>42530.739201388889</v>
      </c>
      <c r="B194" t="s">
        <v>118</v>
      </c>
      <c r="C194" t="s">
        <v>209</v>
      </c>
      <c r="D194">
        <v>1180000</v>
      </c>
      <c r="E194" t="s">
        <v>140</v>
      </c>
    </row>
    <row r="195" spans="1:5" x14ac:dyDescent="0.25">
      <c r="A195" s="14">
        <v>42530.493437500001</v>
      </c>
      <c r="B195" t="s">
        <v>107</v>
      </c>
      <c r="C195" t="s">
        <v>210</v>
      </c>
      <c r="D195">
        <v>1460000</v>
      </c>
      <c r="E195" t="s">
        <v>194</v>
      </c>
    </row>
    <row r="196" spans="1:5" x14ac:dyDescent="0.25">
      <c r="A196" s="14">
        <v>42530.830428240741</v>
      </c>
      <c r="B196" t="s">
        <v>148</v>
      </c>
      <c r="C196" t="s">
        <v>211</v>
      </c>
      <c r="D196">
        <v>1820000</v>
      </c>
      <c r="E196" t="s">
        <v>138</v>
      </c>
    </row>
    <row r="197" spans="1:5" x14ac:dyDescent="0.25">
      <c r="A197" s="14">
        <v>42530.469814814816</v>
      </c>
      <c r="B197" t="s">
        <v>148</v>
      </c>
      <c r="C197" t="s">
        <v>212</v>
      </c>
      <c r="D197">
        <v>1110000</v>
      </c>
      <c r="E197" t="s">
        <v>134</v>
      </c>
    </row>
    <row r="198" spans="1:5" x14ac:dyDescent="0.25">
      <c r="A198" s="14">
        <v>42530.623888888891</v>
      </c>
      <c r="B198" t="s">
        <v>139</v>
      </c>
      <c r="C198" t="s">
        <v>213</v>
      </c>
      <c r="D198">
        <v>890000</v>
      </c>
      <c r="E198" t="s">
        <v>129</v>
      </c>
    </row>
    <row r="199" spans="1:5" x14ac:dyDescent="0.25">
      <c r="A199" s="14">
        <v>42530.389537037037</v>
      </c>
      <c r="B199" t="s">
        <v>121</v>
      </c>
      <c r="C199" t="s">
        <v>214</v>
      </c>
      <c r="D199">
        <v>1460000</v>
      </c>
      <c r="E199" t="s">
        <v>194</v>
      </c>
    </row>
    <row r="200" spans="1:5" x14ac:dyDescent="0.25">
      <c r="A200" s="14">
        <v>42530.710578703707</v>
      </c>
      <c r="B200" t="s">
        <v>189</v>
      </c>
      <c r="C200" t="s">
        <v>215</v>
      </c>
      <c r="D200">
        <v>1440000</v>
      </c>
      <c r="E200" t="s">
        <v>190</v>
      </c>
    </row>
    <row r="201" spans="1:5" x14ac:dyDescent="0.25">
      <c r="A201" s="14">
        <v>42530.348506944443</v>
      </c>
      <c r="B201" t="s">
        <v>107</v>
      </c>
      <c r="C201" t="s">
        <v>216</v>
      </c>
      <c r="D201">
        <v>1100000</v>
      </c>
      <c r="E201" t="s">
        <v>101</v>
      </c>
    </row>
    <row r="202" spans="1:5" x14ac:dyDescent="0.25">
      <c r="A202" s="14">
        <v>42530.849803240744</v>
      </c>
      <c r="B202" t="s">
        <v>139</v>
      </c>
      <c r="C202" t="s">
        <v>217</v>
      </c>
      <c r="D202">
        <v>1240000</v>
      </c>
      <c r="E202" t="s">
        <v>95</v>
      </c>
    </row>
    <row r="203" spans="1:5" x14ac:dyDescent="0.25">
      <c r="A203" s="14">
        <v>42531.015648148146</v>
      </c>
      <c r="B203" t="s">
        <v>139</v>
      </c>
      <c r="C203" t="s">
        <v>218</v>
      </c>
      <c r="D203">
        <v>1240000</v>
      </c>
      <c r="E203" t="s">
        <v>95</v>
      </c>
    </row>
    <row r="204" spans="1:5" x14ac:dyDescent="0.25">
      <c r="A204" s="14">
        <v>42530.913182870368</v>
      </c>
      <c r="B204" t="s">
        <v>148</v>
      </c>
      <c r="C204" t="s">
        <v>219</v>
      </c>
      <c r="D204">
        <v>1820000</v>
      </c>
      <c r="E204" t="s">
        <v>138</v>
      </c>
    </row>
    <row r="205" spans="1:5" x14ac:dyDescent="0.25">
      <c r="A205" s="14">
        <v>42530.998136574075</v>
      </c>
      <c r="B205" t="s">
        <v>148</v>
      </c>
      <c r="C205" t="s">
        <v>177</v>
      </c>
      <c r="D205">
        <v>1820000</v>
      </c>
      <c r="E205" t="s">
        <v>138</v>
      </c>
    </row>
    <row r="206" spans="1:5" x14ac:dyDescent="0.25">
      <c r="A206" s="14">
        <v>42530.195729166669</v>
      </c>
      <c r="B206" t="s">
        <v>118</v>
      </c>
      <c r="C206" t="s">
        <v>220</v>
      </c>
      <c r="D206">
        <v>1230000</v>
      </c>
      <c r="E206" t="s">
        <v>178</v>
      </c>
    </row>
    <row r="207" spans="1:5" x14ac:dyDescent="0.25">
      <c r="A207" s="14">
        <v>42530.989629629628</v>
      </c>
      <c r="B207" t="s">
        <v>145</v>
      </c>
      <c r="C207" t="s">
        <v>221</v>
      </c>
      <c r="D207">
        <v>1440000</v>
      </c>
      <c r="E207" t="s">
        <v>190</v>
      </c>
    </row>
    <row r="208" spans="1:5" x14ac:dyDescent="0.25">
      <c r="A208" s="14">
        <v>42530.227071759262</v>
      </c>
      <c r="B208" t="s">
        <v>139</v>
      </c>
      <c r="C208" t="s">
        <v>142</v>
      </c>
      <c r="D208">
        <v>1310000</v>
      </c>
      <c r="E208" t="s">
        <v>185</v>
      </c>
    </row>
    <row r="209" spans="1:5" x14ac:dyDescent="0.25">
      <c r="A209" s="14">
        <v>42530.97457175926</v>
      </c>
      <c r="B209" t="s">
        <v>122</v>
      </c>
      <c r="C209" t="s">
        <v>222</v>
      </c>
      <c r="D209">
        <v>1240000</v>
      </c>
      <c r="E209" t="s">
        <v>95</v>
      </c>
    </row>
    <row r="210" spans="1:5" x14ac:dyDescent="0.25">
      <c r="A210" s="14">
        <v>42530.346921296295</v>
      </c>
      <c r="B210" t="s">
        <v>119</v>
      </c>
      <c r="C210" t="s">
        <v>223</v>
      </c>
      <c r="D210">
        <v>1460000</v>
      </c>
      <c r="E210" t="s">
        <v>194</v>
      </c>
    </row>
    <row r="211" spans="1:5" x14ac:dyDescent="0.25">
      <c r="A211" s="14">
        <v>42530.746111111112</v>
      </c>
      <c r="B211" t="s">
        <v>169</v>
      </c>
      <c r="C211" t="s">
        <v>170</v>
      </c>
      <c r="D211">
        <v>1500000</v>
      </c>
      <c r="E211" t="s">
        <v>187</v>
      </c>
    </row>
    <row r="212" spans="1:5" x14ac:dyDescent="0.25">
      <c r="A212" s="14">
        <v>42530.497777777775</v>
      </c>
      <c r="B212" t="s">
        <v>119</v>
      </c>
      <c r="C212" t="s">
        <v>224</v>
      </c>
      <c r="D212">
        <v>900000</v>
      </c>
      <c r="E212" t="s">
        <v>180</v>
      </c>
    </row>
    <row r="213" spans="1:5" x14ac:dyDescent="0.25">
      <c r="A213" s="14">
        <v>42530.684884259259</v>
      </c>
      <c r="B213" t="s">
        <v>148</v>
      </c>
      <c r="C213" t="s">
        <v>225</v>
      </c>
      <c r="D213">
        <v>1110000</v>
      </c>
      <c r="E213" t="s">
        <v>134</v>
      </c>
    </row>
    <row r="214" spans="1:5" x14ac:dyDescent="0.25">
      <c r="A214" s="14">
        <v>42530.557395833333</v>
      </c>
      <c r="B214" t="s">
        <v>120</v>
      </c>
      <c r="C214" t="s">
        <v>156</v>
      </c>
      <c r="D214">
        <v>880000</v>
      </c>
      <c r="E214" t="s">
        <v>137</v>
      </c>
    </row>
    <row r="215" spans="1:5" x14ac:dyDescent="0.25">
      <c r="A215" s="14">
        <v>42530.234803240739</v>
      </c>
      <c r="B215" t="s">
        <v>120</v>
      </c>
      <c r="C215" t="s">
        <v>141</v>
      </c>
      <c r="D215">
        <v>1230000</v>
      </c>
      <c r="E215" t="s">
        <v>178</v>
      </c>
    </row>
    <row r="216" spans="1:5" x14ac:dyDescent="0.25">
      <c r="A216" s="14">
        <v>42530.738206018519</v>
      </c>
      <c r="B216" t="s">
        <v>118</v>
      </c>
      <c r="C216" t="s">
        <v>209</v>
      </c>
      <c r="D216">
        <v>1180000</v>
      </c>
      <c r="E216" t="s">
        <v>140</v>
      </c>
    </row>
    <row r="217" spans="1:5" x14ac:dyDescent="0.25">
      <c r="A217" s="14">
        <v>42531.057199074072</v>
      </c>
      <c r="B217" t="s">
        <v>122</v>
      </c>
      <c r="C217" t="s">
        <v>226</v>
      </c>
      <c r="D217">
        <v>1240000</v>
      </c>
      <c r="E217" t="s">
        <v>95</v>
      </c>
    </row>
    <row r="218" spans="1:5" x14ac:dyDescent="0.25">
      <c r="A218" s="14">
        <v>42530.277256944442</v>
      </c>
      <c r="B218" t="s">
        <v>107</v>
      </c>
      <c r="C218" t="s">
        <v>227</v>
      </c>
      <c r="D218">
        <v>1100000</v>
      </c>
      <c r="E218" t="s">
        <v>101</v>
      </c>
    </row>
    <row r="219" spans="1:5" x14ac:dyDescent="0.25">
      <c r="A219" s="14">
        <v>42530.713194444441</v>
      </c>
      <c r="B219" t="s">
        <v>107</v>
      </c>
      <c r="C219" t="s">
        <v>167</v>
      </c>
      <c r="D219">
        <v>1280000</v>
      </c>
      <c r="E219" t="s">
        <v>182</v>
      </c>
    </row>
    <row r="220" spans="1:5" x14ac:dyDescent="0.25">
      <c r="A220" s="14">
        <v>42530.296574074076</v>
      </c>
      <c r="B220" t="s">
        <v>121</v>
      </c>
      <c r="C220" t="s">
        <v>193</v>
      </c>
      <c r="D220">
        <v>1460000</v>
      </c>
      <c r="E220" t="s">
        <v>194</v>
      </c>
    </row>
    <row r="221" spans="1:5" x14ac:dyDescent="0.25">
      <c r="A221" s="14">
        <v>42530.96502314815</v>
      </c>
      <c r="B221" t="s">
        <v>118</v>
      </c>
      <c r="C221" t="s">
        <v>176</v>
      </c>
      <c r="D221">
        <v>1810000</v>
      </c>
      <c r="E221" t="s">
        <v>200</v>
      </c>
    </row>
    <row r="222" spans="1:5" x14ac:dyDescent="0.25">
      <c r="A222" s="14">
        <v>42530.308240740742</v>
      </c>
      <c r="B222" t="s">
        <v>108</v>
      </c>
      <c r="C222" t="s">
        <v>228</v>
      </c>
      <c r="D222">
        <v>1100000</v>
      </c>
      <c r="E222" t="s">
        <v>101</v>
      </c>
    </row>
    <row r="223" spans="1:5" x14ac:dyDescent="0.25">
      <c r="A223" s="14">
        <v>42530.42224537037</v>
      </c>
      <c r="B223" t="s">
        <v>161</v>
      </c>
      <c r="C223" t="s">
        <v>183</v>
      </c>
      <c r="D223">
        <v>1340000</v>
      </c>
      <c r="E223" t="s">
        <v>136</v>
      </c>
    </row>
    <row r="224" spans="1:5" x14ac:dyDescent="0.25">
      <c r="A224" s="14">
        <v>42530.33861111111</v>
      </c>
      <c r="B224" t="s">
        <v>120</v>
      </c>
      <c r="C224" t="s">
        <v>191</v>
      </c>
      <c r="D224">
        <v>1230000</v>
      </c>
      <c r="E224" t="s">
        <v>178</v>
      </c>
    </row>
    <row r="225" spans="1:5" x14ac:dyDescent="0.25">
      <c r="A225" s="14">
        <v>42530.251423611109</v>
      </c>
      <c r="B225" t="s">
        <v>145</v>
      </c>
      <c r="C225" t="s">
        <v>229</v>
      </c>
      <c r="D225">
        <v>1360000</v>
      </c>
      <c r="E225" t="s">
        <v>105</v>
      </c>
    </row>
    <row r="226" spans="1:5" x14ac:dyDescent="0.25">
      <c r="A226" s="14">
        <v>42530.394386574073</v>
      </c>
      <c r="B226" t="s">
        <v>148</v>
      </c>
      <c r="C226" t="s">
        <v>149</v>
      </c>
      <c r="D226">
        <v>1290000</v>
      </c>
      <c r="E226" t="s">
        <v>128</v>
      </c>
    </row>
    <row r="227" spans="1:5" x14ac:dyDescent="0.25">
      <c r="A227" s="14">
        <v>42530.235543981478</v>
      </c>
      <c r="B227" t="s">
        <v>161</v>
      </c>
      <c r="C227" t="s">
        <v>230</v>
      </c>
      <c r="D227">
        <v>1340000</v>
      </c>
      <c r="E227" t="s">
        <v>136</v>
      </c>
    </row>
    <row r="228" spans="1:5" x14ac:dyDescent="0.25">
      <c r="A228" s="14">
        <v>42530.405509259261</v>
      </c>
      <c r="B228" t="s">
        <v>139</v>
      </c>
      <c r="C228" t="s">
        <v>147</v>
      </c>
      <c r="D228">
        <v>1310000</v>
      </c>
      <c r="E228" t="s">
        <v>185</v>
      </c>
    </row>
    <row r="229" spans="1:5" x14ac:dyDescent="0.25">
      <c r="A229" s="14">
        <v>42530.13077546296</v>
      </c>
      <c r="B229" t="s">
        <v>108</v>
      </c>
      <c r="C229" t="s">
        <v>195</v>
      </c>
      <c r="D229">
        <v>1290000</v>
      </c>
      <c r="E229" t="s">
        <v>128</v>
      </c>
    </row>
    <row r="230" spans="1:5" x14ac:dyDescent="0.25">
      <c r="A230" s="14">
        <v>42530.528483796297</v>
      </c>
      <c r="B230" t="s">
        <v>108</v>
      </c>
      <c r="C230" t="s">
        <v>231</v>
      </c>
      <c r="D230">
        <v>1280000</v>
      </c>
      <c r="E230" t="s">
        <v>182</v>
      </c>
    </row>
    <row r="231" spans="1:5" x14ac:dyDescent="0.25">
      <c r="A231" s="14">
        <v>42530.86991898148</v>
      </c>
      <c r="B231" t="s">
        <v>143</v>
      </c>
      <c r="C231" t="s">
        <v>175</v>
      </c>
      <c r="D231">
        <v>1820000</v>
      </c>
      <c r="E231" t="s">
        <v>138</v>
      </c>
    </row>
    <row r="232" spans="1:5" x14ac:dyDescent="0.25">
      <c r="A232" s="14">
        <v>42530.563657407409</v>
      </c>
      <c r="B232" t="s">
        <v>161</v>
      </c>
      <c r="C232" t="s">
        <v>181</v>
      </c>
      <c r="D232">
        <v>1740000</v>
      </c>
      <c r="E232" t="s">
        <v>135</v>
      </c>
    </row>
    <row r="233" spans="1:5" x14ac:dyDescent="0.25">
      <c r="A233" s="14">
        <v>42530.73541666667</v>
      </c>
      <c r="B233" t="s">
        <v>118</v>
      </c>
      <c r="C233" t="s">
        <v>209</v>
      </c>
      <c r="D233">
        <v>1180000</v>
      </c>
      <c r="E233" t="s">
        <v>140</v>
      </c>
    </row>
    <row r="234" spans="1:5" x14ac:dyDescent="0.25">
      <c r="A234" s="14">
        <v>42530.587222222224</v>
      </c>
      <c r="B234" t="s">
        <v>157</v>
      </c>
      <c r="C234" t="s">
        <v>158</v>
      </c>
      <c r="D234">
        <v>1520000</v>
      </c>
      <c r="E234" t="s">
        <v>179</v>
      </c>
    </row>
    <row r="235" spans="1:5" x14ac:dyDescent="0.25">
      <c r="A235" s="14">
        <v>42530.726145833331</v>
      </c>
      <c r="B235" t="s">
        <v>157</v>
      </c>
      <c r="C235" t="s">
        <v>232</v>
      </c>
      <c r="D235">
        <v>1140000</v>
      </c>
      <c r="E235" t="s">
        <v>124</v>
      </c>
    </row>
    <row r="236" spans="1:5" x14ac:dyDescent="0.25">
      <c r="A236" s="14">
        <v>42530.590451388889</v>
      </c>
      <c r="B236" t="s">
        <v>122</v>
      </c>
      <c r="C236" t="s">
        <v>233</v>
      </c>
      <c r="D236">
        <v>890000</v>
      </c>
      <c r="E236" t="s">
        <v>129</v>
      </c>
    </row>
    <row r="237" spans="1:5" x14ac:dyDescent="0.25">
      <c r="A237" s="14">
        <v>42530.543124999997</v>
      </c>
      <c r="B237" t="s">
        <v>97</v>
      </c>
      <c r="C237" t="s">
        <v>155</v>
      </c>
      <c r="D237">
        <v>1520000</v>
      </c>
      <c r="E237" t="s">
        <v>179</v>
      </c>
    </row>
    <row r="238" spans="1:5" x14ac:dyDescent="0.25">
      <c r="A238" s="14">
        <v>42530.673090277778</v>
      </c>
      <c r="B238" t="s">
        <v>108</v>
      </c>
      <c r="C238" t="s">
        <v>234</v>
      </c>
      <c r="D238">
        <v>1280000</v>
      </c>
      <c r="E238" t="s">
        <v>182</v>
      </c>
    </row>
    <row r="239" spans="1:5" x14ac:dyDescent="0.25">
      <c r="A239" s="14">
        <v>42530.902858796297</v>
      </c>
      <c r="B239" t="s">
        <v>145</v>
      </c>
      <c r="C239" t="s">
        <v>235</v>
      </c>
      <c r="D239">
        <v>1440000</v>
      </c>
      <c r="E239" t="s">
        <v>190</v>
      </c>
    </row>
    <row r="240" spans="1:5" x14ac:dyDescent="0.25">
      <c r="A240" s="14">
        <v>42530.361481481479</v>
      </c>
      <c r="B240" t="s">
        <v>189</v>
      </c>
      <c r="C240" t="s">
        <v>236</v>
      </c>
      <c r="D240">
        <v>1360000</v>
      </c>
      <c r="E240" t="s">
        <v>105</v>
      </c>
    </row>
    <row r="241" spans="1:5" x14ac:dyDescent="0.25">
      <c r="A241" s="14">
        <v>42530.78528935185</v>
      </c>
      <c r="B241" t="s">
        <v>107</v>
      </c>
      <c r="C241" t="s">
        <v>192</v>
      </c>
      <c r="D241">
        <v>1280000</v>
      </c>
      <c r="E241" t="s">
        <v>182</v>
      </c>
    </row>
    <row r="242" spans="1:5" x14ac:dyDescent="0.25">
      <c r="A242" s="14">
        <v>42530.369641203702</v>
      </c>
      <c r="B242" t="s">
        <v>122</v>
      </c>
      <c r="C242" t="s">
        <v>237</v>
      </c>
      <c r="D242">
        <v>1310000</v>
      </c>
      <c r="E242" t="s">
        <v>185</v>
      </c>
    </row>
    <row r="243" spans="1:5" x14ac:dyDescent="0.25">
      <c r="A243" s="14">
        <v>42530.988854166666</v>
      </c>
      <c r="B243" t="s">
        <v>145</v>
      </c>
      <c r="C243" t="s">
        <v>221</v>
      </c>
      <c r="D243">
        <v>1440000</v>
      </c>
      <c r="E243" t="s">
        <v>190</v>
      </c>
    </row>
    <row r="244" spans="1:5" x14ac:dyDescent="0.25">
      <c r="A244" s="14">
        <v>42530.425879629627</v>
      </c>
      <c r="B244" t="s">
        <v>119</v>
      </c>
      <c r="C244" t="s">
        <v>238</v>
      </c>
      <c r="D244">
        <v>900000</v>
      </c>
      <c r="E244" t="s">
        <v>180</v>
      </c>
    </row>
    <row r="245" spans="1:5" x14ac:dyDescent="0.25">
      <c r="A245" s="14">
        <v>42530.742951388886</v>
      </c>
      <c r="B245" t="s">
        <v>78</v>
      </c>
      <c r="C245" t="s">
        <v>239</v>
      </c>
      <c r="D245">
        <v>1740000</v>
      </c>
      <c r="E245" t="s">
        <v>135</v>
      </c>
    </row>
    <row r="246" spans="1:5" x14ac:dyDescent="0.25">
      <c r="A246" s="14">
        <v>42530.445231481484</v>
      </c>
      <c r="B246" t="s">
        <v>118</v>
      </c>
      <c r="C246" t="s">
        <v>240</v>
      </c>
      <c r="D246">
        <v>880000</v>
      </c>
      <c r="E246" t="s">
        <v>137</v>
      </c>
    </row>
    <row r="247" spans="1:5" x14ac:dyDescent="0.25">
      <c r="A247" s="14">
        <v>42530.70484953704</v>
      </c>
      <c r="B247" t="s">
        <v>161</v>
      </c>
      <c r="C247" t="s">
        <v>168</v>
      </c>
      <c r="D247">
        <v>1740000</v>
      </c>
      <c r="E247" t="s">
        <v>135</v>
      </c>
    </row>
    <row r="248" spans="1:5" x14ac:dyDescent="0.25">
      <c r="A248" s="14">
        <v>42530.444641203707</v>
      </c>
      <c r="B248" t="s">
        <v>122</v>
      </c>
      <c r="C248" t="s">
        <v>241</v>
      </c>
      <c r="D248">
        <v>1310000</v>
      </c>
      <c r="E248" t="s">
        <v>185</v>
      </c>
    </row>
    <row r="249" spans="1:5" x14ac:dyDescent="0.25">
      <c r="A249" s="14">
        <v>42530.650925925926</v>
      </c>
      <c r="B249" t="s">
        <v>143</v>
      </c>
      <c r="C249" t="s">
        <v>242</v>
      </c>
      <c r="D249">
        <v>1110000</v>
      </c>
      <c r="E249" t="s">
        <v>134</v>
      </c>
    </row>
    <row r="250" spans="1:5" x14ac:dyDescent="0.25">
      <c r="A250" s="14">
        <v>42530.484074074076</v>
      </c>
      <c r="B250" t="s">
        <v>120</v>
      </c>
      <c r="C250" t="s">
        <v>151</v>
      </c>
      <c r="D250">
        <v>880000</v>
      </c>
      <c r="E250" t="s">
        <v>137</v>
      </c>
    </row>
    <row r="251" spans="1:5" x14ac:dyDescent="0.25">
      <c r="A251" s="14">
        <v>42530.642604166664</v>
      </c>
      <c r="B251" t="s">
        <v>163</v>
      </c>
      <c r="C251" t="s">
        <v>164</v>
      </c>
      <c r="D251">
        <v>900000</v>
      </c>
      <c r="E251" t="s">
        <v>180</v>
      </c>
    </row>
    <row r="252" spans="1:5" x14ac:dyDescent="0.25">
      <c r="A252" s="14">
        <v>42530.524733796294</v>
      </c>
      <c r="B252" t="s">
        <v>78</v>
      </c>
      <c r="C252" t="s">
        <v>153</v>
      </c>
      <c r="D252">
        <v>1740000</v>
      </c>
      <c r="E252" t="s">
        <v>135</v>
      </c>
    </row>
    <row r="253" spans="1:5" x14ac:dyDescent="0.25">
      <c r="A253" s="14">
        <v>42530.932245370372</v>
      </c>
      <c r="B253" t="s">
        <v>139</v>
      </c>
      <c r="C253" t="s">
        <v>243</v>
      </c>
      <c r="D253">
        <v>1240000</v>
      </c>
      <c r="E253" t="s">
        <v>95</v>
      </c>
    </row>
    <row r="254" spans="1:5" x14ac:dyDescent="0.25">
      <c r="A254" s="14">
        <v>42530.568333333336</v>
      </c>
      <c r="B254" t="s">
        <v>107</v>
      </c>
      <c r="C254" t="s">
        <v>244</v>
      </c>
      <c r="D254">
        <v>1280000</v>
      </c>
      <c r="E254" t="s">
        <v>182</v>
      </c>
    </row>
    <row r="255" spans="1:5" x14ac:dyDescent="0.25">
      <c r="A255" s="14">
        <v>42530.928368055553</v>
      </c>
      <c r="B255" t="s">
        <v>120</v>
      </c>
      <c r="C255" t="s">
        <v>245</v>
      </c>
      <c r="D255">
        <v>1180000</v>
      </c>
      <c r="E255" t="s">
        <v>140</v>
      </c>
    </row>
    <row r="256" spans="1:5" x14ac:dyDescent="0.25">
      <c r="A256" s="14">
        <v>42530.592314814814</v>
      </c>
      <c r="B256" t="s">
        <v>118</v>
      </c>
      <c r="C256" t="s">
        <v>160</v>
      </c>
      <c r="D256">
        <v>880000</v>
      </c>
      <c r="E256" t="s">
        <v>137</v>
      </c>
    </row>
    <row r="257" spans="1:5" x14ac:dyDescent="0.25">
      <c r="A257" s="14">
        <v>42530.904467592591</v>
      </c>
      <c r="B257" t="s">
        <v>145</v>
      </c>
      <c r="C257" t="s">
        <v>235</v>
      </c>
      <c r="D257">
        <v>1440000</v>
      </c>
      <c r="E257" t="s">
        <v>190</v>
      </c>
    </row>
    <row r="258" spans="1:5" x14ac:dyDescent="0.25">
      <c r="A258" s="14">
        <v>42530.633819444447</v>
      </c>
      <c r="B258" t="s">
        <v>107</v>
      </c>
      <c r="C258" t="s">
        <v>246</v>
      </c>
      <c r="D258">
        <v>1280000</v>
      </c>
      <c r="E258" t="s">
        <v>182</v>
      </c>
    </row>
    <row r="259" spans="1:5" x14ac:dyDescent="0.25">
      <c r="A259" s="14">
        <v>42530.820208333331</v>
      </c>
      <c r="B259" t="s">
        <v>145</v>
      </c>
      <c r="C259" t="s">
        <v>247</v>
      </c>
      <c r="D259">
        <v>1440000</v>
      </c>
      <c r="E259" t="s">
        <v>190</v>
      </c>
    </row>
    <row r="260" spans="1:5" x14ac:dyDescent="0.25">
      <c r="A260" s="14">
        <v>42530.653877314813</v>
      </c>
      <c r="B260" t="s">
        <v>157</v>
      </c>
      <c r="C260" t="s">
        <v>248</v>
      </c>
      <c r="D260">
        <v>1140000</v>
      </c>
      <c r="E260" t="s">
        <v>124</v>
      </c>
    </row>
    <row r="261" spans="1:5" x14ac:dyDescent="0.25">
      <c r="A261" s="14">
        <v>42530.758935185186</v>
      </c>
      <c r="B261" t="s">
        <v>148</v>
      </c>
      <c r="C261" t="s">
        <v>249</v>
      </c>
      <c r="D261">
        <v>1820000</v>
      </c>
      <c r="E261" t="s">
        <v>138</v>
      </c>
    </row>
    <row r="262" spans="1:5" x14ac:dyDescent="0.25">
      <c r="A262" s="14">
        <v>42530.214120370372</v>
      </c>
      <c r="B262" t="s">
        <v>148</v>
      </c>
      <c r="C262" t="s">
        <v>250</v>
      </c>
      <c r="D262">
        <v>1290000</v>
      </c>
      <c r="E262" t="s">
        <v>128</v>
      </c>
    </row>
    <row r="263" spans="1:5" x14ac:dyDescent="0.25">
      <c r="A263" s="14">
        <v>42530.731990740744</v>
      </c>
      <c r="B263" t="s">
        <v>169</v>
      </c>
      <c r="C263" t="s">
        <v>170</v>
      </c>
      <c r="D263">
        <v>1500000</v>
      </c>
      <c r="E263" t="s">
        <v>187</v>
      </c>
    </row>
    <row r="264" spans="1:5" x14ac:dyDescent="0.25">
      <c r="A264" s="14">
        <v>42530.235636574071</v>
      </c>
      <c r="B264" t="s">
        <v>120</v>
      </c>
      <c r="C264" t="s">
        <v>141</v>
      </c>
      <c r="D264">
        <v>1230000</v>
      </c>
      <c r="E264" t="s">
        <v>178</v>
      </c>
    </row>
    <row r="265" spans="1:5" x14ac:dyDescent="0.25">
      <c r="A265" s="14">
        <v>42530.859756944446</v>
      </c>
      <c r="B265" t="s">
        <v>189</v>
      </c>
      <c r="C265" t="s">
        <v>251</v>
      </c>
      <c r="D265">
        <v>1440000</v>
      </c>
      <c r="E265" t="s">
        <v>190</v>
      </c>
    </row>
    <row r="266" spans="1:5" x14ac:dyDescent="0.25">
      <c r="A266" s="14">
        <v>42530.245104166665</v>
      </c>
      <c r="B266" t="s">
        <v>107</v>
      </c>
      <c r="C266" t="s">
        <v>227</v>
      </c>
      <c r="D266">
        <v>1100000</v>
      </c>
      <c r="E266" t="s">
        <v>101</v>
      </c>
    </row>
    <row r="267" spans="1:5" x14ac:dyDescent="0.25">
      <c r="A267" s="14">
        <v>42530.723935185182</v>
      </c>
      <c r="B267" t="s">
        <v>143</v>
      </c>
      <c r="C267" t="s">
        <v>252</v>
      </c>
      <c r="D267">
        <v>1110000</v>
      </c>
      <c r="E267" t="s">
        <v>134</v>
      </c>
    </row>
    <row r="268" spans="1:5" x14ac:dyDescent="0.25">
      <c r="A268" s="14">
        <v>42530.406053240738</v>
      </c>
      <c r="B268" t="s">
        <v>139</v>
      </c>
      <c r="C268" t="s">
        <v>147</v>
      </c>
      <c r="D268">
        <v>1310000</v>
      </c>
      <c r="E268" t="s">
        <v>185</v>
      </c>
    </row>
    <row r="269" spans="1:5" x14ac:dyDescent="0.25">
      <c r="A269" s="14">
        <v>42530.661539351851</v>
      </c>
      <c r="B269" t="s">
        <v>122</v>
      </c>
      <c r="C269" t="s">
        <v>253</v>
      </c>
      <c r="D269">
        <v>890000</v>
      </c>
      <c r="E269" t="s">
        <v>129</v>
      </c>
    </row>
    <row r="270" spans="1:5" x14ac:dyDescent="0.25">
      <c r="A270" s="14">
        <v>42530.463750000003</v>
      </c>
      <c r="B270" t="s">
        <v>121</v>
      </c>
      <c r="C270" t="s">
        <v>254</v>
      </c>
      <c r="D270">
        <v>900000</v>
      </c>
      <c r="E270" t="s">
        <v>180</v>
      </c>
    </row>
    <row r="271" spans="1:5" x14ac:dyDescent="0.25">
      <c r="A271" s="14">
        <v>42530.611226851855</v>
      </c>
      <c r="B271" t="s">
        <v>148</v>
      </c>
      <c r="C271" t="s">
        <v>255</v>
      </c>
      <c r="D271">
        <v>1110000</v>
      </c>
      <c r="E271" t="s">
        <v>134</v>
      </c>
    </row>
    <row r="272" spans="1:5" x14ac:dyDescent="0.25">
      <c r="A272" s="14">
        <v>42530.467812499999</v>
      </c>
      <c r="B272" t="s">
        <v>148</v>
      </c>
      <c r="C272" t="s">
        <v>212</v>
      </c>
      <c r="D272">
        <v>1110000</v>
      </c>
      <c r="E272" t="s">
        <v>134</v>
      </c>
    </row>
    <row r="273" spans="1:5" x14ac:dyDescent="0.25">
      <c r="A273" s="14">
        <v>42530.282256944447</v>
      </c>
      <c r="B273" t="s">
        <v>122</v>
      </c>
      <c r="C273" t="s">
        <v>144</v>
      </c>
      <c r="D273">
        <v>1310000</v>
      </c>
      <c r="E273" t="s">
        <v>185</v>
      </c>
    </row>
    <row r="274" spans="1:5" x14ac:dyDescent="0.25">
      <c r="A274" s="14">
        <v>42530.63208333333</v>
      </c>
      <c r="B274" t="s">
        <v>161</v>
      </c>
      <c r="C274" t="s">
        <v>162</v>
      </c>
      <c r="D274">
        <v>1740000</v>
      </c>
      <c r="E274" t="s">
        <v>135</v>
      </c>
    </row>
    <row r="275" spans="1:5" x14ac:dyDescent="0.25">
      <c r="A275" s="14">
        <v>42530.221921296295</v>
      </c>
      <c r="B275" t="s">
        <v>145</v>
      </c>
      <c r="C275" t="s">
        <v>229</v>
      </c>
      <c r="D275">
        <v>1360000</v>
      </c>
      <c r="E275" t="s">
        <v>105</v>
      </c>
    </row>
    <row r="276" spans="1:5" x14ac:dyDescent="0.25">
      <c r="A276" s="14">
        <v>42530.643750000003</v>
      </c>
      <c r="B276" t="s">
        <v>163</v>
      </c>
      <c r="C276" t="s">
        <v>164</v>
      </c>
      <c r="D276">
        <v>900000</v>
      </c>
      <c r="E276" t="s">
        <v>180</v>
      </c>
    </row>
    <row r="277" spans="1:5" x14ac:dyDescent="0.25">
      <c r="A277" s="14">
        <v>42530.578217592592</v>
      </c>
      <c r="B277" t="s">
        <v>143</v>
      </c>
      <c r="C277" t="s">
        <v>256</v>
      </c>
      <c r="D277">
        <v>1110000</v>
      </c>
      <c r="E277" t="s">
        <v>134</v>
      </c>
    </row>
    <row r="278" spans="1:5" x14ac:dyDescent="0.25">
      <c r="A278" s="14">
        <v>42530.696516203701</v>
      </c>
      <c r="B278" t="s">
        <v>120</v>
      </c>
      <c r="C278" t="s">
        <v>257</v>
      </c>
      <c r="D278">
        <v>1520000</v>
      </c>
      <c r="E278" t="s">
        <v>179</v>
      </c>
    </row>
    <row r="279" spans="1:5" x14ac:dyDescent="0.25">
      <c r="A279" s="14">
        <v>42530.316400462965</v>
      </c>
      <c r="B279" t="s">
        <v>145</v>
      </c>
      <c r="C279" t="s">
        <v>146</v>
      </c>
      <c r="D279">
        <v>1360000</v>
      </c>
      <c r="E279" t="s">
        <v>105</v>
      </c>
    </row>
    <row r="280" spans="1:5" x14ac:dyDescent="0.25">
      <c r="A280" s="14">
        <v>42530.730104166665</v>
      </c>
      <c r="B280" t="s">
        <v>169</v>
      </c>
      <c r="C280" t="s">
        <v>170</v>
      </c>
      <c r="D280">
        <v>1500000</v>
      </c>
      <c r="E280" t="s">
        <v>187</v>
      </c>
    </row>
    <row r="281" spans="1:5" x14ac:dyDescent="0.25">
      <c r="A281" s="14">
        <v>42530.181921296295</v>
      </c>
      <c r="B281" t="s">
        <v>189</v>
      </c>
      <c r="C281" t="s">
        <v>258</v>
      </c>
      <c r="D281">
        <v>1360000</v>
      </c>
      <c r="E281" t="s">
        <v>105</v>
      </c>
    </row>
    <row r="282" spans="1:5" x14ac:dyDescent="0.25">
      <c r="A282" s="14">
        <v>42530.759872685187</v>
      </c>
      <c r="B282" t="s">
        <v>97</v>
      </c>
      <c r="C282" t="s">
        <v>173</v>
      </c>
      <c r="D282">
        <v>1140000</v>
      </c>
      <c r="E282" t="s">
        <v>124</v>
      </c>
    </row>
    <row r="283" spans="1:5" x14ac:dyDescent="0.25">
      <c r="A283" s="14">
        <v>42530.153807870367</v>
      </c>
      <c r="B283" t="s">
        <v>139</v>
      </c>
      <c r="C283" t="s">
        <v>259</v>
      </c>
      <c r="D283">
        <v>1340000</v>
      </c>
      <c r="E283" t="s">
        <v>136</v>
      </c>
    </row>
    <row r="284" spans="1:5" x14ac:dyDescent="0.25">
      <c r="A284" s="14">
        <v>42530.860914351855</v>
      </c>
      <c r="B284" t="s">
        <v>189</v>
      </c>
      <c r="C284" t="s">
        <v>251</v>
      </c>
      <c r="D284">
        <v>1440000</v>
      </c>
      <c r="E284" t="s">
        <v>190</v>
      </c>
    </row>
    <row r="285" spans="1:5" x14ac:dyDescent="0.25">
      <c r="A285" s="14">
        <v>42530.597291666665</v>
      </c>
      <c r="B285" t="s">
        <v>78</v>
      </c>
      <c r="C285" t="s">
        <v>159</v>
      </c>
      <c r="D285">
        <v>1740000</v>
      </c>
      <c r="E285" t="s">
        <v>135</v>
      </c>
    </row>
    <row r="286" spans="1:5" x14ac:dyDescent="0.25">
      <c r="A286" s="14">
        <v>42530.744710648149</v>
      </c>
      <c r="B286" t="s">
        <v>108</v>
      </c>
      <c r="C286" t="s">
        <v>260</v>
      </c>
      <c r="D286">
        <v>1280000</v>
      </c>
      <c r="E286" t="s">
        <v>182</v>
      </c>
    </row>
    <row r="287" spans="1:5" x14ac:dyDescent="0.25">
      <c r="A287" s="14">
        <v>42530.562326388892</v>
      </c>
      <c r="B287" t="s">
        <v>161</v>
      </c>
      <c r="C287" t="s">
        <v>181</v>
      </c>
      <c r="D287">
        <v>1740000</v>
      </c>
      <c r="E287" t="s">
        <v>135</v>
      </c>
    </row>
    <row r="288" spans="1:5" x14ac:dyDescent="0.25">
      <c r="A288" s="14">
        <v>42530.747256944444</v>
      </c>
      <c r="B288" t="s">
        <v>145</v>
      </c>
      <c r="C288" t="s">
        <v>172</v>
      </c>
      <c r="D288">
        <v>1440000</v>
      </c>
      <c r="E288" t="s">
        <v>190</v>
      </c>
    </row>
    <row r="289" spans="1:5" x14ac:dyDescent="0.25">
      <c r="A289" s="14">
        <v>42530.372337962966</v>
      </c>
      <c r="B289" t="s">
        <v>118</v>
      </c>
      <c r="C289" t="s">
        <v>261</v>
      </c>
      <c r="D289">
        <v>1230000</v>
      </c>
      <c r="E289" t="s">
        <v>178</v>
      </c>
    </row>
    <row r="290" spans="1:5" x14ac:dyDescent="0.25">
      <c r="A290" s="14">
        <v>42530.797986111109</v>
      </c>
      <c r="B290" t="s">
        <v>143</v>
      </c>
      <c r="C290" t="s">
        <v>174</v>
      </c>
      <c r="D290">
        <v>1820000</v>
      </c>
      <c r="E290" t="s">
        <v>138</v>
      </c>
    </row>
    <row r="291" spans="1:5" x14ac:dyDescent="0.25">
      <c r="A291" s="14">
        <v>42530.574456018519</v>
      </c>
      <c r="B291" t="s">
        <v>163</v>
      </c>
      <c r="C291" t="s">
        <v>262</v>
      </c>
      <c r="D291">
        <v>900000</v>
      </c>
      <c r="E291" t="s">
        <v>180</v>
      </c>
    </row>
  </sheetData>
  <sortState ref="A1:E169">
    <sortCondition ref="C1:C16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42534</v>
      </c>
      <c r="B2" s="10"/>
      <c r="C2" s="37">
        <v>50</v>
      </c>
      <c r="F2" t="s">
        <v>69</v>
      </c>
    </row>
    <row r="3" spans="1:6" x14ac:dyDescent="0.25">
      <c r="F3" t="s">
        <v>70</v>
      </c>
    </row>
    <row r="4" spans="1:6" x14ac:dyDescent="0.25">
      <c r="F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2016-07-19T20:07:19Z</dcterms:modified>
</cp:coreProperties>
</file>