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Enforcements!$A$2:$N$60</definedName>
    <definedName name="_xlnm._FilterDatabase" localSheetId="0" hidden="1">'Train Runs'!$A$2:$AC$147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S4" i="1" s="1"/>
  <c r="S5" i="1"/>
  <c r="T5" i="1"/>
  <c r="U5" i="1"/>
  <c r="T6" i="1"/>
  <c r="U6" i="1" s="1"/>
  <c r="S6" i="1" s="1"/>
  <c r="T7" i="1"/>
  <c r="U7" i="1" s="1"/>
  <c r="S7" i="1" s="1"/>
  <c r="T8" i="1"/>
  <c r="U8" i="1"/>
  <c r="S8" i="1" s="1"/>
  <c r="S9" i="1"/>
  <c r="T9" i="1"/>
  <c r="U9" i="1"/>
  <c r="T10" i="1"/>
  <c r="U10" i="1" s="1"/>
  <c r="S10" i="1" s="1"/>
  <c r="T11" i="1"/>
  <c r="U11" i="1" s="1"/>
  <c r="S11" i="1" s="1"/>
  <c r="T12" i="1"/>
  <c r="U12" i="1"/>
  <c r="S12" i="1" s="1"/>
  <c r="S13" i="1"/>
  <c r="T13" i="1"/>
  <c r="U13" i="1"/>
  <c r="S14" i="1"/>
  <c r="T14" i="1"/>
  <c r="U14" i="1" s="1"/>
  <c r="T15" i="1"/>
  <c r="U15" i="1"/>
  <c r="S15" i="1" s="1"/>
  <c r="T16" i="1"/>
  <c r="U16" i="1"/>
  <c r="S16" i="1" s="1"/>
  <c r="S17" i="1"/>
  <c r="T17" i="1"/>
  <c r="U17" i="1"/>
  <c r="S18" i="1"/>
  <c r="T18" i="1"/>
  <c r="U18" i="1" s="1"/>
  <c r="T19" i="1"/>
  <c r="U19" i="1"/>
  <c r="S19" i="1" s="1"/>
  <c r="T20" i="1"/>
  <c r="U20" i="1"/>
  <c r="S20" i="1" s="1"/>
  <c r="S21" i="1"/>
  <c r="T21" i="1"/>
  <c r="U21" i="1"/>
  <c r="T22" i="1"/>
  <c r="U22" i="1" s="1"/>
  <c r="S22" i="1" s="1"/>
  <c r="T23" i="1"/>
  <c r="U23" i="1" s="1"/>
  <c r="S23" i="1" s="1"/>
  <c r="T24" i="1"/>
  <c r="U24" i="1"/>
  <c r="S24" i="1" s="1"/>
  <c r="S25" i="1"/>
  <c r="T25" i="1"/>
  <c r="U25" i="1"/>
  <c r="T26" i="1"/>
  <c r="U26" i="1" s="1"/>
  <c r="S26" i="1" s="1"/>
  <c r="T27" i="1"/>
  <c r="U27" i="1" s="1"/>
  <c r="S27" i="1" s="1"/>
  <c r="T28" i="1"/>
  <c r="U28" i="1"/>
  <c r="S28" i="1" s="1"/>
  <c r="S29" i="1"/>
  <c r="T29" i="1"/>
  <c r="U29" i="1"/>
  <c r="S30" i="1"/>
  <c r="T30" i="1"/>
  <c r="U30" i="1" s="1"/>
  <c r="T31" i="1"/>
  <c r="U31" i="1"/>
  <c r="S31" i="1" s="1"/>
  <c r="T32" i="1"/>
  <c r="U32" i="1"/>
  <c r="S32" i="1" s="1"/>
  <c r="S33" i="1"/>
  <c r="T33" i="1"/>
  <c r="U33" i="1"/>
  <c r="S34" i="1"/>
  <c r="T34" i="1"/>
  <c r="U34" i="1" s="1"/>
  <c r="T35" i="1"/>
  <c r="U35" i="1"/>
  <c r="S35" i="1" s="1"/>
  <c r="T36" i="1"/>
  <c r="U36" i="1"/>
  <c r="S36" i="1" s="1"/>
  <c r="S37" i="1"/>
  <c r="T37" i="1"/>
  <c r="U37" i="1"/>
  <c r="T38" i="1"/>
  <c r="U38" i="1" s="1"/>
  <c r="S38" i="1" s="1"/>
  <c r="T39" i="1"/>
  <c r="U39" i="1" s="1"/>
  <c r="S39" i="1" s="1"/>
  <c r="T40" i="1"/>
  <c r="U40" i="1"/>
  <c r="S40" i="1" s="1"/>
  <c r="S41" i="1"/>
  <c r="T41" i="1"/>
  <c r="U41" i="1"/>
  <c r="T42" i="1"/>
  <c r="U42" i="1" s="1"/>
  <c r="S42" i="1" s="1"/>
  <c r="T43" i="1"/>
  <c r="U43" i="1" s="1"/>
  <c r="S43" i="1" s="1"/>
  <c r="T44" i="1"/>
  <c r="U44" i="1"/>
  <c r="S44" i="1" s="1"/>
  <c r="S45" i="1"/>
  <c r="T45" i="1"/>
  <c r="U45" i="1"/>
  <c r="S46" i="1"/>
  <c r="T46" i="1"/>
  <c r="U46" i="1" s="1"/>
  <c r="T47" i="1"/>
  <c r="U47" i="1"/>
  <c r="S47" i="1" s="1"/>
  <c r="T48" i="1"/>
  <c r="U48" i="1"/>
  <c r="S48" i="1" s="1"/>
  <c r="S49" i="1"/>
  <c r="T49" i="1"/>
  <c r="U49" i="1"/>
  <c r="S50" i="1"/>
  <c r="T50" i="1"/>
  <c r="U50" i="1" s="1"/>
  <c r="T51" i="1"/>
  <c r="U51" i="1"/>
  <c r="S51" i="1" s="1"/>
  <c r="T52" i="1"/>
  <c r="U52" i="1"/>
  <c r="S52" i="1" s="1"/>
  <c r="S53" i="1"/>
  <c r="T53" i="1"/>
  <c r="U53" i="1"/>
  <c r="T54" i="1"/>
  <c r="U54" i="1" s="1"/>
  <c r="S54" i="1" s="1"/>
  <c r="T55" i="1"/>
  <c r="U55" i="1" s="1"/>
  <c r="S55" i="1" s="1"/>
  <c r="T56" i="1"/>
  <c r="U56" i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/>
  <c r="S60" i="1" s="1"/>
  <c r="S61" i="1"/>
  <c r="T61" i="1"/>
  <c r="U61" i="1"/>
  <c r="S62" i="1"/>
  <c r="T62" i="1"/>
  <c r="U62" i="1" s="1"/>
  <c r="T63" i="1"/>
  <c r="U63" i="1"/>
  <c r="S63" i="1" s="1"/>
  <c r="T64" i="1"/>
  <c r="U64" i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/>
  <c r="S68" i="1" s="1"/>
  <c r="S69" i="1"/>
  <c r="T69" i="1"/>
  <c r="U69" i="1"/>
  <c r="T70" i="1"/>
  <c r="U70" i="1" s="1"/>
  <c r="S70" i="1" s="1"/>
  <c r="T71" i="1"/>
  <c r="U71" i="1" s="1"/>
  <c r="S71" i="1" s="1"/>
  <c r="T72" i="1"/>
  <c r="U72" i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/>
  <c r="S76" i="1" s="1"/>
  <c r="S77" i="1"/>
  <c r="T77" i="1"/>
  <c r="U77" i="1"/>
  <c r="S78" i="1"/>
  <c r="T78" i="1"/>
  <c r="U78" i="1" s="1"/>
  <c r="T79" i="1"/>
  <c r="U79" i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T86" i="1"/>
  <c r="U86" i="1" s="1"/>
  <c r="S86" i="1" s="1"/>
  <c r="T87" i="1"/>
  <c r="U87" i="1" s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S94" i="1"/>
  <c r="T94" i="1"/>
  <c r="U94" i="1" s="1"/>
  <c r="T95" i="1"/>
  <c r="U95" i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T102" i="1"/>
  <c r="U102" i="1" s="1"/>
  <c r="S102" i="1" s="1"/>
  <c r="T103" i="1"/>
  <c r="U103" i="1" s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S110" i="1"/>
  <c r="T110" i="1"/>
  <c r="U110" i="1" s="1"/>
  <c r="T111" i="1"/>
  <c r="U111" i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T118" i="1"/>
  <c r="U118" i="1" s="1"/>
  <c r="S118" i="1" s="1"/>
  <c r="T119" i="1"/>
  <c r="U119" i="1" s="1"/>
  <c r="S119" i="1" s="1"/>
  <c r="T120" i="1"/>
  <c r="U120" i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/>
  <c r="S124" i="1" s="1"/>
  <c r="S125" i="1"/>
  <c r="T125" i="1"/>
  <c r="U125" i="1"/>
  <c r="S126" i="1"/>
  <c r="T126" i="1"/>
  <c r="U126" i="1" s="1"/>
  <c r="T127" i="1"/>
  <c r="U127" i="1"/>
  <c r="S127" i="1" s="1"/>
  <c r="T128" i="1"/>
  <c r="U128" i="1"/>
  <c r="S128" i="1" s="1"/>
  <c r="S129" i="1"/>
  <c r="T129" i="1"/>
  <c r="U129" i="1"/>
  <c r="T130" i="1"/>
  <c r="U130" i="1" s="1"/>
  <c r="S130" i="1" s="1"/>
  <c r="T131" i="1"/>
  <c r="U131" i="1"/>
  <c r="S131" i="1" s="1"/>
  <c r="T132" i="1"/>
  <c r="U132" i="1"/>
  <c r="S132" i="1" s="1"/>
  <c r="S133" i="1"/>
  <c r="T133" i="1"/>
  <c r="U133" i="1"/>
  <c r="T134" i="1"/>
  <c r="U134" i="1" s="1"/>
  <c r="S134" i="1" s="1"/>
  <c r="T135" i="1"/>
  <c r="U135" i="1" s="1"/>
  <c r="S135" i="1" s="1"/>
  <c r="T136" i="1"/>
  <c r="U136" i="1"/>
  <c r="S136" i="1" s="1"/>
  <c r="S137" i="1"/>
  <c r="T137" i="1"/>
  <c r="U137" i="1"/>
  <c r="T138" i="1"/>
  <c r="U138" i="1" s="1"/>
  <c r="S138" i="1" s="1"/>
  <c r="T139" i="1"/>
  <c r="U139" i="1"/>
  <c r="S139" i="1" s="1"/>
  <c r="T140" i="1"/>
  <c r="U140" i="1"/>
  <c r="S140" i="1" s="1"/>
  <c r="S141" i="1"/>
  <c r="T141" i="1"/>
  <c r="U141" i="1"/>
  <c r="S142" i="1"/>
  <c r="T142" i="1"/>
  <c r="U142" i="1" s="1"/>
  <c r="T143" i="1"/>
  <c r="U143" i="1"/>
  <c r="S143" i="1" s="1"/>
  <c r="T144" i="1"/>
  <c r="U144" i="1"/>
  <c r="S144" i="1" s="1"/>
  <c r="S145" i="1"/>
  <c r="T145" i="1"/>
  <c r="U145" i="1"/>
  <c r="T146" i="1"/>
  <c r="U146" i="1" s="1"/>
  <c r="S146" i="1" s="1"/>
  <c r="T147" i="1"/>
  <c r="U147" i="1"/>
  <c r="S147" i="1" s="1"/>
  <c r="T3" i="1"/>
  <c r="U3" i="1" s="1"/>
  <c r="S3" i="1" s="1"/>
  <c r="S1" i="1" l="1"/>
  <c r="X106" i="1"/>
  <c r="X107" i="1"/>
  <c r="X108" i="1"/>
  <c r="X109" i="1"/>
  <c r="X110" i="1"/>
  <c r="X111" i="1"/>
  <c r="X79" i="1"/>
  <c r="X80" i="1"/>
  <c r="X81" i="1"/>
  <c r="X82" i="1"/>
  <c r="X83" i="1"/>
  <c r="X84" i="1"/>
  <c r="V109" i="1"/>
  <c r="Y109" i="1"/>
  <c r="Z109" i="1"/>
  <c r="AB109" i="1"/>
  <c r="V80" i="1"/>
  <c r="Y80" i="1"/>
  <c r="Z80" i="1"/>
  <c r="AB80" i="1"/>
  <c r="V81" i="1"/>
  <c r="Y81" i="1"/>
  <c r="Z81" i="1"/>
  <c r="AA81" i="1" s="1"/>
  <c r="W81" i="1" s="1"/>
  <c r="AB81" i="1"/>
  <c r="V82" i="1"/>
  <c r="Y82" i="1"/>
  <c r="Z82" i="1"/>
  <c r="AB82" i="1"/>
  <c r="AA80" i="1" l="1"/>
  <c r="W80" i="1" s="1"/>
  <c r="AA109" i="1"/>
  <c r="W109" i="1" s="1"/>
  <c r="AA82" i="1"/>
  <c r="W82" i="1" s="1"/>
  <c r="X136" i="1"/>
  <c r="X133" i="1"/>
  <c r="X134" i="1"/>
  <c r="X131" i="1"/>
  <c r="X99" i="1"/>
  <c r="X105" i="1"/>
  <c r="X97" i="1"/>
  <c r="X102" i="1"/>
  <c r="X103" i="1"/>
  <c r="V58" i="1"/>
  <c r="X58" i="1"/>
  <c r="Y58" i="1"/>
  <c r="Z58" i="1"/>
  <c r="AB58" i="1"/>
  <c r="V51" i="1"/>
  <c r="X51" i="1"/>
  <c r="Y51" i="1"/>
  <c r="Z51" i="1"/>
  <c r="AB51" i="1"/>
  <c r="V134" i="1"/>
  <c r="Y134" i="1"/>
  <c r="AA134" i="1" s="1"/>
  <c r="W134" i="1" s="1"/>
  <c r="AB134" i="1"/>
  <c r="V131" i="1"/>
  <c r="Y131" i="1"/>
  <c r="Z131" i="1"/>
  <c r="AB131" i="1"/>
  <c r="V105" i="1"/>
  <c r="Y105" i="1"/>
  <c r="AA105" i="1" s="1"/>
  <c r="W105" i="1" s="1"/>
  <c r="AB105" i="1"/>
  <c r="V97" i="1"/>
  <c r="Y97" i="1"/>
  <c r="Z97" i="1"/>
  <c r="AA97" i="1" s="1"/>
  <c r="W97" i="1" s="1"/>
  <c r="AB97" i="1"/>
  <c r="V102" i="1"/>
  <c r="Y102" i="1"/>
  <c r="Z102" i="1"/>
  <c r="AB102" i="1"/>
  <c r="V56" i="1"/>
  <c r="X56" i="1"/>
  <c r="Y56" i="1"/>
  <c r="Z56" i="1"/>
  <c r="AB56" i="1"/>
  <c r="X57" i="1"/>
  <c r="X62" i="1"/>
  <c r="X55" i="1"/>
  <c r="X60" i="1"/>
  <c r="X53" i="1"/>
  <c r="X49" i="1"/>
  <c r="X54" i="1"/>
  <c r="X47" i="1"/>
  <c r="X52" i="1"/>
  <c r="X50" i="1"/>
  <c r="K52" i="1"/>
  <c r="L52" i="1"/>
  <c r="M52" i="1"/>
  <c r="N52" i="1" s="1"/>
  <c r="V52" i="1"/>
  <c r="Y52" i="1"/>
  <c r="Z52" i="1"/>
  <c r="AB52" i="1"/>
  <c r="AC52" i="1"/>
  <c r="K50" i="1"/>
  <c r="L50" i="1"/>
  <c r="M50" i="1"/>
  <c r="N50" i="1" s="1"/>
  <c r="V50" i="1"/>
  <c r="Y50" i="1"/>
  <c r="Z50" i="1"/>
  <c r="AB50" i="1"/>
  <c r="AC50" i="1"/>
  <c r="K45" i="1"/>
  <c r="L45" i="1"/>
  <c r="M45" i="1"/>
  <c r="N45" i="1" s="1"/>
  <c r="V45" i="1"/>
  <c r="X45" i="1"/>
  <c r="Y45" i="1"/>
  <c r="Z45" i="1"/>
  <c r="AB45" i="1"/>
  <c r="AC45" i="1"/>
  <c r="K43" i="1"/>
  <c r="L43" i="1"/>
  <c r="M43" i="1"/>
  <c r="N43" i="1" s="1"/>
  <c r="V43" i="1"/>
  <c r="X43" i="1"/>
  <c r="Y43" i="1"/>
  <c r="Z43" i="1"/>
  <c r="AB43" i="1"/>
  <c r="AC43" i="1"/>
  <c r="K48" i="1"/>
  <c r="L48" i="1"/>
  <c r="M48" i="1"/>
  <c r="N48" i="1" s="1"/>
  <c r="V48" i="1"/>
  <c r="X48" i="1"/>
  <c r="Y48" i="1"/>
  <c r="Z48" i="1"/>
  <c r="AB48" i="1"/>
  <c r="AC48" i="1"/>
  <c r="K41" i="1"/>
  <c r="L41" i="1"/>
  <c r="M41" i="1"/>
  <c r="N41" i="1" s="1"/>
  <c r="V41" i="1"/>
  <c r="X41" i="1"/>
  <c r="Y41" i="1"/>
  <c r="Z41" i="1"/>
  <c r="AB41" i="1"/>
  <c r="AC41" i="1"/>
  <c r="K46" i="1"/>
  <c r="L46" i="1"/>
  <c r="M46" i="1"/>
  <c r="N46" i="1" s="1"/>
  <c r="V46" i="1"/>
  <c r="X46" i="1"/>
  <c r="Y46" i="1"/>
  <c r="Z46" i="1"/>
  <c r="AB46" i="1"/>
  <c r="AC46" i="1"/>
  <c r="K39" i="1"/>
  <c r="L39" i="1"/>
  <c r="M39" i="1"/>
  <c r="N39" i="1" s="1"/>
  <c r="V39" i="1"/>
  <c r="X39" i="1"/>
  <c r="Y39" i="1"/>
  <c r="Z39" i="1"/>
  <c r="AB39" i="1"/>
  <c r="AC39" i="1"/>
  <c r="K44" i="1"/>
  <c r="L44" i="1"/>
  <c r="M44" i="1"/>
  <c r="N44" i="1" s="1"/>
  <c r="V44" i="1"/>
  <c r="X44" i="1"/>
  <c r="Y44" i="1"/>
  <c r="Z44" i="1"/>
  <c r="AB44" i="1"/>
  <c r="AC44" i="1"/>
  <c r="K37" i="1"/>
  <c r="L37" i="1"/>
  <c r="M37" i="1"/>
  <c r="P37" i="1" s="1"/>
  <c r="V37" i="1"/>
  <c r="X37" i="1"/>
  <c r="Y37" i="1"/>
  <c r="Z37" i="1"/>
  <c r="AB37" i="1"/>
  <c r="AC37" i="1"/>
  <c r="I150" i="1"/>
  <c r="V53" i="1"/>
  <c r="Y53" i="1"/>
  <c r="Z53" i="1"/>
  <c r="AB53" i="1"/>
  <c r="AC53" i="1"/>
  <c r="AC58" i="1"/>
  <c r="AC51" i="1"/>
  <c r="AC56" i="1"/>
  <c r="V49" i="1"/>
  <c r="Y49" i="1"/>
  <c r="Z49" i="1"/>
  <c r="AB49" i="1"/>
  <c r="AC49" i="1"/>
  <c r="V54" i="1"/>
  <c r="Y54" i="1"/>
  <c r="Z54" i="1"/>
  <c r="AB54" i="1"/>
  <c r="AC54" i="1"/>
  <c r="V47" i="1"/>
  <c r="Y47" i="1"/>
  <c r="Z47" i="1"/>
  <c r="AB47" i="1"/>
  <c r="AC47" i="1"/>
  <c r="V42" i="1"/>
  <c r="X42" i="1"/>
  <c r="Y42" i="1"/>
  <c r="Z42" i="1"/>
  <c r="AB42" i="1"/>
  <c r="AC42" i="1"/>
  <c r="V35" i="1"/>
  <c r="X35" i="1"/>
  <c r="Y35" i="1"/>
  <c r="Z35" i="1"/>
  <c r="AB35" i="1"/>
  <c r="AC35" i="1"/>
  <c r="V40" i="1"/>
  <c r="X40" i="1"/>
  <c r="Y40" i="1"/>
  <c r="Z40" i="1"/>
  <c r="AB40" i="1"/>
  <c r="AC40" i="1"/>
  <c r="V33" i="1"/>
  <c r="X33" i="1"/>
  <c r="Y33" i="1"/>
  <c r="Z33" i="1"/>
  <c r="AB33" i="1"/>
  <c r="AC33" i="1"/>
  <c r="V38" i="1"/>
  <c r="X38" i="1"/>
  <c r="Y38" i="1"/>
  <c r="Z38" i="1"/>
  <c r="AB38" i="1"/>
  <c r="AC38" i="1"/>
  <c r="V31" i="1"/>
  <c r="X31" i="1"/>
  <c r="Y31" i="1"/>
  <c r="Z31" i="1"/>
  <c r="AB31" i="1"/>
  <c r="AC31" i="1"/>
  <c r="V36" i="1"/>
  <c r="X36" i="1"/>
  <c r="Y36" i="1"/>
  <c r="Z36" i="1"/>
  <c r="AB36" i="1"/>
  <c r="AC36" i="1"/>
  <c r="V29" i="1"/>
  <c r="X29" i="1"/>
  <c r="Y29" i="1"/>
  <c r="Z29" i="1"/>
  <c r="AB29" i="1"/>
  <c r="AC29" i="1"/>
  <c r="V34" i="1"/>
  <c r="X34" i="1"/>
  <c r="Y34" i="1"/>
  <c r="Z34" i="1"/>
  <c r="AB34" i="1"/>
  <c r="AC34" i="1"/>
  <c r="V27" i="1"/>
  <c r="X27" i="1"/>
  <c r="Y27" i="1"/>
  <c r="Z27" i="1"/>
  <c r="AB27" i="1"/>
  <c r="AC27" i="1"/>
  <c r="V32" i="1"/>
  <c r="X32" i="1"/>
  <c r="Y32" i="1"/>
  <c r="Z32" i="1"/>
  <c r="AB32" i="1"/>
  <c r="AC32" i="1"/>
  <c r="V25" i="1"/>
  <c r="X25" i="1"/>
  <c r="Y25" i="1"/>
  <c r="Z25" i="1"/>
  <c r="AB25" i="1"/>
  <c r="AC25" i="1"/>
  <c r="V30" i="1"/>
  <c r="X30" i="1"/>
  <c r="Y30" i="1"/>
  <c r="Z30" i="1"/>
  <c r="AB30" i="1"/>
  <c r="AC30" i="1"/>
  <c r="V23" i="1"/>
  <c r="X23" i="1"/>
  <c r="Y23" i="1"/>
  <c r="Z23" i="1"/>
  <c r="AB23" i="1"/>
  <c r="AC23" i="1"/>
  <c r="V28" i="1"/>
  <c r="X28" i="1"/>
  <c r="Y28" i="1"/>
  <c r="Z28" i="1"/>
  <c r="AB28" i="1"/>
  <c r="AC28" i="1"/>
  <c r="V19" i="1"/>
  <c r="X19" i="1"/>
  <c r="Y19" i="1"/>
  <c r="Z19" i="1"/>
  <c r="AB19" i="1"/>
  <c r="AC19" i="1"/>
  <c r="V26" i="1"/>
  <c r="X26" i="1"/>
  <c r="Y26" i="1"/>
  <c r="Z26" i="1"/>
  <c r="AB26" i="1"/>
  <c r="AC26" i="1"/>
  <c r="V21" i="1"/>
  <c r="X21" i="1"/>
  <c r="Y21" i="1"/>
  <c r="Z21" i="1"/>
  <c r="AB21" i="1"/>
  <c r="AC21" i="1"/>
  <c r="V24" i="1"/>
  <c r="X24" i="1"/>
  <c r="Y24" i="1"/>
  <c r="Z24" i="1"/>
  <c r="AB24" i="1"/>
  <c r="AC24" i="1"/>
  <c r="V17" i="1"/>
  <c r="X17" i="1"/>
  <c r="Y17" i="1"/>
  <c r="Z17" i="1"/>
  <c r="AB17" i="1"/>
  <c r="AC17" i="1"/>
  <c r="V22" i="1"/>
  <c r="X22" i="1"/>
  <c r="Y22" i="1"/>
  <c r="Z22" i="1"/>
  <c r="AB22" i="1"/>
  <c r="AC22" i="1"/>
  <c r="V15" i="1"/>
  <c r="X15" i="1"/>
  <c r="Y15" i="1"/>
  <c r="Z15" i="1"/>
  <c r="AB15" i="1"/>
  <c r="AC15" i="1"/>
  <c r="V13" i="1"/>
  <c r="X13" i="1"/>
  <c r="Y13" i="1"/>
  <c r="Z13" i="1"/>
  <c r="AB13" i="1"/>
  <c r="AC13" i="1"/>
  <c r="V20" i="1"/>
  <c r="X20" i="1"/>
  <c r="Y20" i="1"/>
  <c r="Z20" i="1"/>
  <c r="AB20" i="1"/>
  <c r="AC20" i="1"/>
  <c r="V18" i="1"/>
  <c r="X18" i="1"/>
  <c r="Y18" i="1"/>
  <c r="Z18" i="1"/>
  <c r="AB18" i="1"/>
  <c r="AC18" i="1"/>
  <c r="V10" i="1"/>
  <c r="X10" i="1"/>
  <c r="Y10" i="1"/>
  <c r="Z10" i="1"/>
  <c r="AB10" i="1"/>
  <c r="AC10" i="1"/>
  <c r="V16" i="1"/>
  <c r="X16" i="1"/>
  <c r="Y16" i="1"/>
  <c r="Z16" i="1"/>
  <c r="AB16" i="1"/>
  <c r="AC16" i="1"/>
  <c r="V8" i="1"/>
  <c r="X8" i="1"/>
  <c r="Y8" i="1"/>
  <c r="Z8" i="1"/>
  <c r="AB8" i="1"/>
  <c r="AC8" i="1"/>
  <c r="V14" i="1"/>
  <c r="X14" i="1"/>
  <c r="Y14" i="1"/>
  <c r="Z14" i="1"/>
  <c r="AB14" i="1"/>
  <c r="AC14" i="1"/>
  <c r="V6" i="1"/>
  <c r="X6" i="1"/>
  <c r="Y6" i="1"/>
  <c r="Z6" i="1"/>
  <c r="AB6" i="1"/>
  <c r="AC6" i="1"/>
  <c r="V11" i="1"/>
  <c r="X11" i="1"/>
  <c r="Y11" i="1"/>
  <c r="Z11" i="1"/>
  <c r="AB11" i="1"/>
  <c r="AC11" i="1"/>
  <c r="V12" i="1"/>
  <c r="X12" i="1"/>
  <c r="Y12" i="1"/>
  <c r="Z12" i="1"/>
  <c r="AB12" i="1"/>
  <c r="AC12" i="1"/>
  <c r="V9" i="1"/>
  <c r="X9" i="1"/>
  <c r="Y9" i="1"/>
  <c r="Z9" i="1"/>
  <c r="AB9" i="1"/>
  <c r="AC9" i="1"/>
  <c r="V4" i="1"/>
  <c r="X4" i="1"/>
  <c r="Y4" i="1"/>
  <c r="Z4" i="1"/>
  <c r="AB4" i="1"/>
  <c r="AC4" i="1"/>
  <c r="V7" i="1"/>
  <c r="X7" i="1"/>
  <c r="Y7" i="1"/>
  <c r="Z7" i="1"/>
  <c r="AB7" i="1"/>
  <c r="AC7" i="1"/>
  <c r="V5" i="1"/>
  <c r="X5" i="1"/>
  <c r="Y5" i="1"/>
  <c r="Z5" i="1"/>
  <c r="AB5" i="1"/>
  <c r="AC5" i="1"/>
  <c r="V3" i="1"/>
  <c r="X3" i="1"/>
  <c r="Y3" i="1"/>
  <c r="Z3" i="1"/>
  <c r="AB3" i="1"/>
  <c r="AC3" i="1"/>
  <c r="V118" i="1"/>
  <c r="X118" i="1"/>
  <c r="Y118" i="1"/>
  <c r="Z118" i="1"/>
  <c r="AB118" i="1"/>
  <c r="AC118" i="1"/>
  <c r="V111" i="1"/>
  <c r="P36" i="3" s="1"/>
  <c r="Y111" i="1"/>
  <c r="Z111" i="1"/>
  <c r="AB111" i="1"/>
  <c r="AC111" i="1"/>
  <c r="V116" i="1"/>
  <c r="X116" i="1"/>
  <c r="Y116" i="1"/>
  <c r="Z116" i="1"/>
  <c r="AB116" i="1"/>
  <c r="AC116" i="1"/>
  <c r="AC109" i="1"/>
  <c r="V108" i="1"/>
  <c r="Y108" i="1"/>
  <c r="Z108" i="1"/>
  <c r="AB108" i="1"/>
  <c r="AC108" i="1"/>
  <c r="V114" i="1"/>
  <c r="X114" i="1"/>
  <c r="Y114" i="1"/>
  <c r="Z114" i="1"/>
  <c r="AB114" i="1"/>
  <c r="AC114" i="1"/>
  <c r="V112" i="1"/>
  <c r="X112" i="1"/>
  <c r="Y112" i="1"/>
  <c r="Z112" i="1"/>
  <c r="AB112" i="1"/>
  <c r="AC112" i="1"/>
  <c r="V106" i="1"/>
  <c r="Y106" i="1"/>
  <c r="Z106" i="1"/>
  <c r="AB106" i="1"/>
  <c r="AC106" i="1"/>
  <c r="V110" i="1"/>
  <c r="Y110" i="1"/>
  <c r="Z110" i="1"/>
  <c r="AB110" i="1"/>
  <c r="AC110" i="1"/>
  <c r="V104" i="1"/>
  <c r="X104" i="1"/>
  <c r="Y104" i="1"/>
  <c r="Z104" i="1"/>
  <c r="AB104" i="1"/>
  <c r="AC104" i="1"/>
  <c r="V107" i="1"/>
  <c r="Y107" i="1"/>
  <c r="Z107" i="1"/>
  <c r="AB107" i="1"/>
  <c r="AC107" i="1"/>
  <c r="V101" i="1"/>
  <c r="X101" i="1"/>
  <c r="Y101" i="1"/>
  <c r="Z101" i="1"/>
  <c r="AB101" i="1"/>
  <c r="AC101" i="1"/>
  <c r="V99" i="1"/>
  <c r="Y99" i="1"/>
  <c r="Z99" i="1"/>
  <c r="AB99" i="1"/>
  <c r="AC99" i="1"/>
  <c r="AC105" i="1"/>
  <c r="AC97" i="1"/>
  <c r="AC102" i="1"/>
  <c r="V103" i="1"/>
  <c r="Y103" i="1"/>
  <c r="Z103" i="1"/>
  <c r="AB103" i="1"/>
  <c r="AC103" i="1"/>
  <c r="V95" i="1"/>
  <c r="X95" i="1"/>
  <c r="Y95" i="1"/>
  <c r="Z95" i="1"/>
  <c r="AB95" i="1"/>
  <c r="AC95" i="1"/>
  <c r="V100" i="1"/>
  <c r="X100" i="1"/>
  <c r="Y100" i="1"/>
  <c r="Z100" i="1"/>
  <c r="AB100" i="1"/>
  <c r="AC100" i="1"/>
  <c r="V93" i="1"/>
  <c r="X93" i="1"/>
  <c r="Y93" i="1"/>
  <c r="Z93" i="1"/>
  <c r="AB93" i="1"/>
  <c r="AC93" i="1"/>
  <c r="V98" i="1"/>
  <c r="X98" i="1"/>
  <c r="Y98" i="1"/>
  <c r="Z98" i="1"/>
  <c r="AB98" i="1"/>
  <c r="AC98" i="1"/>
  <c r="V96" i="1"/>
  <c r="X96" i="1"/>
  <c r="Y96" i="1"/>
  <c r="Z96" i="1"/>
  <c r="AB96" i="1"/>
  <c r="AC96" i="1"/>
  <c r="V91" i="1"/>
  <c r="X91" i="1"/>
  <c r="Y91" i="1"/>
  <c r="Z91" i="1"/>
  <c r="AB91" i="1"/>
  <c r="AC91" i="1"/>
  <c r="V89" i="1"/>
  <c r="X89" i="1"/>
  <c r="Y89" i="1"/>
  <c r="Z89" i="1"/>
  <c r="AB89" i="1"/>
  <c r="AC89" i="1"/>
  <c r="V94" i="1"/>
  <c r="X94" i="1"/>
  <c r="Y94" i="1"/>
  <c r="Z94" i="1"/>
  <c r="AB94" i="1"/>
  <c r="AC94" i="1"/>
  <c r="V87" i="1"/>
  <c r="X87" i="1"/>
  <c r="Y87" i="1"/>
  <c r="Z87" i="1"/>
  <c r="AB87" i="1"/>
  <c r="AC87" i="1"/>
  <c r="V92" i="1"/>
  <c r="X92" i="1"/>
  <c r="Y92" i="1"/>
  <c r="Z92" i="1"/>
  <c r="AB92" i="1"/>
  <c r="AC92" i="1"/>
  <c r="V85" i="1"/>
  <c r="X85" i="1"/>
  <c r="Y85" i="1"/>
  <c r="Z85" i="1"/>
  <c r="AB85" i="1"/>
  <c r="AC85" i="1"/>
  <c r="V90" i="1"/>
  <c r="X90" i="1"/>
  <c r="Y90" i="1"/>
  <c r="Z90" i="1"/>
  <c r="AB90" i="1"/>
  <c r="AC90" i="1"/>
  <c r="V83" i="1"/>
  <c r="Y83" i="1"/>
  <c r="Z83" i="1"/>
  <c r="AB83" i="1"/>
  <c r="AC83" i="1"/>
  <c r="V88" i="1"/>
  <c r="X88" i="1"/>
  <c r="Y88" i="1"/>
  <c r="Z88" i="1"/>
  <c r="AB88" i="1"/>
  <c r="AC88" i="1"/>
  <c r="AC81" i="1"/>
  <c r="V86" i="1"/>
  <c r="X86" i="1"/>
  <c r="Y86" i="1"/>
  <c r="Z86" i="1"/>
  <c r="AB86" i="1"/>
  <c r="AC86" i="1"/>
  <c r="AC80" i="1"/>
  <c r="V84" i="1"/>
  <c r="Y84" i="1"/>
  <c r="Z84" i="1"/>
  <c r="AB84" i="1"/>
  <c r="AC84" i="1"/>
  <c r="AC82" i="1"/>
  <c r="V78" i="1"/>
  <c r="X78" i="1"/>
  <c r="Y78" i="1"/>
  <c r="Z78" i="1"/>
  <c r="AB78" i="1"/>
  <c r="AC78" i="1"/>
  <c r="V76" i="1"/>
  <c r="X76" i="1"/>
  <c r="Y76" i="1"/>
  <c r="Z76" i="1"/>
  <c r="AB76" i="1"/>
  <c r="AC76" i="1"/>
  <c r="V74" i="1"/>
  <c r="X74" i="1"/>
  <c r="Y74" i="1"/>
  <c r="Z74" i="1"/>
  <c r="AB74" i="1"/>
  <c r="AC74" i="1"/>
  <c r="V79" i="1"/>
  <c r="Y79" i="1"/>
  <c r="Z79" i="1"/>
  <c r="AB79" i="1"/>
  <c r="AC79" i="1"/>
  <c r="V71" i="1"/>
  <c r="X71" i="1"/>
  <c r="Y71" i="1"/>
  <c r="Z71" i="1"/>
  <c r="AB71" i="1"/>
  <c r="AC71" i="1"/>
  <c r="V77" i="1"/>
  <c r="X77" i="1"/>
  <c r="Y77" i="1"/>
  <c r="Z77" i="1"/>
  <c r="AB77" i="1"/>
  <c r="AC77" i="1"/>
  <c r="V69" i="1"/>
  <c r="X69" i="1"/>
  <c r="Y69" i="1"/>
  <c r="Z69" i="1"/>
  <c r="AB69" i="1"/>
  <c r="AC69" i="1"/>
  <c r="V75" i="1"/>
  <c r="X75" i="1"/>
  <c r="Y75" i="1"/>
  <c r="Z75" i="1"/>
  <c r="AB75" i="1"/>
  <c r="AC75" i="1"/>
  <c r="V72" i="1"/>
  <c r="X72" i="1"/>
  <c r="Y72" i="1"/>
  <c r="Z72" i="1"/>
  <c r="AB72" i="1"/>
  <c r="AC72" i="1"/>
  <c r="V67" i="1"/>
  <c r="X67" i="1"/>
  <c r="Y67" i="1"/>
  <c r="Z67" i="1"/>
  <c r="AB67" i="1"/>
  <c r="AC67" i="1"/>
  <c r="V65" i="1"/>
  <c r="X65" i="1"/>
  <c r="Y65" i="1"/>
  <c r="Z65" i="1"/>
  <c r="AB65" i="1"/>
  <c r="AC65" i="1"/>
  <c r="V73" i="1"/>
  <c r="X73" i="1"/>
  <c r="Y73" i="1"/>
  <c r="Z73" i="1"/>
  <c r="AB73" i="1"/>
  <c r="AC73" i="1"/>
  <c r="V147" i="1"/>
  <c r="X147" i="1"/>
  <c r="Y147" i="1"/>
  <c r="Z147" i="1"/>
  <c r="AB147" i="1"/>
  <c r="AC147" i="1"/>
  <c r="V145" i="1"/>
  <c r="X145" i="1"/>
  <c r="Y145" i="1"/>
  <c r="Z145" i="1"/>
  <c r="AB145" i="1"/>
  <c r="AC145" i="1"/>
  <c r="V143" i="1"/>
  <c r="X143" i="1"/>
  <c r="Y143" i="1"/>
  <c r="Z143" i="1"/>
  <c r="AB143" i="1"/>
  <c r="AC143" i="1"/>
  <c r="V146" i="1"/>
  <c r="X146" i="1"/>
  <c r="Y146" i="1"/>
  <c r="Z146" i="1"/>
  <c r="AB146" i="1"/>
  <c r="AC146" i="1"/>
  <c r="V144" i="1"/>
  <c r="X144" i="1"/>
  <c r="Y144" i="1"/>
  <c r="Z144" i="1"/>
  <c r="AB144" i="1"/>
  <c r="AC144" i="1"/>
  <c r="V141" i="1"/>
  <c r="X141" i="1"/>
  <c r="Y141" i="1"/>
  <c r="Z141" i="1"/>
  <c r="AB141" i="1"/>
  <c r="AC141" i="1"/>
  <c r="V142" i="1"/>
  <c r="X142" i="1"/>
  <c r="Y142" i="1"/>
  <c r="Z142" i="1"/>
  <c r="AB142" i="1"/>
  <c r="AC142" i="1"/>
  <c r="V139" i="1"/>
  <c r="X139" i="1"/>
  <c r="Y139" i="1"/>
  <c r="Z139" i="1"/>
  <c r="AB139" i="1"/>
  <c r="AC139" i="1"/>
  <c r="V137" i="1"/>
  <c r="X137" i="1"/>
  <c r="Y137" i="1"/>
  <c r="Z137" i="1"/>
  <c r="AB137" i="1"/>
  <c r="AC137" i="1"/>
  <c r="V140" i="1"/>
  <c r="X140" i="1"/>
  <c r="Y140" i="1"/>
  <c r="Z140" i="1"/>
  <c r="AB140" i="1"/>
  <c r="AC140" i="1"/>
  <c r="V138" i="1"/>
  <c r="X138" i="1"/>
  <c r="Y138" i="1"/>
  <c r="Z138" i="1"/>
  <c r="AB138" i="1"/>
  <c r="AC138" i="1"/>
  <c r="V135" i="1"/>
  <c r="X135" i="1"/>
  <c r="Y135" i="1"/>
  <c r="Z135" i="1"/>
  <c r="AB135" i="1"/>
  <c r="AC135" i="1"/>
  <c r="V136" i="1"/>
  <c r="Y136" i="1"/>
  <c r="Z136" i="1"/>
  <c r="AB136" i="1"/>
  <c r="AC136" i="1"/>
  <c r="V133" i="1"/>
  <c r="Y133" i="1"/>
  <c r="Z133" i="1"/>
  <c r="AB133" i="1"/>
  <c r="AC133" i="1"/>
  <c r="AC134" i="1"/>
  <c r="AC131" i="1"/>
  <c r="V129" i="1"/>
  <c r="X129" i="1"/>
  <c r="Y129" i="1"/>
  <c r="Z129" i="1"/>
  <c r="AB129" i="1"/>
  <c r="AC129" i="1"/>
  <c r="V132" i="1"/>
  <c r="X132" i="1"/>
  <c r="Y132" i="1"/>
  <c r="Z132" i="1"/>
  <c r="AB132" i="1"/>
  <c r="AC132" i="1"/>
  <c r="V130" i="1"/>
  <c r="X130" i="1"/>
  <c r="Y130" i="1"/>
  <c r="Z130" i="1"/>
  <c r="AB130" i="1"/>
  <c r="AC130" i="1"/>
  <c r="V127" i="1"/>
  <c r="X127" i="1"/>
  <c r="Y127" i="1"/>
  <c r="Z127" i="1"/>
  <c r="AB127" i="1"/>
  <c r="AC127" i="1"/>
  <c r="V128" i="1"/>
  <c r="X128" i="1"/>
  <c r="Y128" i="1"/>
  <c r="Z128" i="1"/>
  <c r="AB128" i="1"/>
  <c r="AC128" i="1"/>
  <c r="V125" i="1"/>
  <c r="X125" i="1"/>
  <c r="Y125" i="1"/>
  <c r="Z125" i="1"/>
  <c r="AB125" i="1"/>
  <c r="AC125" i="1"/>
  <c r="V123" i="1"/>
  <c r="X123" i="1"/>
  <c r="Y123" i="1"/>
  <c r="Z123" i="1"/>
  <c r="AB123" i="1"/>
  <c r="AC123" i="1"/>
  <c r="V126" i="1"/>
  <c r="X126" i="1"/>
  <c r="Y126" i="1"/>
  <c r="Z126" i="1"/>
  <c r="AB126" i="1"/>
  <c r="AC126" i="1"/>
  <c r="V124" i="1"/>
  <c r="X124" i="1"/>
  <c r="Y124" i="1"/>
  <c r="Z124" i="1"/>
  <c r="AB124" i="1"/>
  <c r="AC124" i="1"/>
  <c r="V121" i="1"/>
  <c r="X121" i="1"/>
  <c r="Y121" i="1"/>
  <c r="Z121" i="1"/>
  <c r="AB121" i="1"/>
  <c r="AC121" i="1"/>
  <c r="V119" i="1"/>
  <c r="X119" i="1"/>
  <c r="Y119" i="1"/>
  <c r="Z119" i="1"/>
  <c r="AB119" i="1"/>
  <c r="AC119" i="1"/>
  <c r="V117" i="1"/>
  <c r="X117" i="1"/>
  <c r="Y117" i="1"/>
  <c r="Z117" i="1"/>
  <c r="AB117" i="1"/>
  <c r="AC117" i="1"/>
  <c r="V122" i="1"/>
  <c r="X122" i="1"/>
  <c r="Y122" i="1"/>
  <c r="Z122" i="1"/>
  <c r="AB122" i="1"/>
  <c r="AC122" i="1"/>
  <c r="V115" i="1"/>
  <c r="X115" i="1"/>
  <c r="Y115" i="1"/>
  <c r="Z115" i="1"/>
  <c r="AB115" i="1"/>
  <c r="AC115" i="1"/>
  <c r="V120" i="1"/>
  <c r="X120" i="1"/>
  <c r="Y120" i="1"/>
  <c r="Z120" i="1"/>
  <c r="AB120" i="1"/>
  <c r="AC120" i="1"/>
  <c r="V113" i="1"/>
  <c r="X113" i="1"/>
  <c r="Y113" i="1"/>
  <c r="AA113" i="1" s="1"/>
  <c r="AB113" i="1"/>
  <c r="AC113" i="1"/>
  <c r="V63" i="1"/>
  <c r="X63" i="1"/>
  <c r="Y63" i="1"/>
  <c r="Z63" i="1"/>
  <c r="AB63" i="1"/>
  <c r="AC63" i="1"/>
  <c r="V68" i="1"/>
  <c r="X68" i="1"/>
  <c r="Y68" i="1"/>
  <c r="Z68" i="1"/>
  <c r="AB68" i="1"/>
  <c r="AC68" i="1"/>
  <c r="V61" i="1"/>
  <c r="X61" i="1"/>
  <c r="Y61" i="1"/>
  <c r="Z61" i="1"/>
  <c r="AB61" i="1"/>
  <c r="AC61" i="1"/>
  <c r="V66" i="1"/>
  <c r="X66" i="1"/>
  <c r="Y66" i="1"/>
  <c r="Z66" i="1"/>
  <c r="AB66" i="1"/>
  <c r="AC66" i="1"/>
  <c r="V59" i="1"/>
  <c r="X59" i="1"/>
  <c r="Y59" i="1"/>
  <c r="Z59" i="1"/>
  <c r="AB59" i="1"/>
  <c r="AC59" i="1"/>
  <c r="V64" i="1"/>
  <c r="X64" i="1"/>
  <c r="Y64" i="1"/>
  <c r="Z64" i="1"/>
  <c r="AB64" i="1"/>
  <c r="AC64" i="1"/>
  <c r="V57" i="1"/>
  <c r="Y57" i="1"/>
  <c r="Z57" i="1"/>
  <c r="AB57" i="1"/>
  <c r="AC57" i="1"/>
  <c r="V62" i="1"/>
  <c r="Y62" i="1"/>
  <c r="Z62" i="1"/>
  <c r="AB62" i="1"/>
  <c r="AC62" i="1"/>
  <c r="V55" i="1"/>
  <c r="Y55" i="1"/>
  <c r="Z55" i="1"/>
  <c r="AB55" i="1"/>
  <c r="AC55" i="1"/>
  <c r="V60" i="1"/>
  <c r="Y60" i="1"/>
  <c r="Z60" i="1"/>
  <c r="AB60" i="1"/>
  <c r="AC60" i="1"/>
  <c r="L8" i="3"/>
  <c r="L28" i="3"/>
  <c r="L7" i="3"/>
  <c r="L15" i="3"/>
  <c r="L39" i="3"/>
  <c r="L36" i="3"/>
  <c r="L38" i="3"/>
  <c r="L12" i="3"/>
  <c r="L50" i="3"/>
  <c r="L53" i="3"/>
  <c r="L52" i="3"/>
  <c r="L33" i="3"/>
  <c r="L57" i="3"/>
  <c r="L58" i="3"/>
  <c r="L47" i="3"/>
  <c r="L27" i="3"/>
  <c r="L46" i="3"/>
  <c r="L40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L59" i="3"/>
  <c r="L5" i="3"/>
  <c r="L54" i="3"/>
  <c r="L19" i="3"/>
  <c r="L16" i="3"/>
  <c r="L24" i="3"/>
  <c r="L55" i="3"/>
  <c r="L29" i="3"/>
  <c r="L34" i="3"/>
  <c r="L26" i="3"/>
  <c r="L22" i="3"/>
  <c r="L60" i="3"/>
  <c r="L3" i="3"/>
  <c r="L11" i="3"/>
  <c r="L37" i="3"/>
  <c r="L35" i="3"/>
  <c r="L6" i="3"/>
  <c r="L49" i="3"/>
  <c r="L23" i="3"/>
  <c r="L25" i="3"/>
  <c r="L42" i="3"/>
  <c r="L41" i="3"/>
  <c r="L51" i="3"/>
  <c r="L13" i="3"/>
  <c r="L18" i="3"/>
  <c r="L14" i="3"/>
  <c r="L48" i="3"/>
  <c r="L30" i="3"/>
  <c r="L31" i="3"/>
  <c r="L56" i="3"/>
  <c r="L20" i="3"/>
  <c r="L43" i="3"/>
  <c r="L45" i="3"/>
  <c r="L21" i="3"/>
  <c r="L10" i="3"/>
  <c r="L9" i="3"/>
  <c r="L44" i="3"/>
  <c r="L32" i="3"/>
  <c r="L4" i="3"/>
  <c r="AA51" i="1" l="1"/>
  <c r="W51" i="1" s="1"/>
  <c r="AA117" i="1"/>
  <c r="W117" i="1" s="1"/>
  <c r="AA43" i="1"/>
  <c r="W43" i="1" s="1"/>
  <c r="AA85" i="1"/>
  <c r="W85" i="1" s="1"/>
  <c r="AA89" i="1"/>
  <c r="W89" i="1" s="1"/>
  <c r="P56" i="3"/>
  <c r="AA30" i="1"/>
  <c r="W30" i="1" s="1"/>
  <c r="P59" i="3"/>
  <c r="P27" i="3"/>
  <c r="P57" i="3"/>
  <c r="P7" i="3"/>
  <c r="P55" i="3"/>
  <c r="P52" i="3"/>
  <c r="P33" i="3"/>
  <c r="P19" i="3"/>
  <c r="P28" i="3"/>
  <c r="P44" i="3"/>
  <c r="P42" i="3"/>
  <c r="P31" i="3"/>
  <c r="P34" i="3"/>
  <c r="P37" i="3"/>
  <c r="AA142" i="1"/>
  <c r="W142" i="1" s="1"/>
  <c r="AA88" i="1"/>
  <c r="W88" i="1" s="1"/>
  <c r="AA92" i="1"/>
  <c r="W92" i="1" s="1"/>
  <c r="AA100" i="1"/>
  <c r="W100" i="1" s="1"/>
  <c r="AA35" i="1"/>
  <c r="W35" i="1" s="1"/>
  <c r="AA58" i="1"/>
  <c r="W58" i="1" s="1"/>
  <c r="P17" i="3"/>
  <c r="AA50" i="1"/>
  <c r="W50" i="1" s="1"/>
  <c r="P58" i="3"/>
  <c r="AA126" i="1"/>
  <c r="W126" i="1" s="1"/>
  <c r="AA131" i="1"/>
  <c r="W131" i="1" s="1"/>
  <c r="AA116" i="1"/>
  <c r="W116" i="1" s="1"/>
  <c r="AA60" i="1"/>
  <c r="W60" i="1" s="1"/>
  <c r="AA136" i="1"/>
  <c r="W136" i="1" s="1"/>
  <c r="AA143" i="1"/>
  <c r="W143" i="1" s="1"/>
  <c r="AA79" i="1"/>
  <c r="W79" i="1" s="1"/>
  <c r="AA61" i="1"/>
  <c r="W61" i="1" s="1"/>
  <c r="AA128" i="1"/>
  <c r="W128" i="1" s="1"/>
  <c r="AA4" i="1"/>
  <c r="W4" i="1" s="1"/>
  <c r="AA15" i="1"/>
  <c r="W15" i="1" s="1"/>
  <c r="AA69" i="1"/>
  <c r="W69" i="1" s="1"/>
  <c r="AA102" i="1"/>
  <c r="W102" i="1" s="1"/>
  <c r="P46" i="3"/>
  <c r="AA135" i="1"/>
  <c r="W135" i="1" s="1"/>
  <c r="P51" i="3"/>
  <c r="AA14" i="1"/>
  <c r="W14" i="1" s="1"/>
  <c r="AA45" i="1"/>
  <c r="W45" i="1" s="1"/>
  <c r="AA77" i="1"/>
  <c r="W77" i="1" s="1"/>
  <c r="AA41" i="1"/>
  <c r="W41" i="1" s="1"/>
  <c r="AA112" i="1"/>
  <c r="W112" i="1" s="1"/>
  <c r="AA53" i="1"/>
  <c r="W53" i="1" s="1"/>
  <c r="P38" i="3"/>
  <c r="AA8" i="1"/>
  <c r="W8" i="1" s="1"/>
  <c r="AA66" i="1"/>
  <c r="W66" i="1" s="1"/>
  <c r="AA115" i="1"/>
  <c r="W115" i="1" s="1"/>
  <c r="AA37" i="1"/>
  <c r="W37" i="1" s="1"/>
  <c r="AA63" i="1"/>
  <c r="W63" i="1" s="1"/>
  <c r="AA119" i="1"/>
  <c r="W119" i="1" s="1"/>
  <c r="P43" i="3"/>
  <c r="AA39" i="1"/>
  <c r="W39" i="1" s="1"/>
  <c r="AA137" i="1"/>
  <c r="W137" i="1" s="1"/>
  <c r="AA47" i="1"/>
  <c r="W47" i="1" s="1"/>
  <c r="P45" i="3"/>
  <c r="P11" i="3"/>
  <c r="AA59" i="1"/>
  <c r="W59" i="1" s="1"/>
  <c r="AA11" i="1"/>
  <c r="W11" i="1" s="1"/>
  <c r="AA24" i="1"/>
  <c r="W24" i="1" s="1"/>
  <c r="AA56" i="1"/>
  <c r="W56" i="1" s="1"/>
  <c r="P14" i="3"/>
  <c r="AA36" i="1"/>
  <c r="W36" i="1" s="1"/>
  <c r="AA101" i="1"/>
  <c r="W101" i="1" s="1"/>
  <c r="AA10" i="1"/>
  <c r="W10" i="1" s="1"/>
  <c r="AA46" i="1"/>
  <c r="W46" i="1" s="1"/>
  <c r="AA52" i="1"/>
  <c r="W52" i="1" s="1"/>
  <c r="AA32" i="1"/>
  <c r="W32" i="1" s="1"/>
  <c r="P47" i="3"/>
  <c r="AA48" i="1"/>
  <c r="W48" i="1" s="1"/>
  <c r="P60" i="3"/>
  <c r="AA23" i="1"/>
  <c r="W23" i="1" s="1"/>
  <c r="P15" i="3"/>
  <c r="P32" i="3"/>
  <c r="P9" i="3"/>
  <c r="P12" i="3"/>
  <c r="P35" i="3"/>
  <c r="AA120" i="1"/>
  <c r="W120" i="1" s="1"/>
  <c r="P53" i="3"/>
  <c r="P3" i="3"/>
  <c r="P41" i="3"/>
  <c r="AA130" i="1"/>
  <c r="W130" i="1" s="1"/>
  <c r="AA44" i="1"/>
  <c r="W44" i="1" s="1"/>
  <c r="AA125" i="1"/>
  <c r="W125" i="1" s="1"/>
  <c r="AA132" i="1"/>
  <c r="W132" i="1" s="1"/>
  <c r="AA19" i="1"/>
  <c r="W19" i="1" s="1"/>
  <c r="AA83" i="1"/>
  <c r="W83" i="1" s="1"/>
  <c r="AA104" i="1"/>
  <c r="W104" i="1" s="1"/>
  <c r="AA114" i="1"/>
  <c r="W114" i="1" s="1"/>
  <c r="AA98" i="1"/>
  <c r="W98" i="1" s="1"/>
  <c r="AA62" i="1"/>
  <c r="W62" i="1" s="1"/>
  <c r="P13" i="3"/>
  <c r="P49" i="3"/>
  <c r="AA27" i="1"/>
  <c r="W27" i="1" s="1"/>
  <c r="AA3" i="1"/>
  <c r="W3" i="1" s="1"/>
  <c r="AA95" i="1"/>
  <c r="W95" i="1" s="1"/>
  <c r="P6" i="3"/>
  <c r="P4" i="3"/>
  <c r="AA42" i="1"/>
  <c r="W42" i="1" s="1"/>
  <c r="AA55" i="1"/>
  <c r="W55" i="1" s="1"/>
  <c r="AA140" i="1"/>
  <c r="W140" i="1" s="1"/>
  <c r="AA141" i="1"/>
  <c r="W141" i="1" s="1"/>
  <c r="P18" i="3"/>
  <c r="P5" i="3"/>
  <c r="P30" i="3"/>
  <c r="P29" i="3"/>
  <c r="P16" i="3"/>
  <c r="P10" i="3"/>
  <c r="AA18" i="1"/>
  <c r="W18" i="1" s="1"/>
  <c r="AA12" i="1"/>
  <c r="W12" i="1" s="1"/>
  <c r="AA123" i="1"/>
  <c r="W123" i="1" s="1"/>
  <c r="AA20" i="1"/>
  <c r="W20" i="1" s="1"/>
  <c r="AA17" i="1"/>
  <c r="W17" i="1" s="1"/>
  <c r="P8" i="3"/>
  <c r="AA73" i="1"/>
  <c r="W73" i="1" s="1"/>
  <c r="AA72" i="1"/>
  <c r="W72" i="1" s="1"/>
  <c r="P39" i="3"/>
  <c r="AA78" i="1"/>
  <c r="W78" i="1" s="1"/>
  <c r="AA25" i="1"/>
  <c r="W25" i="1" s="1"/>
  <c r="AA75" i="1"/>
  <c r="W75" i="1" s="1"/>
  <c r="AA64" i="1"/>
  <c r="W64" i="1" s="1"/>
  <c r="AA67" i="1"/>
  <c r="W67" i="1" s="1"/>
  <c r="AA54" i="1"/>
  <c r="W54" i="1" s="1"/>
  <c r="AA5" i="1"/>
  <c r="W5" i="1" s="1"/>
  <c r="AA110" i="1"/>
  <c r="W110" i="1" s="1"/>
  <c r="AA138" i="1"/>
  <c r="W138" i="1" s="1"/>
  <c r="AA147" i="1"/>
  <c r="W147" i="1" s="1"/>
  <c r="AA96" i="1"/>
  <c r="W96" i="1" s="1"/>
  <c r="AA34" i="1"/>
  <c r="W34" i="1" s="1"/>
  <c r="AA49" i="1"/>
  <c r="W49" i="1" s="1"/>
  <c r="AA57" i="1"/>
  <c r="W57" i="1" s="1"/>
  <c r="AA65" i="1"/>
  <c r="W65" i="1" s="1"/>
  <c r="AA68" i="1"/>
  <c r="W68" i="1" s="1"/>
  <c r="AA86" i="1"/>
  <c r="W86" i="1" s="1"/>
  <c r="AA111" i="1"/>
  <c r="W111" i="1" s="1"/>
  <c r="AA7" i="1"/>
  <c r="W7" i="1" s="1"/>
  <c r="AA93" i="1"/>
  <c r="W93" i="1" s="1"/>
  <c r="AA74" i="1"/>
  <c r="W74" i="1" s="1"/>
  <c r="AA139" i="1"/>
  <c r="W139" i="1" s="1"/>
  <c r="AA16" i="1"/>
  <c r="W16" i="1" s="1"/>
  <c r="AA13" i="1"/>
  <c r="W13" i="1" s="1"/>
  <c r="AA33" i="1"/>
  <c r="W33" i="1" s="1"/>
  <c r="AA144" i="1"/>
  <c r="W144" i="1" s="1"/>
  <c r="AA21" i="1"/>
  <c r="W21" i="1" s="1"/>
  <c r="AA71" i="1"/>
  <c r="W71" i="1" s="1"/>
  <c r="AA31" i="1"/>
  <c r="W31" i="1" s="1"/>
  <c r="AA28" i="1"/>
  <c r="W28" i="1" s="1"/>
  <c r="W113" i="1"/>
  <c r="AA106" i="1"/>
  <c r="W106" i="1" s="1"/>
  <c r="AA107" i="1"/>
  <c r="W107" i="1" s="1"/>
  <c r="AA87" i="1"/>
  <c r="W87" i="1" s="1"/>
  <c r="AA146" i="1"/>
  <c r="W146" i="1" s="1"/>
  <c r="AA22" i="1"/>
  <c r="W22" i="1" s="1"/>
  <c r="AA26" i="1"/>
  <c r="W26" i="1" s="1"/>
  <c r="AA90" i="1"/>
  <c r="W90" i="1" s="1"/>
  <c r="AA94" i="1"/>
  <c r="W94" i="1" s="1"/>
  <c r="AA84" i="1"/>
  <c r="W84" i="1" s="1"/>
  <c r="AA38" i="1"/>
  <c r="W38" i="1" s="1"/>
  <c r="AA6" i="1"/>
  <c r="W6" i="1" s="1"/>
  <c r="AA127" i="1"/>
  <c r="W127" i="1" s="1"/>
  <c r="AA9" i="1"/>
  <c r="W9" i="1" s="1"/>
  <c r="AA121" i="1"/>
  <c r="W121" i="1" s="1"/>
  <c r="AA129" i="1"/>
  <c r="W129" i="1" s="1"/>
  <c r="AA91" i="1"/>
  <c r="W91" i="1" s="1"/>
  <c r="AA40" i="1"/>
  <c r="W40" i="1" s="1"/>
  <c r="P50" i="3"/>
  <c r="AA103" i="1"/>
  <c r="W103" i="1" s="1"/>
  <c r="AA99" i="1"/>
  <c r="W99" i="1" s="1"/>
  <c r="P48" i="3"/>
  <c r="AA29" i="1"/>
  <c r="W29" i="1" s="1"/>
  <c r="AA76" i="1"/>
  <c r="W76" i="1" s="1"/>
  <c r="AA133" i="1"/>
  <c r="W133" i="1" s="1"/>
  <c r="AA145" i="1"/>
  <c r="W145" i="1" s="1"/>
  <c r="AA122" i="1"/>
  <c r="W122" i="1" s="1"/>
  <c r="AA124" i="1"/>
  <c r="W124" i="1" s="1"/>
  <c r="AA108" i="1"/>
  <c r="W108" i="1" s="1"/>
  <c r="AA118" i="1"/>
  <c r="W118" i="1" s="1"/>
  <c r="X70" i="1"/>
  <c r="K130" i="1" l="1"/>
  <c r="L130" i="1"/>
  <c r="M130" i="1"/>
  <c r="N130" i="1" s="1"/>
  <c r="K131" i="1"/>
  <c r="L131" i="1"/>
  <c r="M131" i="1"/>
  <c r="N131" i="1" s="1"/>
  <c r="K147" i="1"/>
  <c r="L147" i="1"/>
  <c r="M147" i="1"/>
  <c r="N147" i="1" s="1"/>
  <c r="K76" i="1"/>
  <c r="L76" i="1"/>
  <c r="M76" i="1"/>
  <c r="N76" i="1" s="1"/>
  <c r="K74" i="1"/>
  <c r="L74" i="1"/>
  <c r="M74" i="1"/>
  <c r="N74" i="1" s="1"/>
  <c r="K108" i="1"/>
  <c r="L108" i="1"/>
  <c r="M108" i="1"/>
  <c r="N108" i="1" s="1"/>
  <c r="K13" i="1"/>
  <c r="L13" i="1"/>
  <c r="M13" i="1"/>
  <c r="N13" i="1" s="1"/>
  <c r="K56" i="1" l="1"/>
  <c r="L56" i="1"/>
  <c r="M56" i="1"/>
  <c r="N56" i="1" s="1"/>
  <c r="K49" i="1"/>
  <c r="L49" i="1"/>
  <c r="M49" i="1"/>
  <c r="N49" i="1" s="1"/>
  <c r="K54" i="1"/>
  <c r="L54" i="1"/>
  <c r="M54" i="1"/>
  <c r="N54" i="1" s="1"/>
  <c r="K47" i="1"/>
  <c r="L47" i="1"/>
  <c r="M47" i="1"/>
  <c r="N47" i="1" s="1"/>
  <c r="K42" i="1"/>
  <c r="L42" i="1"/>
  <c r="M42" i="1"/>
  <c r="N42" i="1" s="1"/>
  <c r="K35" i="1"/>
  <c r="L35" i="1"/>
  <c r="M35" i="1"/>
  <c r="N35" i="1" s="1"/>
  <c r="K40" i="1"/>
  <c r="L40" i="1"/>
  <c r="M40" i="1"/>
  <c r="N40" i="1" s="1"/>
  <c r="K33" i="1"/>
  <c r="L33" i="1"/>
  <c r="M33" i="1"/>
  <c r="N33" i="1" s="1"/>
  <c r="E4" i="6" l="1"/>
  <c r="E5" i="6"/>
  <c r="E6" i="6"/>
  <c r="E7" i="6"/>
  <c r="E8" i="6"/>
  <c r="E9" i="6"/>
  <c r="E10" i="6"/>
  <c r="E11" i="6"/>
  <c r="E12" i="6"/>
  <c r="E13" i="6"/>
  <c r="E14" i="6"/>
  <c r="E3" i="6"/>
  <c r="Y70" i="1" l="1"/>
  <c r="Z70" i="1"/>
  <c r="AB70" i="1"/>
  <c r="K36" i="1"/>
  <c r="L36" i="1"/>
  <c r="M36" i="1"/>
  <c r="N36" i="1" s="1"/>
  <c r="K29" i="1"/>
  <c r="L29" i="1"/>
  <c r="M29" i="1"/>
  <c r="N29" i="1" s="1"/>
  <c r="K34" i="1"/>
  <c r="L34" i="1"/>
  <c r="M34" i="1"/>
  <c r="N34" i="1" s="1"/>
  <c r="K27" i="1"/>
  <c r="L27" i="1"/>
  <c r="M27" i="1"/>
  <c r="N27" i="1" s="1"/>
  <c r="V70" i="1"/>
  <c r="K61" i="1"/>
  <c r="L61" i="1"/>
  <c r="M61" i="1"/>
  <c r="N61" i="1" s="1"/>
  <c r="K70" i="1"/>
  <c r="L70" i="1"/>
  <c r="M70" i="1"/>
  <c r="N70" i="1" s="1"/>
  <c r="K68" i="1"/>
  <c r="L68" i="1"/>
  <c r="M68" i="1"/>
  <c r="N68" i="1" s="1"/>
  <c r="P40" i="3" l="1"/>
  <c r="P54" i="3"/>
  <c r="AA70" i="1"/>
  <c r="W70" i="1" s="1"/>
  <c r="L102" i="1"/>
  <c r="L89" i="1"/>
  <c r="L113" i="1"/>
  <c r="K102" i="1"/>
  <c r="K89" i="1"/>
  <c r="K113" i="1"/>
  <c r="M89" i="1"/>
  <c r="N89" i="1" s="1"/>
  <c r="M113" i="1"/>
  <c r="N113" i="1" s="1"/>
  <c r="M102" i="1"/>
  <c r="AC70" i="1"/>
  <c r="M25" i="1" l="1"/>
  <c r="N25" i="1" s="1"/>
  <c r="M30" i="1"/>
  <c r="N30" i="1" s="1"/>
  <c r="K25" i="1"/>
  <c r="K30" i="1"/>
  <c r="L25" i="1"/>
  <c r="L30" i="1"/>
  <c r="Q21" i="3"/>
  <c r="Q22" i="3"/>
  <c r="Q23" i="3"/>
  <c r="Q24" i="3"/>
  <c r="L17" i="3"/>
  <c r="Q25" i="3"/>
  <c r="Q26" i="3"/>
  <c r="K58" i="1" l="1"/>
  <c r="L58" i="1"/>
  <c r="M58" i="1"/>
  <c r="N58" i="1" s="1"/>
  <c r="K51" i="1"/>
  <c r="L51" i="1"/>
  <c r="M51" i="1"/>
  <c r="N51" i="1" s="1"/>
  <c r="P24" i="3"/>
  <c r="K103" i="1"/>
  <c r="L103" i="1"/>
  <c r="M103" i="1"/>
  <c r="P102" i="1" s="1"/>
  <c r="K95" i="1"/>
  <c r="L95" i="1"/>
  <c r="M95" i="1"/>
  <c r="N95" i="1" s="1"/>
  <c r="K100" i="1"/>
  <c r="L100" i="1"/>
  <c r="M100" i="1"/>
  <c r="N100" i="1" s="1"/>
  <c r="K93" i="1"/>
  <c r="L93" i="1"/>
  <c r="M93" i="1"/>
  <c r="N93" i="1" s="1"/>
  <c r="K98" i="1"/>
  <c r="L98" i="1"/>
  <c r="M98" i="1"/>
  <c r="N98" i="1" s="1"/>
  <c r="K96" i="1"/>
  <c r="L96" i="1"/>
  <c r="M96" i="1"/>
  <c r="N96" i="1" s="1"/>
  <c r="K91" i="1"/>
  <c r="L91" i="1"/>
  <c r="M91" i="1"/>
  <c r="N91" i="1" s="1"/>
  <c r="K94" i="1"/>
  <c r="L94" i="1"/>
  <c r="M94" i="1"/>
  <c r="N94" i="1" s="1"/>
  <c r="K87" i="1"/>
  <c r="L87" i="1"/>
  <c r="M87" i="1"/>
  <c r="N87" i="1" s="1"/>
  <c r="K92" i="1"/>
  <c r="L92" i="1"/>
  <c r="M92" i="1"/>
  <c r="P92" i="1" s="1"/>
  <c r="K85" i="1"/>
  <c r="L85" i="1"/>
  <c r="M85" i="1"/>
  <c r="N85" i="1" s="1"/>
  <c r="K90" i="1"/>
  <c r="L90" i="1"/>
  <c r="M90" i="1"/>
  <c r="N90" i="1" s="1"/>
  <c r="K83" i="1"/>
  <c r="L83" i="1"/>
  <c r="M83" i="1"/>
  <c r="N83" i="1" s="1"/>
  <c r="K88" i="1"/>
  <c r="L88" i="1"/>
  <c r="M88" i="1"/>
  <c r="N88" i="1" s="1"/>
  <c r="K81" i="1"/>
  <c r="L81" i="1"/>
  <c r="M81" i="1"/>
  <c r="N81" i="1" s="1"/>
  <c r="K80" i="1"/>
  <c r="L80" i="1"/>
  <c r="M80" i="1"/>
  <c r="N80" i="1" s="1"/>
  <c r="K86" i="1"/>
  <c r="L86" i="1"/>
  <c r="M86" i="1"/>
  <c r="N86" i="1" s="1"/>
  <c r="K84" i="1"/>
  <c r="L84" i="1"/>
  <c r="M84" i="1"/>
  <c r="N84" i="1" s="1"/>
  <c r="P26" i="3" l="1"/>
  <c r="P25" i="3"/>
  <c r="K77" i="1" l="1"/>
  <c r="L77" i="1"/>
  <c r="M77" i="1"/>
  <c r="N77" i="1" s="1"/>
  <c r="K66" i="1"/>
  <c r="L66" i="1"/>
  <c r="M66" i="1"/>
  <c r="N66" i="1" s="1"/>
  <c r="K59" i="1"/>
  <c r="L59" i="1"/>
  <c r="M59" i="1"/>
  <c r="P59" i="1" s="1"/>
  <c r="K64" i="1"/>
  <c r="L64" i="1"/>
  <c r="M64" i="1"/>
  <c r="N64" i="1" s="1"/>
  <c r="K62" i="1"/>
  <c r="L62" i="1"/>
  <c r="M62" i="1"/>
  <c r="N62" i="1" s="1"/>
  <c r="K57" i="1"/>
  <c r="L57" i="1"/>
  <c r="M57" i="1"/>
  <c r="N57" i="1" s="1"/>
  <c r="K55" i="1"/>
  <c r="L55" i="1"/>
  <c r="M55" i="1"/>
  <c r="N55" i="1" s="1"/>
  <c r="P21" i="3"/>
  <c r="K53" i="1"/>
  <c r="L53" i="1"/>
  <c r="M53" i="1"/>
  <c r="N53" i="1" s="1"/>
  <c r="K60" i="1"/>
  <c r="L60" i="1"/>
  <c r="M60" i="1"/>
  <c r="N60" i="1" s="1"/>
  <c r="K38" i="1"/>
  <c r="L38" i="1"/>
  <c r="M38" i="1"/>
  <c r="N38" i="1" s="1"/>
  <c r="K31" i="1"/>
  <c r="L31" i="1"/>
  <c r="M31" i="1"/>
  <c r="N31" i="1" s="1"/>
  <c r="K32" i="1"/>
  <c r="L32" i="1"/>
  <c r="M32" i="1"/>
  <c r="N32" i="1" s="1"/>
  <c r="K23" i="1"/>
  <c r="L23" i="1"/>
  <c r="M23" i="1"/>
  <c r="N23" i="1" s="1"/>
  <c r="K28" i="1"/>
  <c r="L28" i="1"/>
  <c r="M28" i="1"/>
  <c r="N28" i="1" s="1"/>
  <c r="K26" i="1"/>
  <c r="L26" i="1"/>
  <c r="M26" i="1"/>
  <c r="N26" i="1" s="1"/>
  <c r="K19" i="1"/>
  <c r="L19" i="1"/>
  <c r="M19" i="1"/>
  <c r="N19" i="1" s="1"/>
  <c r="K21" i="1"/>
  <c r="L21" i="1"/>
  <c r="M21" i="1"/>
  <c r="N21" i="1" s="1"/>
  <c r="K24" i="1"/>
  <c r="L24" i="1"/>
  <c r="M24" i="1"/>
  <c r="N24" i="1" s="1"/>
  <c r="K17" i="1"/>
  <c r="L17" i="1"/>
  <c r="M17" i="1"/>
  <c r="N17" i="1" s="1"/>
  <c r="K15" i="1"/>
  <c r="L15" i="1"/>
  <c r="M15" i="1"/>
  <c r="N15" i="1" s="1"/>
  <c r="K22" i="1"/>
  <c r="L22" i="1"/>
  <c r="M22" i="1"/>
  <c r="N22" i="1" s="1"/>
  <c r="K20" i="1"/>
  <c r="L20" i="1"/>
  <c r="M20" i="1"/>
  <c r="N20" i="1" s="1"/>
  <c r="K18" i="1"/>
  <c r="L18" i="1"/>
  <c r="M18" i="1"/>
  <c r="N18" i="1" s="1"/>
  <c r="K10" i="1"/>
  <c r="L10" i="1"/>
  <c r="M10" i="1"/>
  <c r="N10" i="1" s="1"/>
  <c r="K16" i="1"/>
  <c r="L16" i="1"/>
  <c r="M16" i="1"/>
  <c r="N16" i="1" s="1"/>
  <c r="K8" i="1"/>
  <c r="L8" i="1"/>
  <c r="M8" i="1"/>
  <c r="N8" i="1" s="1"/>
  <c r="K14" i="1"/>
  <c r="L14" i="1"/>
  <c r="M14" i="1"/>
  <c r="N14" i="1" s="1"/>
  <c r="K6" i="1"/>
  <c r="L6" i="1"/>
  <c r="M6" i="1"/>
  <c r="N6" i="1" s="1"/>
  <c r="K12" i="1"/>
  <c r="L12" i="1"/>
  <c r="M12" i="1"/>
  <c r="K11" i="1"/>
  <c r="L11" i="1"/>
  <c r="M11" i="1"/>
  <c r="K9" i="1"/>
  <c r="L9" i="1"/>
  <c r="M9" i="1"/>
  <c r="P9" i="1" s="1"/>
  <c r="K4" i="1"/>
  <c r="L4" i="1"/>
  <c r="M4" i="1"/>
  <c r="N4" i="1" s="1"/>
  <c r="K5" i="1"/>
  <c r="L5" i="1"/>
  <c r="M5" i="1"/>
  <c r="N5" i="1" s="1"/>
  <c r="K7" i="1"/>
  <c r="L7" i="1"/>
  <c r="M7" i="1"/>
  <c r="N7" i="1" s="1"/>
  <c r="K3" i="1"/>
  <c r="L3" i="1"/>
  <c r="M3" i="1"/>
  <c r="N3" i="1" s="1"/>
  <c r="K111" i="1"/>
  <c r="L111" i="1"/>
  <c r="M111" i="1"/>
  <c r="N111" i="1" s="1"/>
  <c r="K118" i="1"/>
  <c r="L118" i="1"/>
  <c r="M118" i="1"/>
  <c r="N118" i="1" s="1"/>
  <c r="K116" i="1"/>
  <c r="L116" i="1"/>
  <c r="M116" i="1"/>
  <c r="N116" i="1" s="1"/>
  <c r="K109" i="1"/>
  <c r="L109" i="1"/>
  <c r="M109" i="1"/>
  <c r="N109" i="1" s="1"/>
  <c r="K114" i="1"/>
  <c r="L114" i="1"/>
  <c r="M114" i="1"/>
  <c r="N114" i="1" s="1"/>
  <c r="K112" i="1"/>
  <c r="L112" i="1"/>
  <c r="M112" i="1"/>
  <c r="N112" i="1" s="1"/>
  <c r="K106" i="1"/>
  <c r="L106" i="1"/>
  <c r="M106" i="1"/>
  <c r="N106" i="1" s="1"/>
  <c r="K110" i="1"/>
  <c r="L110" i="1"/>
  <c r="M110" i="1"/>
  <c r="N110" i="1" s="1"/>
  <c r="K104" i="1"/>
  <c r="L104" i="1"/>
  <c r="M104" i="1"/>
  <c r="N104" i="1" s="1"/>
  <c r="K107" i="1"/>
  <c r="L107" i="1"/>
  <c r="M107" i="1"/>
  <c r="N107" i="1" s="1"/>
  <c r="K101" i="1"/>
  <c r="L101" i="1"/>
  <c r="M101" i="1"/>
  <c r="N101" i="1" s="1"/>
  <c r="K99" i="1"/>
  <c r="L99" i="1"/>
  <c r="M99" i="1"/>
  <c r="N99" i="1" s="1"/>
  <c r="K105" i="1"/>
  <c r="L105" i="1"/>
  <c r="M105" i="1"/>
  <c r="N105" i="1" s="1"/>
  <c r="K97" i="1"/>
  <c r="L97" i="1"/>
  <c r="M97" i="1"/>
  <c r="N97" i="1" s="1"/>
  <c r="K82" i="1"/>
  <c r="L82" i="1"/>
  <c r="M82" i="1"/>
  <c r="P82" i="1" s="1"/>
  <c r="K78" i="1"/>
  <c r="L78" i="1"/>
  <c r="M78" i="1"/>
  <c r="N78" i="1" s="1"/>
  <c r="K71" i="1"/>
  <c r="L71" i="1"/>
  <c r="M71" i="1"/>
  <c r="N71" i="1" s="1"/>
  <c r="K79" i="1"/>
  <c r="L79" i="1"/>
  <c r="M79" i="1"/>
  <c r="N79" i="1" s="1"/>
  <c r="K69" i="1"/>
  <c r="L69" i="1"/>
  <c r="M69" i="1"/>
  <c r="N69" i="1" s="1"/>
  <c r="K75" i="1"/>
  <c r="L75" i="1"/>
  <c r="M75" i="1"/>
  <c r="N75" i="1" s="1"/>
  <c r="K73" i="1"/>
  <c r="L73" i="1"/>
  <c r="M73" i="1"/>
  <c r="K67" i="1"/>
  <c r="L67" i="1"/>
  <c r="M67" i="1"/>
  <c r="N67" i="1" s="1"/>
  <c r="K72" i="1"/>
  <c r="L72" i="1"/>
  <c r="M72" i="1"/>
  <c r="P72" i="1" s="1"/>
  <c r="K65" i="1"/>
  <c r="L65" i="1"/>
  <c r="M65" i="1"/>
  <c r="N65" i="1" s="1"/>
  <c r="K145" i="1"/>
  <c r="L145" i="1"/>
  <c r="M145" i="1"/>
  <c r="N145" i="1" s="1"/>
  <c r="K143" i="1"/>
  <c r="L143" i="1"/>
  <c r="M143" i="1"/>
  <c r="N143" i="1" s="1"/>
  <c r="K146" i="1"/>
  <c r="L146" i="1"/>
  <c r="M146" i="1"/>
  <c r="N146" i="1" s="1"/>
  <c r="K144" i="1"/>
  <c r="L144" i="1"/>
  <c r="M144" i="1"/>
  <c r="N144" i="1" s="1"/>
  <c r="K141" i="1"/>
  <c r="L141" i="1"/>
  <c r="M141" i="1"/>
  <c r="N141" i="1" s="1"/>
  <c r="K142" i="1"/>
  <c r="L142" i="1"/>
  <c r="M142" i="1"/>
  <c r="N142" i="1" s="1"/>
  <c r="K139" i="1"/>
  <c r="L139" i="1"/>
  <c r="M139" i="1"/>
  <c r="N139" i="1" s="1"/>
  <c r="K137" i="1"/>
  <c r="L137" i="1"/>
  <c r="M137" i="1"/>
  <c r="N137" i="1" s="1"/>
  <c r="K140" i="1"/>
  <c r="L140" i="1"/>
  <c r="M140" i="1"/>
  <c r="N140" i="1" s="1"/>
  <c r="K138" i="1"/>
  <c r="L138" i="1"/>
  <c r="M138" i="1"/>
  <c r="N138" i="1" s="1"/>
  <c r="K135" i="1"/>
  <c r="L135" i="1"/>
  <c r="M135" i="1"/>
  <c r="N135" i="1" s="1"/>
  <c r="K136" i="1"/>
  <c r="L136" i="1"/>
  <c r="M136" i="1"/>
  <c r="N136" i="1" s="1"/>
  <c r="K133" i="1"/>
  <c r="L133" i="1"/>
  <c r="M133" i="1"/>
  <c r="N133" i="1" s="1"/>
  <c r="K134" i="1"/>
  <c r="L134" i="1"/>
  <c r="M134" i="1"/>
  <c r="N134" i="1" s="1"/>
  <c r="K132" i="1"/>
  <c r="L132" i="1"/>
  <c r="M132" i="1"/>
  <c r="N132" i="1" s="1"/>
  <c r="K129" i="1"/>
  <c r="L129" i="1"/>
  <c r="M129" i="1"/>
  <c r="N129" i="1" s="1"/>
  <c r="K127" i="1"/>
  <c r="L127" i="1"/>
  <c r="M127" i="1"/>
  <c r="N127" i="1" s="1"/>
  <c r="K128" i="1"/>
  <c r="L128" i="1"/>
  <c r="M128" i="1"/>
  <c r="N128" i="1" s="1"/>
  <c r="K125" i="1"/>
  <c r="L125" i="1"/>
  <c r="M125" i="1"/>
  <c r="N125" i="1" s="1"/>
  <c r="K123" i="1"/>
  <c r="L123" i="1"/>
  <c r="M123" i="1"/>
  <c r="N123" i="1" s="1"/>
  <c r="K124" i="1"/>
  <c r="L124" i="1"/>
  <c r="M124" i="1"/>
  <c r="N124" i="1" s="1"/>
  <c r="K126" i="1"/>
  <c r="L126" i="1"/>
  <c r="M126" i="1"/>
  <c r="N126" i="1" s="1"/>
  <c r="K121" i="1"/>
  <c r="L121" i="1"/>
  <c r="M121" i="1"/>
  <c r="N121" i="1" s="1"/>
  <c r="K119" i="1"/>
  <c r="L119" i="1"/>
  <c r="M119" i="1"/>
  <c r="N119" i="1" s="1"/>
  <c r="K117" i="1"/>
  <c r="L117" i="1"/>
  <c r="M117" i="1"/>
  <c r="N117" i="1" s="1"/>
  <c r="K122" i="1"/>
  <c r="L122" i="1"/>
  <c r="M122" i="1"/>
  <c r="N122" i="1" s="1"/>
  <c r="K115" i="1"/>
  <c r="L115" i="1"/>
  <c r="M115" i="1"/>
  <c r="N115" i="1" s="1"/>
  <c r="K120" i="1"/>
  <c r="L120" i="1"/>
  <c r="M120" i="1"/>
  <c r="N120" i="1" s="1"/>
  <c r="P11" i="1" l="1"/>
  <c r="P23" i="3"/>
  <c r="P22" i="3"/>
  <c r="K63" i="1" l="1"/>
  <c r="J154" i="1" l="1"/>
  <c r="A1" i="1" l="1"/>
  <c r="Q20" i="3"/>
  <c r="P20" i="3" l="1"/>
  <c r="L63" i="1" l="1"/>
  <c r="M63" i="1"/>
  <c r="J152" i="1" l="1"/>
  <c r="N63" i="1"/>
  <c r="N156" i="1"/>
  <c r="J156" i="1"/>
  <c r="J155" i="1"/>
  <c r="J157" i="1" l="1"/>
  <c r="J153" i="1"/>
  <c r="A1" i="6"/>
  <c r="M62" i="3"/>
  <c r="M63" i="3" s="1"/>
  <c r="A1" i="3"/>
  <c r="O154" i="1"/>
  <c r="N154" i="1"/>
  <c r="M154" i="1"/>
  <c r="O156" i="1" l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<sst xmlns="http://schemas.openxmlformats.org/spreadsheetml/2006/main" count="1955" uniqueCount="563">
  <si>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</si>
  <si>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</si>
  <si>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</si>
  <si>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</si>
  <si>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</si>
  <si>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</si>
  <si>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</si>
  <si>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</si>
  <si>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</si>
  <si>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</si>
  <si>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</si>
  <si>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</si>
  <si>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</si>
  <si>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</si>
  <si>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</si>
  <si>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</si>
  <si>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</si>
  <si>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</si>
  <si>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</si>
  <si>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</si>
  <si>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</si>
  <si>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</si>
  <si>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</si>
  <si>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</si>
  <si>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</si>
  <si>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</si>
  <si>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</si>
  <si>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</si>
  <si>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</si>
  <si>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</si>
  <si>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</si>
  <si>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</si>
  <si>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</si>
  <si>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</si>
  <si>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</si>
  <si>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</si>
  <si>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</si>
  <si>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</si>
  <si>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</si>
  <si>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</si>
  <si>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</si>
  <si>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</si>
  <si>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</si>
  <si>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</si>
  <si>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</si>
  <si>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</si>
  <si>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</si>
  <si>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</si>
  <si>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</si>
  <si>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</si>
  <si>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</si>
  <si>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</si>
  <si>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</si>
  <si>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</si>
  <si>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</si>
  <si>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</si>
  <si>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</si>
  <si>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</si>
  <si>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</si>
  <si>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</si>
  <si>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</si>
  <si>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</si>
  <si>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</si>
  <si>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</si>
  <si>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</si>
  <si>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</si>
  <si>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</si>
  <si>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</si>
  <si>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</si>
  <si>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</si>
  <si>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</si>
  <si>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</si>
  <si>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</si>
  <si>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</si>
  <si>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</si>
  <si>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</si>
  <si>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</si>
  <si>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</si>
  <si>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</si>
  <si>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</si>
  <si>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</si>
  <si>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</si>
  <si>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</si>
  <si>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</si>
  <si>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</si>
  <si>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</si>
  <si>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</si>
  <si>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</si>
  <si>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</si>
  <si>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</si>
  <si>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</si>
  <si>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</si>
  <si>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</si>
  <si>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</si>
  <si>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</si>
  <si>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</si>
  <si>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</si>
  <si>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204:233311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</si>
  <si>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</si>
  <si>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</si>
  <si>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</si>
  <si>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</si>
  <si>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</si>
  <si>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</si>
  <si>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</si>
  <si>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</si>
  <si>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</si>
  <si>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</si>
  <si>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</si>
  <si>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204:233303</t>
  </si>
  <si>
    <t>rtdc.l.rtdc.4009:itc</t>
  </si>
  <si>
    <t>204:233300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</si>
  <si>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</si>
  <si>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</si>
  <si>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</si>
  <si>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</si>
  <si>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</si>
  <si>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</si>
  <si>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</si>
  <si>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</si>
  <si>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204:232982</t>
  </si>
  <si>
    <t>COOLAHAN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</si>
  <si>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</si>
  <si>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</si>
  <si>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</si>
  <si>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</si>
  <si>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</si>
  <si>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</si>
  <si>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</si>
  <si>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</si>
  <si>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</si>
  <si>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</si>
  <si>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</si>
  <si>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</si>
  <si>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</si>
  <si>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</si>
  <si>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</si>
  <si>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</si>
  <si>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</si>
  <si>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</si>
  <si>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</si>
  <si>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</si>
  <si>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</si>
  <si>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</si>
  <si>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</si>
  <si>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</si>
  <si>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</si>
  <si>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</si>
  <si>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</si>
  <si>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</si>
  <si>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</si>
  <si>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</si>
  <si>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</si>
  <si>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</si>
  <si>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</si>
  <si>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</si>
  <si>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</si>
  <si>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</si>
  <si>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</si>
  <si>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</si>
  <si>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</si>
  <si>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</si>
  <si>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</si>
  <si>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</si>
  <si>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</si>
  <si>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</si>
  <si>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</si>
  <si>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</si>
  <si>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</si>
  <si>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</si>
  <si>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</si>
  <si>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</si>
  <si>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</si>
  <si>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</si>
  <si>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</si>
  <si>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</si>
  <si>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</si>
  <si>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</si>
  <si>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</si>
  <si>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</si>
  <si>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</si>
  <si>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</si>
  <si>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</si>
  <si>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</si>
  <si>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</si>
  <si>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</si>
  <si>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</si>
  <si>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</si>
  <si>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</si>
  <si>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</si>
  <si>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</si>
  <si>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</si>
  <si>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</si>
  <si>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</si>
  <si>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</si>
  <si>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</si>
  <si>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</si>
  <si>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</si>
  <si>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</si>
  <si>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</si>
  <si>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</si>
  <si>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</si>
  <si>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</si>
  <si>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</si>
  <si>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</si>
  <si>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</si>
  <si>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</si>
  <si>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</si>
  <si>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</si>
  <si>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</si>
  <si>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</si>
  <si>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</si>
  <si>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</si>
  <si>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</si>
  <si>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</si>
  <si>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</si>
  <si>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</si>
  <si>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</si>
  <si>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</si>
  <si>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</si>
  <si>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</si>
  <si>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</si>
  <si>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</si>
  <si>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</si>
  <si>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</si>
  <si>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</si>
  <si>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</si>
  <si>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</si>
  <si>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</si>
  <si>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</si>
  <si>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</si>
  <si>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</si>
  <si>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</si>
  <si>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</si>
  <si>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</si>
  <si>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</si>
  <si>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</si>
  <si>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</si>
  <si>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</si>
  <si>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</si>
  <si>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</si>
  <si>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</si>
  <si>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</si>
  <si>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</si>
  <si>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</si>
  <si>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</si>
  <si>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</si>
  <si>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</si>
  <si>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</si>
  <si>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</si>
  <si>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</si>
  <si>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</si>
  <si>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</si>
  <si>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</si>
  <si>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</si>
  <si>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204:161</t>
  </si>
  <si>
    <t>204:473</t>
  </si>
  <si>
    <t>204:232985</t>
  </si>
  <si>
    <t>204:232981</t>
  </si>
  <si>
    <t>204:467</t>
  </si>
  <si>
    <t>Possible Explanation</t>
  </si>
  <si>
    <t>Recorded Operator</t>
  </si>
  <si>
    <t>Trip ID</t>
  </si>
  <si>
    <t># Of Times Offered</t>
  </si>
  <si>
    <t>Loco</t>
  </si>
  <si>
    <t>rtdc.l.rtdc.4015:itc</t>
  </si>
  <si>
    <t>rtdc.l.rtdc.4016:itc</t>
  </si>
  <si>
    <t>rtdc.l.rtdc.4010:itc</t>
  </si>
  <si>
    <t>182-12</t>
  </si>
  <si>
    <t>STURGEON</t>
  </si>
  <si>
    <t>ACKERMAN</t>
  </si>
  <si>
    <t>LOCKLEAR</t>
  </si>
  <si>
    <t>WEBSTER</t>
  </si>
  <si>
    <t>REBOLETTI</t>
  </si>
  <si>
    <t>231-12</t>
  </si>
  <si>
    <t>108-12</t>
  </si>
  <si>
    <t>109-12</t>
  </si>
  <si>
    <t>180-12</t>
  </si>
  <si>
    <t>204:233288</t>
  </si>
  <si>
    <t>204:232987</t>
  </si>
  <si>
    <t>204:169</t>
  </si>
  <si>
    <t>204:232957</t>
  </si>
  <si>
    <t>204:233317</t>
  </si>
  <si>
    <t>204:233000</t>
  </si>
  <si>
    <t>204:233295</t>
  </si>
  <si>
    <t>204:233310</t>
  </si>
  <si>
    <t>204:447</t>
  </si>
  <si>
    <t>204:233289</t>
  </si>
  <si>
    <t>204:446</t>
  </si>
  <si>
    <t>Comms</t>
  </si>
  <si>
    <t>Form C</t>
  </si>
  <si>
    <t>rtdc.l.rtdc.4025:itc</t>
  </si>
  <si>
    <t>rtdc.l.rtdc.4040:itc</t>
  </si>
  <si>
    <t>rtdc.l.rtdc.4026:itc</t>
  </si>
  <si>
    <t>SPECTOR</t>
  </si>
  <si>
    <t>BRABO</t>
  </si>
  <si>
    <t>COCA</t>
  </si>
  <si>
    <t>rtdc.l.rtdc.4039:itc</t>
  </si>
  <si>
    <t>204:129</t>
  </si>
  <si>
    <t>204:232988</t>
  </si>
  <si>
    <t>204:233096</t>
  </si>
  <si>
    <t>204:130</t>
  </si>
  <si>
    <t>204:232992</t>
  </si>
  <si>
    <t>204:233006</t>
  </si>
  <si>
    <t>204:233270</t>
  </si>
  <si>
    <t>204:232993</t>
  </si>
  <si>
    <t>204:232955</t>
  </si>
  <si>
    <t>204:233324</t>
  </si>
  <si>
    <t>204:233302</t>
  </si>
  <si>
    <t>204:233307</t>
  </si>
  <si>
    <t>204:437</t>
  </si>
  <si>
    <t>204:233013</t>
  </si>
  <si>
    <t>204:232986</t>
  </si>
  <si>
    <t>204:233325</t>
  </si>
  <si>
    <t>204:449</t>
  </si>
  <si>
    <t>204:444</t>
  </si>
  <si>
    <t>204:433</t>
  </si>
  <si>
    <t>204:233002</t>
  </si>
  <si>
    <t>204:478</t>
  </si>
  <si>
    <t>101-14</t>
  </si>
  <si>
    <t>107-14</t>
  </si>
  <si>
    <t>110-14</t>
  </si>
  <si>
    <t>112-14</t>
  </si>
  <si>
    <t>119-14</t>
  </si>
  <si>
    <t>125-14</t>
  </si>
  <si>
    <t>123-14</t>
  </si>
  <si>
    <t>120-14</t>
  </si>
  <si>
    <t>133-14</t>
  </si>
  <si>
    <t>124-14</t>
  </si>
  <si>
    <t>131-14</t>
  </si>
  <si>
    <t>135-14</t>
  </si>
  <si>
    <t>130-14</t>
  </si>
  <si>
    <t>145-14</t>
  </si>
  <si>
    <t>140-14</t>
  </si>
  <si>
    <t>149-14</t>
  </si>
  <si>
    <t>152-14</t>
  </si>
  <si>
    <t>148-14</t>
  </si>
  <si>
    <t>159-14</t>
  </si>
  <si>
    <t>158-14</t>
  </si>
  <si>
    <t>165-14</t>
  </si>
  <si>
    <t>160-14</t>
  </si>
  <si>
    <t>166-14</t>
  </si>
  <si>
    <t>168-14</t>
  </si>
  <si>
    <t>170-14</t>
  </si>
  <si>
    <t>181-14</t>
  </si>
  <si>
    <t>172-14</t>
  </si>
  <si>
    <t>179-14</t>
  </si>
  <si>
    <t>182-14</t>
  </si>
  <si>
    <t>185-14</t>
  </si>
  <si>
    <t>193-14</t>
  </si>
  <si>
    <t>188-14</t>
  </si>
  <si>
    <t>194-14</t>
  </si>
  <si>
    <t>192-14</t>
  </si>
  <si>
    <t>200-14</t>
  </si>
  <si>
    <t>207-14</t>
  </si>
  <si>
    <t>202-14</t>
  </si>
  <si>
    <t>211-14</t>
  </si>
  <si>
    <t>217-14</t>
  </si>
  <si>
    <t>213-14</t>
  </si>
  <si>
    <t>215-14</t>
  </si>
  <si>
    <t>214-14</t>
  </si>
  <si>
    <t>216-14</t>
  </si>
  <si>
    <t>218-14</t>
  </si>
  <si>
    <t>222-14</t>
  </si>
  <si>
    <t>240-14</t>
  </si>
  <si>
    <t>242-14</t>
  </si>
  <si>
    <t>114-14</t>
  </si>
  <si>
    <t>136-14</t>
  </si>
  <si>
    <t>157-14</t>
  </si>
  <si>
    <t>195-14</t>
  </si>
  <si>
    <t>209-14</t>
  </si>
  <si>
    <t>229-14</t>
  </si>
  <si>
    <t>234-14</t>
  </si>
  <si>
    <t>244-14</t>
  </si>
  <si>
    <t>196-14</t>
  </si>
  <si>
    <t>103-14</t>
  </si>
  <si>
    <t>147-14</t>
  </si>
  <si>
    <t>138-14</t>
  </si>
  <si>
    <t>117-14</t>
  </si>
  <si>
    <t>225-14</t>
  </si>
  <si>
    <t>212-14</t>
  </si>
  <si>
    <t>118-14</t>
  </si>
  <si>
    <t>129-14</t>
  </si>
  <si>
    <t>132-14</t>
  </si>
  <si>
    <t>141-14</t>
  </si>
  <si>
    <t>167-14</t>
  </si>
  <si>
    <t>127-14</t>
  </si>
  <si>
    <t>169-14</t>
  </si>
  <si>
    <t>121-14</t>
  </si>
  <si>
    <t>219-14</t>
  </si>
  <si>
    <t>175-14</t>
  </si>
  <si>
    <t>199-14</t>
  </si>
  <si>
    <t>183-14</t>
  </si>
  <si>
    <t>128-14</t>
  </si>
  <si>
    <t>198-14</t>
  </si>
  <si>
    <t>243-14</t>
  </si>
  <si>
    <t>236-14</t>
  </si>
  <si>
    <t>235-14</t>
  </si>
  <si>
    <t>231-14</t>
  </si>
  <si>
    <t>208-14</t>
  </si>
  <si>
    <t>226-14</t>
  </si>
  <si>
    <t>150-14</t>
  </si>
  <si>
    <t>154-14</t>
  </si>
  <si>
    <t>221-14</t>
  </si>
  <si>
    <t>163-14</t>
  </si>
  <si>
    <t>206-14</t>
  </si>
  <si>
    <t>204-14</t>
  </si>
  <si>
    <t>210-14</t>
  </si>
  <si>
    <t>205-14</t>
  </si>
  <si>
    <t>223-14</t>
  </si>
  <si>
    <t>DE LA ROSA</t>
  </si>
  <si>
    <t>186-14</t>
  </si>
  <si>
    <t>224-14</t>
  </si>
  <si>
    <t>191-14</t>
  </si>
  <si>
    <t>227-14</t>
  </si>
  <si>
    <t>230-14</t>
  </si>
  <si>
    <t>233-14</t>
  </si>
  <si>
    <t>238-14</t>
  </si>
  <si>
    <t>BRANNON</t>
  </si>
  <si>
    <t>104-14</t>
  </si>
  <si>
    <t>139-14</t>
  </si>
  <si>
    <t>146-14</t>
  </si>
  <si>
    <t>122-14</t>
  </si>
  <si>
    <t>162-14</t>
  </si>
  <si>
    <t>203-14</t>
  </si>
  <si>
    <t>201-14</t>
  </si>
  <si>
    <t>109-14</t>
  </si>
  <si>
    <t>115-14</t>
  </si>
  <si>
    <t>178-14</t>
  </si>
  <si>
    <t>176-14</t>
  </si>
  <si>
    <t>171-14</t>
  </si>
  <si>
    <t>164-14</t>
  </si>
  <si>
    <t>197-14</t>
  </si>
  <si>
    <t>143-14</t>
  </si>
  <si>
    <t>126-14</t>
  </si>
  <si>
    <t>105-14</t>
  </si>
  <si>
    <t>108-14</t>
  </si>
  <si>
    <t>151-14</t>
  </si>
  <si>
    <t>153-14</t>
  </si>
  <si>
    <t>180-14</t>
  </si>
  <si>
    <t>173-14</t>
  </si>
  <si>
    <t>137-14</t>
  </si>
  <si>
    <t>184-14</t>
  </si>
  <si>
    <t>190-14</t>
  </si>
  <si>
    <t>144-14</t>
  </si>
  <si>
    <t>156-14</t>
  </si>
  <si>
    <t>220-14</t>
  </si>
  <si>
    <t>187-14</t>
  </si>
  <si>
    <t>174-14</t>
  </si>
  <si>
    <t>155-14</t>
  </si>
  <si>
    <t>161-14</t>
  </si>
  <si>
    <t>228-14</t>
  </si>
  <si>
    <t>239-14</t>
  </si>
  <si>
    <t>106-14</t>
  </si>
  <si>
    <t>134-14</t>
  </si>
  <si>
    <t>142-14</t>
  </si>
  <si>
    <t>189-14</t>
  </si>
  <si>
    <t>237-14</t>
  </si>
  <si>
    <t>111-14</t>
  </si>
  <si>
    <t>241-14</t>
  </si>
  <si>
    <t>102-14</t>
  </si>
  <si>
    <t>232-14</t>
  </si>
  <si>
    <t>116-14</t>
  </si>
  <si>
    <t>113-14</t>
  </si>
  <si>
    <t>204:138</t>
  </si>
  <si>
    <t>204:233076</t>
  </si>
  <si>
    <t>204:1213</t>
  </si>
  <si>
    <t>204:233017</t>
  </si>
  <si>
    <t>204:440</t>
  </si>
  <si>
    <t>204:233312</t>
  </si>
  <si>
    <t>204:232990</t>
  </si>
  <si>
    <t>204:1222</t>
  </si>
  <si>
    <t>204:489</t>
  </si>
  <si>
    <t>204:233330</t>
  </si>
  <si>
    <t>204:233340</t>
  </si>
  <si>
    <t>204:233027</t>
  </si>
  <si>
    <t>204:134</t>
  </si>
  <si>
    <t>204:233293</t>
  </si>
  <si>
    <t>204:232972</t>
  </si>
  <si>
    <t>204:233336</t>
  </si>
  <si>
    <t>204:233001</t>
  </si>
  <si>
    <t>204:233276</t>
  </si>
  <si>
    <t>204:3160</t>
  </si>
  <si>
    <t>204:232949</t>
  </si>
  <si>
    <t>204:158</t>
  </si>
  <si>
    <t>204:400</t>
  </si>
  <si>
    <t>204:233281</t>
  </si>
  <si>
    <t>204:3101</t>
  </si>
  <si>
    <t>204:509</t>
  </si>
  <si>
    <t>204:233285</t>
  </si>
  <si>
    <t>204:471</t>
  </si>
  <si>
    <t>204:233308</t>
  </si>
  <si>
    <t>204:418</t>
  </si>
  <si>
    <t>204:233286</t>
  </si>
  <si>
    <t>204:228312</t>
  </si>
  <si>
    <t>204:426</t>
  </si>
  <si>
    <t>204:233309</t>
  </si>
  <si>
    <t>204:233071</t>
  </si>
  <si>
    <t>204:233420</t>
  </si>
  <si>
    <t>204:3394</t>
  </si>
  <si>
    <t>204:233389</t>
  </si>
  <si>
    <t>204:232872</t>
  </si>
  <si>
    <t>204:232961</t>
  </si>
  <si>
    <t>204:233305</t>
  </si>
  <si>
    <t>204:233198</t>
  </si>
  <si>
    <t>204:438</t>
  </si>
  <si>
    <t>204:232980</t>
  </si>
  <si>
    <t>204:395</t>
  </si>
  <si>
    <t>204:165</t>
  </si>
  <si>
    <t>204:232984</t>
  </si>
  <si>
    <t>204:524</t>
  </si>
  <si>
    <t>204:233347</t>
  </si>
  <si>
    <t>204:233009</t>
  </si>
  <si>
    <t>204:88</t>
  </si>
  <si>
    <t>204:309</t>
  </si>
  <si>
    <t>204:233011</t>
  </si>
  <si>
    <t>204:125</t>
  </si>
  <si>
    <t>204:232950</t>
  </si>
  <si>
    <t>204:752</t>
  </si>
  <si>
    <t>204:233297</t>
  </si>
  <si>
    <t>204:236</t>
  </si>
  <si>
    <t>204:1207</t>
  </si>
  <si>
    <t>204:233320</t>
  </si>
  <si>
    <t>204:777</t>
  </si>
  <si>
    <t>204:232641</t>
  </si>
  <si>
    <t>204:781</t>
  </si>
  <si>
    <t>204:232746</t>
  </si>
  <si>
    <t>204:416</t>
  </si>
  <si>
    <t>204:229436</t>
  </si>
  <si>
    <t>204:232623</t>
  </si>
  <si>
    <t>204:772</t>
  </si>
  <si>
    <t>204:765</t>
  </si>
  <si>
    <t>204:233359</t>
  </si>
  <si>
    <t>204:233259</t>
  </si>
  <si>
    <t>204:178</t>
  </si>
  <si>
    <t>204:233004</t>
  </si>
  <si>
    <t>204:233329</t>
  </si>
  <si>
    <t>204:5647</t>
  </si>
  <si>
    <t>204:2434</t>
  </si>
  <si>
    <t>204:480</t>
  </si>
  <si>
    <t>204:1216</t>
  </si>
  <si>
    <t>204:233306</t>
  </si>
  <si>
    <t>204:233007</t>
  </si>
  <si>
    <t>204:233284</t>
  </si>
  <si>
    <t>204:39113</t>
  </si>
  <si>
    <t>204:233272</t>
  </si>
  <si>
    <t>204:19818</t>
  </si>
  <si>
    <t>204:233321</t>
  </si>
  <si>
    <t>204:233339</t>
  </si>
  <si>
    <t>204:37193</t>
  </si>
  <si>
    <t>204:233328</t>
  </si>
  <si>
    <t>204:475</t>
  </si>
  <si>
    <t>204:980</t>
  </si>
  <si>
    <t>177-14</t>
  </si>
  <si>
    <t>Onboard In-route Failure</t>
  </si>
  <si>
    <t>Crew Canceled init in DUS restarted at 1.9</t>
  </si>
  <si>
    <t>Routing</t>
  </si>
  <si>
    <t>Poor GPS at 78th</t>
  </si>
  <si>
    <t>Vital Link Failure</t>
  </si>
  <si>
    <t>Dispatcher Error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</si>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</sst>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1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56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5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2" t="str">
        <f>"Eagle P3 System Performance - "&amp;TEXT(Variables!A2,"yyyy-mm-dd")</f>
        <v>Eagle P3 System Performance - 2016-06-14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S1" s="105">
        <f>AVERAGE(S3:S99989)</f>
        <v>0.95517241379310347</v>
      </c>
      <c r="U1" s="105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560</v>
      </c>
      <c r="T2" s="106" t="s">
        <v>561</v>
      </c>
      <c r="U2" s="107" t="s">
        <v>562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319</v>
      </c>
      <c r="B3" s="60">
        <v>4014</v>
      </c>
      <c r="C3" s="60" t="s">
        <v>62</v>
      </c>
      <c r="D3" s="60" t="s">
        <v>531</v>
      </c>
      <c r="E3" s="30">
        <v>42535.128634259258</v>
      </c>
      <c r="F3" s="30">
        <v>42535.130972222221</v>
      </c>
      <c r="G3" s="38">
        <v>3</v>
      </c>
      <c r="H3" s="30" t="s">
        <v>533</v>
      </c>
      <c r="I3" s="30">
        <v>42535.162731481483</v>
      </c>
      <c r="J3" s="60">
        <v>1</v>
      </c>
      <c r="K3" s="60" t="str">
        <f t="shared" ref="K3:K34" si="0">IF(ISEVEN(B3),(B3-1)&amp;"/"&amp;B3,B3&amp;"/"&amp;(B3+1))</f>
        <v>4013/4014</v>
      </c>
      <c r="L3" s="60" t="str">
        <f>VLOOKUP(A3,'Trips&amp;Operators'!$C$1:$E$9999,3,FALSE)</f>
        <v>STURGEON</v>
      </c>
      <c r="M3" s="12">
        <f t="shared" ref="M3:M34" si="1">I3-F3</f>
        <v>3.1759259261889383E-2</v>
      </c>
      <c r="N3" s="13">
        <f t="shared" ref="N3:N8" si="2">24*60*SUM($M3:$M3)</f>
        <v>45.733333337120712</v>
      </c>
      <c r="O3" s="13"/>
      <c r="P3" s="13"/>
      <c r="Q3" s="61"/>
      <c r="R3" s="61"/>
      <c r="S3" s="108">
        <f t="shared" ref="S3" si="3">SUM(U3:U3)/12</f>
        <v>1</v>
      </c>
      <c r="T3" s="86" t="str">
        <f t="shared" ref="T3" si="4">IF(ISEVEN(LEFT(A3,3)),"Southbound","NorthBound")</f>
        <v>NorthBound</v>
      </c>
      <c r="U3" s="109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https://search-rtdc-monitor-bjffxe2xuh6vdkpspy63sjmuny.us-east-1.es.amazonaws.com/_plugin/kibana/#/discover/Steve-Slow-Train-Analysis-(2080s-and-2083s)?_g=(refreshInterval:(display:Off,section:0,value:0),time:(from:'2016-06-14 03:04:14-0600',mode:absolute,to:'2016-06-14 03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" s="73" t="str">
        <f t="shared" ref="W3:W34" si="5">IF(AA3&lt;23,"Y","N")</f>
        <v>N</v>
      </c>
      <c r="X3" s="73" t="e">
        <f>VALUE(LEFT(A3,3))-VALUE(LEFT(A2,3))</f>
        <v>#VALUE!</v>
      </c>
      <c r="Y3" s="73">
        <f>RIGHT(D3,LEN(D3)-4)/10000</f>
        <v>7.6499999999999999E-2</v>
      </c>
      <c r="Z3" s="73">
        <f>RIGHT(H3,LEN(H3)-4)/10000</f>
        <v>23.325900000000001</v>
      </c>
      <c r="AA3" s="73">
        <f t="shared" ref="AA3:AA34" si="6">ABS(Z3-Y3)</f>
        <v>23.249400000000001</v>
      </c>
      <c r="AB3" s="74">
        <f>VLOOKUP(A3,Enforcements!$C$20:$J$60,8,0)</f>
        <v>233491</v>
      </c>
      <c r="AC3" s="74" t="str">
        <f>VLOOKUP(A3,Enforcements!$C$20:$J$60,3,0)</f>
        <v>TRACK WARRANT AUTHORITY</v>
      </c>
    </row>
    <row r="4" spans="1:91" s="2" customFormat="1" x14ac:dyDescent="0.25">
      <c r="A4" s="60" t="s">
        <v>460</v>
      </c>
      <c r="B4" s="60">
        <v>4023</v>
      </c>
      <c r="C4" s="60" t="s">
        <v>62</v>
      </c>
      <c r="D4" s="60" t="s">
        <v>529</v>
      </c>
      <c r="E4" s="30">
        <v>42535.170023148145</v>
      </c>
      <c r="F4" s="30">
        <v>42535.171342592592</v>
      </c>
      <c r="G4" s="38">
        <v>1</v>
      </c>
      <c r="H4" s="30" t="s">
        <v>280</v>
      </c>
      <c r="I4" s="30">
        <v>42535.20349537037</v>
      </c>
      <c r="J4" s="60">
        <v>0</v>
      </c>
      <c r="K4" s="60" t="str">
        <f t="shared" si="0"/>
        <v>4023/4024</v>
      </c>
      <c r="L4" s="60" t="str">
        <f>VLOOKUP(A4,'Trips&amp;Operators'!$C$1:$E$9999,3,FALSE)</f>
        <v>STURGEON</v>
      </c>
      <c r="M4" s="12">
        <f t="shared" si="1"/>
        <v>3.2152777777810115E-2</v>
      </c>
      <c r="N4" s="13">
        <f t="shared" si="2"/>
        <v>46.300000000046566</v>
      </c>
      <c r="O4" s="13"/>
      <c r="P4" s="13"/>
      <c r="Q4" s="61"/>
      <c r="R4" s="61"/>
      <c r="S4" s="108">
        <f t="shared" ref="S4:S67" si="7">SUM(U4:U4)/12</f>
        <v>1</v>
      </c>
      <c r="T4" s="86" t="str">
        <f t="shared" ref="T4:T67" si="8">IF(ISEVEN(LEFT(A4,3)),"Southbound","NorthBound")</f>
        <v>Southbound</v>
      </c>
      <c r="U4" s="109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https://search-rtdc-monitor-bjffxe2xuh6vdkpspy63sjmuny.us-east-1.es.amazonaws.com/_plugin/kibana/#/discover/Steve-Slow-Train-Analysis-(2080s-and-2083s)?_g=(refreshInterval:(display:Off,section:0,value:0),time:(from:'2016-06-14 04:03:50-0600',mode:absolute,to:'2016-06-14 04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23.2623</v>
      </c>
      <c r="Z4" s="73">
        <f>RIGHT(H4,LEN(H4)-4)/10000</f>
        <v>1.6899999999999998E-2</v>
      </c>
      <c r="AA4" s="73">
        <f t="shared" si="6"/>
        <v>23.2454</v>
      </c>
      <c r="AB4" s="74" t="e">
        <f>VLOOKUP(A4,Enforcements!$C$20:$J$60,8,0)</f>
        <v>#N/A</v>
      </c>
      <c r="AC4" s="74" t="e">
        <f>VLOOKUP(A4,Enforcements!$C$20:$J$60,3,0)</f>
        <v>#N/A</v>
      </c>
    </row>
    <row r="5" spans="1:91" s="2" customFormat="1" x14ac:dyDescent="0.25">
      <c r="A5" s="60" t="s">
        <v>375</v>
      </c>
      <c r="B5" s="60">
        <v>4044</v>
      </c>
      <c r="C5" s="60" t="s">
        <v>62</v>
      </c>
      <c r="D5" s="60" t="s">
        <v>531</v>
      </c>
      <c r="E5" s="30">
        <v>42535.152349537035</v>
      </c>
      <c r="F5" s="30">
        <v>42535.153460648151</v>
      </c>
      <c r="G5" s="38">
        <v>1</v>
      </c>
      <c r="H5" s="30" t="s">
        <v>532</v>
      </c>
      <c r="I5" s="30">
        <v>42535.18372685185</v>
      </c>
      <c r="J5" s="60">
        <v>0</v>
      </c>
      <c r="K5" s="60" t="str">
        <f t="shared" si="0"/>
        <v>4043/4044</v>
      </c>
      <c r="L5" s="60" t="str">
        <f>VLOOKUP(A5,'Trips&amp;Operators'!$C$1:$E$9999,3,FALSE)</f>
        <v>STARKS</v>
      </c>
      <c r="M5" s="12">
        <f t="shared" si="1"/>
        <v>3.0266203699284233E-2</v>
      </c>
      <c r="N5" s="13">
        <f t="shared" si="2"/>
        <v>43.583333326969296</v>
      </c>
      <c r="O5" s="13"/>
      <c r="P5" s="13"/>
      <c r="Q5" s="61"/>
      <c r="R5" s="61"/>
      <c r="S5" s="108">
        <f t="shared" si="7"/>
        <v>1</v>
      </c>
      <c r="T5" s="86" t="str">
        <f t="shared" si="8"/>
        <v>NorthBound</v>
      </c>
      <c r="U5" s="10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https://search-rtdc-monitor-bjffxe2xuh6vdkpspy63sjmuny.us-east-1.es.amazonaws.com/_plugin/kibana/#/discover/Steve-Slow-Train-Analysis-(2080s-and-2083s)?_g=(refreshInterval:(display:Off,section:0,value:0),time:(from:'2016-06-14 03:38:23-0600',mode:absolute,to:'2016-06-14 04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7.6499999999999999E-2</v>
      </c>
      <c r="Z5" s="73">
        <f>RIGHT(H5,LEN(H5)-4)/10000</f>
        <v>23.335899999999999</v>
      </c>
      <c r="AA5" s="73">
        <f t="shared" si="6"/>
        <v>23.259399999999999</v>
      </c>
      <c r="AB5" s="74" t="e">
        <f>VLOOKUP(A5,Enforcements!$C$20:$J$60,8,0)</f>
        <v>#N/A</v>
      </c>
      <c r="AC5" s="74" t="e">
        <f>VLOOKUP(A5,Enforcements!$C$20:$J$60,3,0)</f>
        <v>#N/A</v>
      </c>
    </row>
    <row r="6" spans="1:91" s="2" customFormat="1" x14ac:dyDescent="0.25">
      <c r="A6" s="60" t="s">
        <v>419</v>
      </c>
      <c r="B6" s="60">
        <v>4026</v>
      </c>
      <c r="C6" s="60" t="s">
        <v>62</v>
      </c>
      <c r="D6" s="60" t="s">
        <v>526</v>
      </c>
      <c r="E6" s="30">
        <v>42535.192997685182</v>
      </c>
      <c r="F6" s="30">
        <v>42535.194016203706</v>
      </c>
      <c r="G6" s="38">
        <v>1</v>
      </c>
      <c r="H6" s="30" t="s">
        <v>484</v>
      </c>
      <c r="I6" s="30">
        <v>42535.223877314813</v>
      </c>
      <c r="J6" s="60">
        <v>0</v>
      </c>
      <c r="K6" s="60" t="str">
        <f t="shared" si="0"/>
        <v>4025/4026</v>
      </c>
      <c r="L6" s="60" t="str">
        <f>VLOOKUP(A6,'Trips&amp;Operators'!$C$1:$E$9999,3,FALSE)</f>
        <v>STARKS</v>
      </c>
      <c r="M6" s="12">
        <f t="shared" si="1"/>
        <v>2.9861111106583849E-2</v>
      </c>
      <c r="N6" s="13">
        <f t="shared" si="2"/>
        <v>42.999999993480742</v>
      </c>
      <c r="O6" s="13"/>
      <c r="P6" s="13"/>
      <c r="Q6" s="61"/>
      <c r="R6" s="61"/>
      <c r="S6" s="108">
        <f t="shared" si="7"/>
        <v>1</v>
      </c>
      <c r="T6" s="86" t="str">
        <f t="shared" si="8"/>
        <v>Southbound</v>
      </c>
      <c r="U6" s="10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https://search-rtdc-monitor-bjffxe2xuh6vdkpspy63sjmuny.us-east-1.es.amazonaws.com/_plugin/kibana/#/discover/Steve-Slow-Train-Analysis-(2080s-and-2083s)?_g=(refreshInterval:(display:Off,section:0,value:0),time:(from:'2016-06-14 04:36:55-0600',mode:absolute,to:'2016-06-14 05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23.2746</v>
      </c>
      <c r="Z6" s="73">
        <f>RIGHT(H6,LEN(H6)-4)/10000</f>
        <v>1.5800000000000002E-2</v>
      </c>
      <c r="AA6" s="73">
        <f t="shared" si="6"/>
        <v>23.258800000000001</v>
      </c>
      <c r="AB6" s="74" t="e">
        <f>VLOOKUP(A6,Enforcements!$C$20:$J$60,8,0)</f>
        <v>#N/A</v>
      </c>
      <c r="AC6" s="74" t="e">
        <f>VLOOKUP(A6,Enforcements!$C$20:$J$60,3,0)</f>
        <v>#N/A</v>
      </c>
    </row>
    <row r="7" spans="1:91" s="2" customFormat="1" x14ac:dyDescent="0.25">
      <c r="A7" s="60" t="s">
        <v>435</v>
      </c>
      <c r="B7" s="60">
        <v>4016</v>
      </c>
      <c r="C7" s="60" t="s">
        <v>62</v>
      </c>
      <c r="D7" s="60" t="s">
        <v>530</v>
      </c>
      <c r="E7" s="30">
        <v>42535.167939814812</v>
      </c>
      <c r="F7" s="30">
        <v>42535.169363425928</v>
      </c>
      <c r="G7" s="38">
        <v>2</v>
      </c>
      <c r="H7" s="30" t="s">
        <v>103</v>
      </c>
      <c r="I7" s="30">
        <v>42535.2028125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ROCHA</v>
      </c>
      <c r="M7" s="12">
        <f t="shared" si="1"/>
        <v>3.3449074071540963E-2</v>
      </c>
      <c r="N7" s="13">
        <f t="shared" si="2"/>
        <v>48.166666663018987</v>
      </c>
      <c r="O7" s="13"/>
      <c r="P7" s="13"/>
      <c r="Q7" s="61"/>
      <c r="R7" s="61"/>
      <c r="S7" s="108">
        <f t="shared" si="7"/>
        <v>1</v>
      </c>
      <c r="T7" s="86" t="str">
        <f t="shared" si="8"/>
        <v>NorthBound</v>
      </c>
      <c r="U7" s="10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https://search-rtdc-monitor-bjffxe2xuh6vdkpspy63sjmuny.us-east-1.es.amazonaws.com/_plugin/kibana/#/discover/Steve-Slow-Train-Analysis-(2080s-and-2083s)?_g=(refreshInterval:(display:Off,section:0,value:0),time:(from:'2016-06-14 04:00:50-0600',mode:absolute,to:'2016-06-14 04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7.7200000000000005E-2</v>
      </c>
      <c r="Z7" s="73">
        <f>RIGHT(H7,LEN(H7)-4)/10000</f>
        <v>23.329899999999999</v>
      </c>
      <c r="AA7" s="73">
        <f t="shared" si="6"/>
        <v>23.252699999999997</v>
      </c>
      <c r="AB7" s="74" t="e">
        <f>VLOOKUP(A7,Enforcements!$C$20:$J$60,8,0)</f>
        <v>#N/A</v>
      </c>
      <c r="AC7" s="74" t="e">
        <f>VLOOKUP(A7,Enforcements!$C$20:$J$60,3,0)</f>
        <v>#N/A</v>
      </c>
    </row>
    <row r="8" spans="1:91" s="2" customFormat="1" x14ac:dyDescent="0.25">
      <c r="A8" s="60" t="s">
        <v>453</v>
      </c>
      <c r="B8" s="60">
        <v>4008</v>
      </c>
      <c r="C8" s="60" t="s">
        <v>62</v>
      </c>
      <c r="D8" s="60" t="s">
        <v>524</v>
      </c>
      <c r="E8" s="30">
        <v>42535.211435185185</v>
      </c>
      <c r="F8" s="30">
        <v>42535.212407407409</v>
      </c>
      <c r="G8" s="38">
        <v>1</v>
      </c>
      <c r="H8" s="30" t="s">
        <v>74</v>
      </c>
      <c r="I8" s="30">
        <v>42535.242407407408</v>
      </c>
      <c r="J8" s="60">
        <v>0</v>
      </c>
      <c r="K8" s="60" t="str">
        <f t="shared" si="0"/>
        <v>4007/4008</v>
      </c>
      <c r="L8" s="60" t="str">
        <f>VLOOKUP(A8,'Trips&amp;Operators'!$C$1:$E$9999,3,FALSE)</f>
        <v>ROCHA</v>
      </c>
      <c r="M8" s="12">
        <f t="shared" si="1"/>
        <v>2.9999999998835847E-2</v>
      </c>
      <c r="N8" s="13">
        <f t="shared" si="2"/>
        <v>43.199999998323619</v>
      </c>
      <c r="O8" s="13"/>
      <c r="P8" s="13"/>
      <c r="Q8" s="61"/>
      <c r="R8" s="61"/>
      <c r="S8" s="108">
        <f t="shared" si="7"/>
        <v>1</v>
      </c>
      <c r="T8" s="86" t="str">
        <f t="shared" si="8"/>
        <v>Southbound</v>
      </c>
      <c r="U8" s="10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https://search-rtdc-monitor-bjffxe2xuh6vdkpspy63sjmuny.us-east-1.es.amazonaws.com/_plugin/kibana/#/discover/Steve-Slow-Train-Analysis-(2080s-and-2083s)?_g=(refreshInterval:(display:Off,section:0,value:0),time:(from:'2016-06-14 05:03:28-0600',mode:absolute,to:'2016-06-14 05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23.264099999999999</v>
      </c>
      <c r="Z8" s="73">
        <f>RIGHT(H8,LEN(H8)-4)/10000</f>
        <v>1.47E-2</v>
      </c>
      <c r="AA8" s="73">
        <f t="shared" si="6"/>
        <v>23.249399999999998</v>
      </c>
      <c r="AB8" s="74" t="e">
        <f>VLOOKUP(A8,Enforcements!$C$20:$J$60,8,0)</f>
        <v>#N/A</v>
      </c>
      <c r="AC8" s="74" t="e">
        <f>VLOOKUP(A8,Enforcements!$C$20:$J$60,3,0)</f>
        <v>#N/A</v>
      </c>
    </row>
    <row r="9" spans="1:91" s="2" customFormat="1" x14ac:dyDescent="0.25">
      <c r="A9" s="60" t="s">
        <v>320</v>
      </c>
      <c r="B9" s="60">
        <v>4009</v>
      </c>
      <c r="C9" s="60" t="s">
        <v>62</v>
      </c>
      <c r="D9" s="60" t="s">
        <v>286</v>
      </c>
      <c r="E9" s="30">
        <v>42535.174861111111</v>
      </c>
      <c r="F9" s="30">
        <v>42535.176122685189</v>
      </c>
      <c r="G9" s="38">
        <v>1</v>
      </c>
      <c r="H9" s="30" t="s">
        <v>528</v>
      </c>
      <c r="I9" s="30">
        <v>42535.211782407408</v>
      </c>
      <c r="J9" s="60">
        <v>1</v>
      </c>
      <c r="K9" s="60" t="str">
        <f t="shared" si="0"/>
        <v>4009/4010</v>
      </c>
      <c r="L9" s="60" t="str">
        <f>VLOOKUP(A9,'Trips&amp;Operators'!$C$1:$E$9999,3,FALSE)</f>
        <v>YANAI</v>
      </c>
      <c r="M9" s="12">
        <f t="shared" si="1"/>
        <v>3.5659722219861578E-2</v>
      </c>
      <c r="N9" s="13"/>
      <c r="O9" s="13"/>
      <c r="P9" s="13">
        <f>24*60*SUM($M9:$M9)</f>
        <v>51.349999996600673</v>
      </c>
      <c r="Q9" s="61"/>
      <c r="R9" s="61" t="s">
        <v>557</v>
      </c>
      <c r="S9" s="108">
        <f t="shared" si="7"/>
        <v>1</v>
      </c>
      <c r="T9" s="86" t="str">
        <f t="shared" si="8"/>
        <v>NorthBound</v>
      </c>
      <c r="U9" s="10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https://search-rtdc-monitor-bjffxe2xuh6vdkpspy63sjmuny.us-east-1.es.amazonaws.com/_plugin/kibana/#/discover/Steve-Slow-Train-Analysis-(2080s-and-2083s)?_g=(refreshInterval:(display:Off,section:0,value:0),time:(from:'2016-06-14 04:10:48-0600',mode:absolute,to:'2016-06-14 05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" s="73" t="str">
        <f t="shared" si="5"/>
        <v>Y</v>
      </c>
      <c r="X9" s="73">
        <f>VALUE(LEFT(A9,3))-VALUE(LEFT(A8,3))</f>
        <v>1</v>
      </c>
      <c r="Y9" s="73">
        <f>RIGHT(D9,LEN(D9)-4)/10000</f>
        <v>4.4699999999999997E-2</v>
      </c>
      <c r="Z9" s="73">
        <f>RIGHT(H9,LEN(H9)-4)/10000</f>
        <v>22.9436</v>
      </c>
      <c r="AA9" s="73">
        <f t="shared" si="6"/>
        <v>22.898900000000001</v>
      </c>
      <c r="AB9" s="74" t="e">
        <f>VLOOKUP(A9,Enforcements!$C$20:$J$60,8,0)</f>
        <v>#N/A</v>
      </c>
      <c r="AC9" s="74" t="e">
        <f>VLOOKUP(A9,Enforcements!$C$20:$J$60,3,0)</f>
        <v>#N/A</v>
      </c>
    </row>
    <row r="10" spans="1:91" s="2" customFormat="1" x14ac:dyDescent="0.25">
      <c r="A10" s="60" t="s">
        <v>436</v>
      </c>
      <c r="B10" s="60">
        <v>4010</v>
      </c>
      <c r="C10" s="60" t="s">
        <v>62</v>
      </c>
      <c r="D10" s="60" t="s">
        <v>317</v>
      </c>
      <c r="E10" s="30">
        <v>42535.224062499998</v>
      </c>
      <c r="F10" s="30">
        <v>42535.225138888891</v>
      </c>
      <c r="G10" s="38">
        <v>1</v>
      </c>
      <c r="H10" s="30" t="s">
        <v>66</v>
      </c>
      <c r="I10" s="30">
        <v>42535.253078703703</v>
      </c>
      <c r="J10" s="60">
        <v>0</v>
      </c>
      <c r="K10" s="60" t="str">
        <f t="shared" si="0"/>
        <v>4009/4010</v>
      </c>
      <c r="L10" s="60" t="str">
        <f>VLOOKUP(A10,'Trips&amp;Operators'!$C$1:$E$9999,3,FALSE)</f>
        <v>YANAI</v>
      </c>
      <c r="M10" s="12">
        <f t="shared" si="1"/>
        <v>2.7939814812270924E-2</v>
      </c>
      <c r="N10" s="13">
        <f>24*60*SUM($M10:$M10)</f>
        <v>40.233333329670131</v>
      </c>
      <c r="O10" s="13"/>
      <c r="P10" s="13"/>
      <c r="Q10" s="61"/>
      <c r="R10" s="61"/>
      <c r="S10" s="108">
        <f t="shared" si="7"/>
        <v>1</v>
      </c>
      <c r="T10" s="86" t="str">
        <f t="shared" si="8"/>
        <v>Southbound</v>
      </c>
      <c r="U10" s="10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https://search-rtdc-monitor-bjffxe2xuh6vdkpspy63sjmuny.us-east-1.es.amazonaws.com/_plugin/kibana/#/discover/Steve-Slow-Train-Analysis-(2080s-and-2083s)?_g=(refreshInterval:(display:Off,section:0,value:0),time:(from:'2016-06-14 05:21:39-0600',mode:absolute,to:'2016-06-14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23.3002</v>
      </c>
      <c r="Z10" s="73">
        <f>RIGHT(H10,LEN(H10)-4)/10000</f>
        <v>1.52E-2</v>
      </c>
      <c r="AA10" s="73">
        <f t="shared" si="6"/>
        <v>23.285</v>
      </c>
      <c r="AB10" s="74" t="e">
        <f>VLOOKUP(A10,Enforcements!$C$20:$J$60,8,0)</f>
        <v>#N/A</v>
      </c>
      <c r="AC10" s="74" t="e">
        <f>VLOOKUP(A10,Enforcements!$C$20:$J$60,3,0)</f>
        <v>#N/A</v>
      </c>
    </row>
    <row r="11" spans="1:91" s="2" customFormat="1" x14ac:dyDescent="0.25">
      <c r="A11" s="60" t="s">
        <v>426</v>
      </c>
      <c r="B11" s="60">
        <v>4020</v>
      </c>
      <c r="C11" s="60" t="s">
        <v>62</v>
      </c>
      <c r="D11" s="60" t="s">
        <v>495</v>
      </c>
      <c r="E11" s="30">
        <v>42535.189432870371</v>
      </c>
      <c r="F11" s="30">
        <v>42535.191967592589</v>
      </c>
      <c r="G11" s="38">
        <v>3</v>
      </c>
      <c r="H11" s="30" t="s">
        <v>527</v>
      </c>
      <c r="I11" s="30">
        <v>42535.192557870374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ACKERMAN</v>
      </c>
      <c r="M11" s="12">
        <f t="shared" si="1"/>
        <v>5.9027778479503468E-4</v>
      </c>
      <c r="N11" s="13"/>
      <c r="O11" s="13"/>
      <c r="P11" s="13">
        <f>24*60*SUM($M11:$M12)</f>
        <v>1.9166666746605188</v>
      </c>
      <c r="Q11" s="61"/>
      <c r="R11" s="61" t="s">
        <v>554</v>
      </c>
      <c r="S11" s="108">
        <f t="shared" si="7"/>
        <v>0</v>
      </c>
      <c r="T11" s="86" t="str">
        <f t="shared" si="8"/>
        <v>NorthBound</v>
      </c>
      <c r="U11" s="109">
        <f>COUNTIFS([1]Variables!$M$2:$M$19,IF(T11="NorthBound","&gt;=","&lt;=")&amp;Y11,[1]Variables!$M$2:$M$19,IF(T11="NorthBound","&lt;=","&gt;=")&amp;Z11)</f>
        <v>0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https://search-rtdc-monitor-bjffxe2xuh6vdkpspy63sjmuny.us-east-1.es.amazonaws.com/_plugin/kibana/#/discover/Steve-Slow-Train-Analysis-(2080s-and-2083s)?_g=(refreshInterval:(display:Off,section:0,value:0),time:(from:'2016-06-14 04:31:47-0600',mode:absolute,to:'2016-06-14 04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" s="73" t="str">
        <f t="shared" si="5"/>
        <v>Y</v>
      </c>
      <c r="X11" s="73">
        <f>VALUE(LEFT(A11,3))-VALUE(LEFT(A10,3))</f>
        <v>1</v>
      </c>
      <c r="Y11" s="73">
        <f>RIGHT(D11,LEN(D11)-4)/10000</f>
        <v>4.2599999999999999E-2</v>
      </c>
      <c r="Z11" s="73">
        <f>RIGHT(H11,LEN(H11)-4)/10000</f>
        <v>4.1599999999999998E-2</v>
      </c>
      <c r="AA11" s="73">
        <f t="shared" si="6"/>
        <v>1.0000000000000009E-3</v>
      </c>
      <c r="AB11" s="74" t="e">
        <f>VLOOKUP(A11,Enforcements!$C$20:$J$60,8,0)</f>
        <v>#N/A</v>
      </c>
      <c r="AC11" s="74" t="e">
        <f>VLOOKUP(A11,Enforcements!$C$20:$J$60,3,0)</f>
        <v>#N/A</v>
      </c>
    </row>
    <row r="12" spans="1:91" s="2" customFormat="1" x14ac:dyDescent="0.25">
      <c r="A12" s="60" t="s">
        <v>426</v>
      </c>
      <c r="B12" s="60">
        <v>4020</v>
      </c>
      <c r="C12" s="60" t="s">
        <v>62</v>
      </c>
      <c r="D12" s="60" t="s">
        <v>315</v>
      </c>
      <c r="E12" s="30">
        <v>42535.192719907405</v>
      </c>
      <c r="F12" s="30">
        <v>42535.193784722222</v>
      </c>
      <c r="G12" s="38">
        <v>1</v>
      </c>
      <c r="H12" s="30" t="s">
        <v>468</v>
      </c>
      <c r="I12" s="30">
        <v>42535.194525462961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ACKERMAN</v>
      </c>
      <c r="M12" s="12">
        <f t="shared" si="1"/>
        <v>7.4074073927477002E-4</v>
      </c>
      <c r="N12" s="13"/>
      <c r="O12" s="13"/>
      <c r="P12" s="13"/>
      <c r="Q12" s="61"/>
      <c r="R12" s="61"/>
      <c r="S12" s="108">
        <f t="shared" si="7"/>
        <v>0</v>
      </c>
      <c r="T12" s="86" t="str">
        <f t="shared" si="8"/>
        <v>NorthBound</v>
      </c>
      <c r="U12" s="109">
        <f>COUNTIFS([1]Variables!$M$2:$M$19,IF(T12="NorthBound","&gt;=","&lt;=")&amp;Y12,[1]Variables!$M$2:$M$19,IF(T12="NorthBound","&lt;=","&gt;=")&amp;Z12)</f>
        <v>0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https://search-rtdc-monitor-bjffxe2xuh6vdkpspy63sjmuny.us-east-1.es.amazonaws.com/_plugin/kibana/#/discover/Steve-Slow-Train-Analysis-(2080s-and-2083s)?_g=(refreshInterval:(display:Off,section:0,value:0),time:(from:'2016-06-14 04:36:31-0600',mode:absolute,to:'2016-06-14 04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" s="73" t="str">
        <f t="shared" si="5"/>
        <v>Y</v>
      </c>
      <c r="X12" s="73">
        <f>VALUE(LEFT(A12,3))-VALUE(LEFT(A11,3))</f>
        <v>0</v>
      </c>
      <c r="Y12" s="73">
        <f>RIGHT(D12,LEN(D12)-4)/10000</f>
        <v>4.4400000000000002E-2</v>
      </c>
      <c r="Z12" s="73">
        <f>RIGHT(H12,LEN(H12)-4)/10000</f>
        <v>4.3999999999999997E-2</v>
      </c>
      <c r="AA12" s="73">
        <f t="shared" si="6"/>
        <v>4.0000000000000452E-4</v>
      </c>
      <c r="AB12" s="74" t="e">
        <f>VLOOKUP(A12,Enforcements!$C$20:$J$60,8,0)</f>
        <v>#N/A</v>
      </c>
      <c r="AC12" s="74" t="e">
        <f>VLOOKUP(A12,Enforcements!$C$20:$J$60,3,0)</f>
        <v>#N/A</v>
      </c>
    </row>
    <row r="13" spans="1:91" s="2" customFormat="1" x14ac:dyDescent="0.25">
      <c r="A13" s="60" t="s">
        <v>321</v>
      </c>
      <c r="B13" s="60">
        <v>4019</v>
      </c>
      <c r="C13" s="60" t="s">
        <v>62</v>
      </c>
      <c r="D13" s="60" t="s">
        <v>509</v>
      </c>
      <c r="E13" s="30">
        <v>42535.233877314815</v>
      </c>
      <c r="F13" s="30">
        <v>42535.235034722224</v>
      </c>
      <c r="G13" s="38">
        <v>1</v>
      </c>
      <c r="H13" s="30" t="s">
        <v>521</v>
      </c>
      <c r="I13" s="30">
        <v>42535.264432870368</v>
      </c>
      <c r="J13" s="60">
        <v>2</v>
      </c>
      <c r="K13" s="60" t="str">
        <f t="shared" si="0"/>
        <v>4019/4020</v>
      </c>
      <c r="L13" s="60" t="str">
        <f>VLOOKUP(A13,'Trips&amp;Operators'!$C$1:$E$9999,3,FALSE)</f>
        <v>ACKERMAN</v>
      </c>
      <c r="M13" s="12">
        <f t="shared" si="1"/>
        <v>2.9398148144537117E-2</v>
      </c>
      <c r="N13" s="13">
        <f t="shared" ref="N13:N36" si="9">24*60*SUM($M13:$M13)</f>
        <v>42.333333328133449</v>
      </c>
      <c r="O13" s="13"/>
      <c r="P13" s="13"/>
      <c r="Q13" s="61"/>
      <c r="R13" s="61"/>
      <c r="S13" s="108">
        <f t="shared" si="7"/>
        <v>1</v>
      </c>
      <c r="T13" s="86" t="str">
        <f t="shared" si="8"/>
        <v>Southbound</v>
      </c>
      <c r="U13" s="10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https://search-rtdc-monitor-bjffxe2xuh6vdkpspy63sjmuny.us-east-1.es.amazonaws.com/_plugin/kibana/#/discover/Steve-Slow-Train-Analysis-(2080s-and-2083s)?_g=(refreshInterval:(display:Off,section:0,value:0),time:(from:'2016-06-14 05:35:47-0600',mode:absolute,to:'2016-06-14 06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23.298400000000001</v>
      </c>
      <c r="Z13" s="73">
        <f>RIGHT(H13,LEN(H13)-4)/10000</f>
        <v>0.1207</v>
      </c>
      <c r="AA13" s="73">
        <f t="shared" si="6"/>
        <v>23.177700000000002</v>
      </c>
      <c r="AB13" s="74">
        <f>VLOOKUP(A13,Enforcements!$C$20:$J$60,8,0)</f>
        <v>839</v>
      </c>
      <c r="AC13" s="74" t="str">
        <f>VLOOKUP(A13,Enforcements!$C$20:$J$60,3,0)</f>
        <v>TRACK WARRANT AUTHORITY</v>
      </c>
    </row>
    <row r="14" spans="1:91" s="2" customFormat="1" x14ac:dyDescent="0.25">
      <c r="A14" s="60" t="s">
        <v>458</v>
      </c>
      <c r="B14" s="60">
        <v>4014</v>
      </c>
      <c r="C14" s="60" t="s">
        <v>62</v>
      </c>
      <c r="D14" s="60" t="s">
        <v>525</v>
      </c>
      <c r="E14" s="30">
        <v>42535.206238425926</v>
      </c>
      <c r="F14" s="30">
        <v>42535.209120370368</v>
      </c>
      <c r="G14" s="38">
        <v>4</v>
      </c>
      <c r="H14" s="30" t="s">
        <v>100</v>
      </c>
      <c r="I14" s="30">
        <v>42535.235034722224</v>
      </c>
      <c r="J14" s="60">
        <v>0</v>
      </c>
      <c r="K14" s="60" t="str">
        <f t="shared" si="0"/>
        <v>4013/4014</v>
      </c>
      <c r="L14" s="60" t="str">
        <f>VLOOKUP(A14,'Trips&amp;Operators'!$C$1:$E$9999,3,FALSE)</f>
        <v>BRANNON</v>
      </c>
      <c r="M14" s="12">
        <f t="shared" si="1"/>
        <v>2.5914351856044959E-2</v>
      </c>
      <c r="N14" s="13">
        <f t="shared" si="9"/>
        <v>37.316666672704741</v>
      </c>
      <c r="O14" s="13"/>
      <c r="P14" s="13"/>
      <c r="Q14" s="61"/>
      <c r="R14" s="61"/>
      <c r="S14" s="108">
        <f t="shared" si="7"/>
        <v>1</v>
      </c>
      <c r="T14" s="86" t="str">
        <f t="shared" si="8"/>
        <v>NorthBound</v>
      </c>
      <c r="U14" s="10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https://search-rtdc-monitor-bjffxe2xuh6vdkpspy63sjmuny.us-east-1.es.amazonaws.com/_plugin/kibana/#/discover/Steve-Slow-Train-Analysis-(2080s-and-2083s)?_g=(refreshInterval:(display:Off,section:0,value:0),time:(from:'2016-06-14 04:55:59-0600',mode:absolute,to:'2016-06-14 05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7.8100000000000003E-2</v>
      </c>
      <c r="Z14" s="73">
        <f>RIGHT(H14,LEN(H14)-4)/10000</f>
        <v>23.330400000000001</v>
      </c>
      <c r="AA14" s="73">
        <f t="shared" si="6"/>
        <v>23.252300000000002</v>
      </c>
      <c r="AB14" s="74" t="e">
        <f>VLOOKUP(A14,Enforcements!$C$20:$J$60,8,0)</f>
        <v>#N/A</v>
      </c>
      <c r="AC14" s="74" t="e">
        <f>VLOOKUP(A14,Enforcements!$C$20:$J$60,3,0)</f>
        <v>#N/A</v>
      </c>
    </row>
    <row r="15" spans="1:91" s="2" customFormat="1" x14ac:dyDescent="0.25">
      <c r="A15" s="60" t="s">
        <v>322</v>
      </c>
      <c r="B15" s="60">
        <v>4013</v>
      </c>
      <c r="C15" s="60" t="s">
        <v>62</v>
      </c>
      <c r="D15" s="60" t="s">
        <v>257</v>
      </c>
      <c r="E15" s="30">
        <v>42535.242060185185</v>
      </c>
      <c r="F15" s="30">
        <v>42535.243738425925</v>
      </c>
      <c r="G15" s="38">
        <v>2</v>
      </c>
      <c r="H15" s="30" t="s">
        <v>520</v>
      </c>
      <c r="I15" s="30">
        <v>42535.274409722224</v>
      </c>
      <c r="J15" s="60">
        <v>1</v>
      </c>
      <c r="K15" s="60" t="str">
        <f t="shared" si="0"/>
        <v>4013/4014</v>
      </c>
      <c r="L15" s="60" t="str">
        <f>VLOOKUP(A15,'Trips&amp;Operators'!$C$1:$E$9999,3,FALSE)</f>
        <v>BRANNON</v>
      </c>
      <c r="M15" s="12">
        <f t="shared" si="1"/>
        <v>3.0671296299260575E-2</v>
      </c>
      <c r="N15" s="13">
        <f t="shared" si="9"/>
        <v>44.166666670935228</v>
      </c>
      <c r="O15" s="13"/>
      <c r="P15" s="13"/>
      <c r="Q15" s="61"/>
      <c r="R15" s="61"/>
      <c r="S15" s="108">
        <f t="shared" si="7"/>
        <v>1</v>
      </c>
      <c r="T15" s="86" t="str">
        <f t="shared" si="8"/>
        <v>Southbound</v>
      </c>
      <c r="U15" s="10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https://search-rtdc-monitor-bjffxe2xuh6vdkpspy63sjmuny.us-east-1.es.amazonaws.com/_plugin/kibana/#/discover/Steve-Slow-Train-Analysis-(2080s-and-2083s)?_g=(refreshInterval:(display:Off,section:0,value:0),time:(from:'2016-06-14 05:47:34-0600',mode:absolute,to:'2016-06-14 06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" s="73" t="str">
        <f t="shared" si="5"/>
        <v>N</v>
      </c>
      <c r="X15" s="73">
        <f>VALUE(LEFT(A15,3))-VALUE(LEFT(A14,3))</f>
        <v>1</v>
      </c>
      <c r="Y15" s="73">
        <f>RIGHT(D15,LEN(D15)-4)/10000</f>
        <v>23.298500000000001</v>
      </c>
      <c r="Z15" s="73">
        <f>RIGHT(H15,LEN(H15)-4)/10000</f>
        <v>2.3599999999999999E-2</v>
      </c>
      <c r="AA15" s="73">
        <f t="shared" si="6"/>
        <v>23.274900000000002</v>
      </c>
      <c r="AB15" s="74">
        <f>VLOOKUP(A15,Enforcements!$C$20:$J$60,8,0)</f>
        <v>1</v>
      </c>
      <c r="AC15" s="74" t="str">
        <f>VLOOKUP(A15,Enforcements!$C$20:$J$60,3,0)</f>
        <v>TRACK WARRANT AUTHORITY</v>
      </c>
    </row>
    <row r="16" spans="1:91" s="2" customFormat="1" x14ac:dyDescent="0.25">
      <c r="A16" s="60" t="s">
        <v>463</v>
      </c>
      <c r="B16" s="60">
        <v>4024</v>
      </c>
      <c r="C16" s="60" t="s">
        <v>62</v>
      </c>
      <c r="D16" s="60" t="s">
        <v>318</v>
      </c>
      <c r="E16" s="30">
        <v>42535.212002314816</v>
      </c>
      <c r="F16" s="30">
        <v>42535.213136574072</v>
      </c>
      <c r="G16" s="38">
        <v>1</v>
      </c>
      <c r="H16" s="30" t="s">
        <v>304</v>
      </c>
      <c r="I16" s="30">
        <v>42535.245520833334</v>
      </c>
      <c r="J16" s="60">
        <v>0</v>
      </c>
      <c r="K16" s="60" t="str">
        <f t="shared" si="0"/>
        <v>4023/4024</v>
      </c>
      <c r="L16" s="60" t="str">
        <f>VLOOKUP(A16,'Trips&amp;Operators'!$C$1:$E$9999,3,FALSE)</f>
        <v>STURGEON</v>
      </c>
      <c r="M16" s="12">
        <f t="shared" si="1"/>
        <v>3.238425926247146E-2</v>
      </c>
      <c r="N16" s="13">
        <f t="shared" si="9"/>
        <v>46.633333337958902</v>
      </c>
      <c r="O16" s="13"/>
      <c r="P16" s="13"/>
      <c r="Q16" s="61"/>
      <c r="R16" s="61"/>
      <c r="S16" s="108">
        <f t="shared" si="7"/>
        <v>1</v>
      </c>
      <c r="T16" s="86" t="str">
        <f t="shared" si="8"/>
        <v>NorthBound</v>
      </c>
      <c r="U16" s="109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https://search-rtdc-monitor-bjffxe2xuh6vdkpspy63sjmuny.us-east-1.es.amazonaws.com/_plugin/kibana/#/discover/Steve-Slow-Train-Analysis-(2080s-and-2083s)?_g=(refreshInterval:(display:Off,section:0,value:0),time:(from:'2016-06-14 05:04:17-0600',mode:absolute,to:'2016-06-14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6" s="73" t="str">
        <f t="shared" si="5"/>
        <v>N</v>
      </c>
      <c r="X16" s="73">
        <f>VALUE(LEFT(A16,3))-VALUE(LEFT(A15,3))</f>
        <v>1</v>
      </c>
      <c r="Y16" s="73">
        <f>RIGHT(D16,LEN(D16)-4)/10000</f>
        <v>4.7800000000000002E-2</v>
      </c>
      <c r="Z16" s="73">
        <f>RIGHT(H16,LEN(H16)-4)/10000</f>
        <v>23.327000000000002</v>
      </c>
      <c r="AA16" s="73">
        <f t="shared" si="6"/>
        <v>23.279200000000003</v>
      </c>
      <c r="AB16" s="74" t="e">
        <f>VLOOKUP(A16,Enforcements!$C$20:$J$60,8,0)</f>
        <v>#N/A</v>
      </c>
      <c r="AC16" s="74" t="e">
        <f>VLOOKUP(A16,Enforcements!$C$20:$J$60,3,0)</f>
        <v>#N/A</v>
      </c>
    </row>
    <row r="17" spans="1:29" s="2" customFormat="1" x14ac:dyDescent="0.25">
      <c r="A17" s="60" t="s">
        <v>366</v>
      </c>
      <c r="B17" s="60">
        <v>4023</v>
      </c>
      <c r="C17" s="60" t="s">
        <v>62</v>
      </c>
      <c r="D17" s="60" t="s">
        <v>517</v>
      </c>
      <c r="E17" s="30">
        <v>42535.253958333335</v>
      </c>
      <c r="F17" s="30">
        <v>42535.255057870374</v>
      </c>
      <c r="G17" s="38">
        <v>1</v>
      </c>
      <c r="H17" s="30" t="s">
        <v>90</v>
      </c>
      <c r="I17" s="30">
        <v>42535.286041666666</v>
      </c>
      <c r="J17" s="60">
        <v>0</v>
      </c>
      <c r="K17" s="60" t="str">
        <f t="shared" si="0"/>
        <v>4023/4024</v>
      </c>
      <c r="L17" s="60" t="str">
        <f>VLOOKUP(A17,'Trips&amp;Operators'!$C$1:$E$9999,3,FALSE)</f>
        <v>STURGEON</v>
      </c>
      <c r="M17" s="12">
        <f t="shared" si="1"/>
        <v>3.0983796292275656E-2</v>
      </c>
      <c r="N17" s="13">
        <f t="shared" si="9"/>
        <v>44.616666660876945</v>
      </c>
      <c r="O17" s="13"/>
      <c r="P17" s="13"/>
      <c r="Q17" s="61"/>
      <c r="R17" s="61"/>
      <c r="S17" s="108">
        <f t="shared" si="7"/>
        <v>1</v>
      </c>
      <c r="T17" s="86" t="str">
        <f t="shared" si="8"/>
        <v>Southbound</v>
      </c>
      <c r="U17" s="109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https://search-rtdc-monitor-bjffxe2xuh6vdkpspy63sjmuny.us-east-1.es.amazonaws.com/_plugin/kibana/#/discover/Steve-Slow-Train-Analysis-(2080s-and-2083s)?_g=(refreshInterval:(display:Off,section:0,value:0),time:(from:'2016-06-14 06:04:42-0600',mode:absolute,to:'2016-06-14 06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7" s="73" t="str">
        <f t="shared" si="5"/>
        <v>N</v>
      </c>
      <c r="X17" s="73">
        <f>VALUE(LEFT(A17,3))-VALUE(LEFT(A16,3))</f>
        <v>1</v>
      </c>
      <c r="Y17" s="73">
        <f>RIGHT(D17,LEN(D17)-4)/10000</f>
        <v>23.295000000000002</v>
      </c>
      <c r="Z17" s="73">
        <f>RIGHT(H17,LEN(H17)-4)/10000</f>
        <v>1.49E-2</v>
      </c>
      <c r="AA17" s="73">
        <f t="shared" si="6"/>
        <v>23.280100000000001</v>
      </c>
      <c r="AB17" s="74" t="e">
        <f>VLOOKUP(A17,Enforcements!$C$20:$J$60,8,0)</f>
        <v>#N/A</v>
      </c>
      <c r="AC17" s="74" t="e">
        <f>VLOOKUP(A17,Enforcements!$C$20:$J$60,3,0)</f>
        <v>#N/A</v>
      </c>
    </row>
    <row r="18" spans="1:29" s="2" customFormat="1" x14ac:dyDescent="0.25">
      <c r="A18" s="60" t="s">
        <v>427</v>
      </c>
      <c r="B18" s="60">
        <v>4044</v>
      </c>
      <c r="C18" s="60" t="s">
        <v>62</v>
      </c>
      <c r="D18" s="60" t="s">
        <v>523</v>
      </c>
      <c r="E18" s="30">
        <v>42535.229004629633</v>
      </c>
      <c r="F18" s="30">
        <v>42535.230162037034</v>
      </c>
      <c r="G18" s="38">
        <v>1</v>
      </c>
      <c r="H18" s="30" t="s">
        <v>313</v>
      </c>
      <c r="I18" s="30">
        <v>42535.256342592591</v>
      </c>
      <c r="J18" s="60">
        <v>0</v>
      </c>
      <c r="K18" s="60" t="str">
        <f t="shared" si="0"/>
        <v>4043/4044</v>
      </c>
      <c r="L18" s="60" t="str">
        <f>VLOOKUP(A18,'Trips&amp;Operators'!$C$1:$E$9999,3,FALSE)</f>
        <v>SPECTOR</v>
      </c>
      <c r="M18" s="12">
        <f t="shared" si="1"/>
        <v>2.6180555556493346E-2</v>
      </c>
      <c r="N18" s="13">
        <f t="shared" si="9"/>
        <v>37.700000001350418</v>
      </c>
      <c r="O18" s="13"/>
      <c r="P18" s="13"/>
      <c r="Q18" s="61"/>
      <c r="R18" s="61"/>
      <c r="S18" s="108">
        <f t="shared" si="7"/>
        <v>1</v>
      </c>
      <c r="T18" s="86" t="str">
        <f t="shared" si="8"/>
        <v>NorthBound</v>
      </c>
      <c r="U18" s="109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https://search-rtdc-monitor-bjffxe2xuh6vdkpspy63sjmuny.us-east-1.es.amazonaws.com/_plugin/kibana/#/discover/Steve-Slow-Train-Analysis-(2080s-and-2083s)?_g=(refreshInterval:(display:Off,section:0,value:0),time:(from:'2016-06-14 05:28:46-0600',mode:absolute,to:'2016-06-14 06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7.7700000000000005E-2</v>
      </c>
      <c r="Z18" s="73">
        <f>RIGHT(H18,LEN(H18)-4)/10000</f>
        <v>23.3325</v>
      </c>
      <c r="AA18" s="73">
        <f t="shared" si="6"/>
        <v>23.254799999999999</v>
      </c>
      <c r="AB18" s="74" t="e">
        <f>VLOOKUP(A18,Enforcements!$C$20:$J$60,8,0)</f>
        <v>#N/A</v>
      </c>
      <c r="AC18" s="74" t="e">
        <f>VLOOKUP(A18,Enforcements!$C$20:$J$60,3,0)</f>
        <v>#N/A</v>
      </c>
    </row>
    <row r="19" spans="1:29" s="2" customFormat="1" x14ac:dyDescent="0.25">
      <c r="A19" s="60" t="s">
        <v>462</v>
      </c>
      <c r="B19" s="60">
        <v>4043</v>
      </c>
      <c r="C19" s="60" t="s">
        <v>62</v>
      </c>
      <c r="D19" s="60" t="s">
        <v>515</v>
      </c>
      <c r="E19" s="30">
        <v>42535.261944444443</v>
      </c>
      <c r="F19" s="30">
        <v>42535.262974537036</v>
      </c>
      <c r="G19" s="38">
        <v>1</v>
      </c>
      <c r="H19" s="30" t="s">
        <v>516</v>
      </c>
      <c r="I19" s="30">
        <v>42535.294340277775</v>
      </c>
      <c r="J19" s="60">
        <v>0</v>
      </c>
      <c r="K19" s="60" t="str">
        <f t="shared" si="0"/>
        <v>4043/4044</v>
      </c>
      <c r="L19" s="60" t="str">
        <f>VLOOKUP(A19,'Trips&amp;Operators'!$C$1:$E$9999,3,FALSE)</f>
        <v>SPECTOR</v>
      </c>
      <c r="M19" s="12">
        <f t="shared" si="1"/>
        <v>3.1365740738692693E-2</v>
      </c>
      <c r="N19" s="13">
        <f t="shared" si="9"/>
        <v>45.166666663717479</v>
      </c>
      <c r="O19" s="13"/>
      <c r="P19" s="13"/>
      <c r="Q19" s="61"/>
      <c r="R19" s="61"/>
      <c r="S19" s="108">
        <f t="shared" si="7"/>
        <v>1</v>
      </c>
      <c r="T19" s="86" t="str">
        <f t="shared" si="8"/>
        <v>Southbound</v>
      </c>
      <c r="U19" s="109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https://search-rtdc-monitor-bjffxe2xuh6vdkpspy63sjmuny.us-east-1.es.amazonaws.com/_plugin/kibana/#/discover/Steve-Slow-Train-Analysis-(2080s-and-2083s)?_g=(refreshInterval:(display:Off,section:0,value:0),time:(from:'2016-06-14 06:16:12-0600',mode:absolute,to:'2016-06-14 07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" s="73" t="str">
        <f t="shared" si="5"/>
        <v>N</v>
      </c>
      <c r="X19" s="73">
        <f>VALUE(LEFT(A19,3))-VALUE(LEFT(A18,3))</f>
        <v>1</v>
      </c>
      <c r="Y19" s="73">
        <f>RIGHT(D19,LEN(D19)-4)/10000</f>
        <v>23.301100000000002</v>
      </c>
      <c r="Z19" s="73">
        <f>RIGHT(H19,LEN(H19)-4)/10000</f>
        <v>1.2500000000000001E-2</v>
      </c>
      <c r="AA19" s="73">
        <f t="shared" si="6"/>
        <v>23.288600000000002</v>
      </c>
      <c r="AB19" s="74" t="e">
        <f>VLOOKUP(A19,Enforcements!$C$20:$J$60,8,0)</f>
        <v>#N/A</v>
      </c>
      <c r="AC19" s="74" t="e">
        <f>VLOOKUP(A19,Enforcements!$C$20:$J$60,3,0)</f>
        <v>#N/A</v>
      </c>
    </row>
    <row r="20" spans="1:29" s="2" customFormat="1" x14ac:dyDescent="0.25">
      <c r="A20" s="60" t="s">
        <v>378</v>
      </c>
      <c r="B20" s="60">
        <v>4025</v>
      </c>
      <c r="C20" s="60" t="s">
        <v>62</v>
      </c>
      <c r="D20" s="60" t="s">
        <v>259</v>
      </c>
      <c r="E20" s="30">
        <v>42535.233275462961</v>
      </c>
      <c r="F20" s="30">
        <v>42535.234409722223</v>
      </c>
      <c r="G20" s="38">
        <v>1</v>
      </c>
      <c r="H20" s="30" t="s">
        <v>522</v>
      </c>
      <c r="I20" s="30">
        <v>42535.265613425923</v>
      </c>
      <c r="J20" s="60">
        <v>0</v>
      </c>
      <c r="K20" s="60" t="str">
        <f t="shared" si="0"/>
        <v>4025/4026</v>
      </c>
      <c r="L20" s="60" t="str">
        <f>VLOOKUP(A20,'Trips&amp;Operators'!$C$1:$E$9999,3,FALSE)</f>
        <v>STARKS</v>
      </c>
      <c r="M20" s="12">
        <f t="shared" si="1"/>
        <v>3.1203703700157348E-2</v>
      </c>
      <c r="N20" s="13">
        <f t="shared" si="9"/>
        <v>44.933333328226581</v>
      </c>
      <c r="O20" s="13"/>
      <c r="P20" s="13"/>
      <c r="Q20" s="61"/>
      <c r="R20" s="61"/>
      <c r="S20" s="108">
        <f t="shared" si="7"/>
        <v>1</v>
      </c>
      <c r="T20" s="86" t="str">
        <f t="shared" si="8"/>
        <v>NorthBound</v>
      </c>
      <c r="U20" s="10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https://search-rtdc-monitor-bjffxe2xuh6vdkpspy63sjmuny.us-east-1.es.amazonaws.com/_plugin/kibana/#/discover/Steve-Slow-Train-Analysis-(2080s-and-2083s)?_g=(refreshInterval:(display:Off,section:0,value:0),time:(from:'2016-06-14 05:34:55-0600',mode:absolute,to:'2016-06-14 06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4.6699999999999998E-2</v>
      </c>
      <c r="Z20" s="73">
        <f>RIGHT(H20,LEN(H20)-4)/10000</f>
        <v>23.332000000000001</v>
      </c>
      <c r="AA20" s="73">
        <f t="shared" si="6"/>
        <v>23.285299999999999</v>
      </c>
      <c r="AB20" s="74" t="e">
        <f>VLOOKUP(A20,Enforcements!$C$20:$J$60,8,0)</f>
        <v>#N/A</v>
      </c>
      <c r="AC20" s="74" t="e">
        <f>VLOOKUP(A20,Enforcements!$C$20:$J$60,3,0)</f>
        <v>#N/A</v>
      </c>
    </row>
    <row r="21" spans="1:29" s="2" customFormat="1" x14ac:dyDescent="0.25">
      <c r="A21" s="60" t="s">
        <v>381</v>
      </c>
      <c r="B21" s="60">
        <v>4026</v>
      </c>
      <c r="C21" s="60" t="s">
        <v>62</v>
      </c>
      <c r="D21" s="60" t="s">
        <v>512</v>
      </c>
      <c r="E21" s="30">
        <v>42535.275057870371</v>
      </c>
      <c r="F21" s="30">
        <v>42535.276018518518</v>
      </c>
      <c r="G21" s="38">
        <v>1</v>
      </c>
      <c r="H21" s="30" t="s">
        <v>513</v>
      </c>
      <c r="I21" s="30">
        <v>42535.307129629633</v>
      </c>
      <c r="J21" s="60">
        <v>0</v>
      </c>
      <c r="K21" s="60" t="str">
        <f t="shared" si="0"/>
        <v>4025/4026</v>
      </c>
      <c r="L21" s="60" t="str">
        <f>VLOOKUP(A21,'Trips&amp;Operators'!$C$1:$E$9999,3,FALSE)</f>
        <v>STARKS</v>
      </c>
      <c r="M21" s="12">
        <f t="shared" si="1"/>
        <v>3.1111111115023959E-2</v>
      </c>
      <c r="N21" s="13">
        <f t="shared" si="9"/>
        <v>44.800000005634502</v>
      </c>
      <c r="O21" s="13"/>
      <c r="P21" s="13"/>
      <c r="Q21" s="61"/>
      <c r="R21" s="61"/>
      <c r="S21" s="108">
        <f t="shared" si="7"/>
        <v>1</v>
      </c>
      <c r="T21" s="86" t="str">
        <f t="shared" si="8"/>
        <v>Southbound</v>
      </c>
      <c r="U21" s="10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https://search-rtdc-monitor-bjffxe2xuh6vdkpspy63sjmuny.us-east-1.es.amazonaws.com/_plugin/kibana/#/discover/Steve-Slow-Train-Analysis-(2080s-and-2083s)?_g=(refreshInterval:(display:Off,section:0,value:0),time:(from:'2016-06-14 06:35:05-0600',mode:absolute,to:'2016-06-14 07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23.300899999999999</v>
      </c>
      <c r="Z21" s="73">
        <f>RIGHT(H21,LEN(H21)-4)/10000</f>
        <v>8.8000000000000005E-3</v>
      </c>
      <c r="AA21" s="73">
        <f t="shared" si="6"/>
        <v>23.292099999999998</v>
      </c>
      <c r="AB21" s="74" t="e">
        <f>VLOOKUP(A21,Enforcements!$C$20:$J$60,8,0)</f>
        <v>#N/A</v>
      </c>
      <c r="AC21" s="74" t="e">
        <f>VLOOKUP(A21,Enforcements!$C$20:$J$60,3,0)</f>
        <v>#N/A</v>
      </c>
    </row>
    <row r="22" spans="1:29" s="2" customFormat="1" x14ac:dyDescent="0.25">
      <c r="A22" s="60" t="s">
        <v>323</v>
      </c>
      <c r="B22" s="60">
        <v>4016</v>
      </c>
      <c r="C22" s="60" t="s">
        <v>62</v>
      </c>
      <c r="D22" s="60" t="s">
        <v>518</v>
      </c>
      <c r="E22" s="30">
        <v>42535.247233796297</v>
      </c>
      <c r="F22" s="30">
        <v>42535.248449074075</v>
      </c>
      <c r="G22" s="38">
        <v>1</v>
      </c>
      <c r="H22" s="30" t="s">
        <v>519</v>
      </c>
      <c r="I22" s="30">
        <v>42535.274918981479</v>
      </c>
      <c r="J22" s="60">
        <v>1</v>
      </c>
      <c r="K22" s="60" t="str">
        <f t="shared" si="0"/>
        <v>4015/4016</v>
      </c>
      <c r="L22" s="60" t="str">
        <f>VLOOKUP(A22,'Trips&amp;Operators'!$C$1:$E$9999,3,FALSE)</f>
        <v>ROCHA</v>
      </c>
      <c r="M22" s="12">
        <f t="shared" si="1"/>
        <v>2.6469907403225079E-2</v>
      </c>
      <c r="N22" s="13">
        <f t="shared" si="9"/>
        <v>38.116666660644114</v>
      </c>
      <c r="O22" s="13"/>
      <c r="P22" s="13"/>
      <c r="Q22" s="61"/>
      <c r="R22" s="61"/>
      <c r="S22" s="108">
        <f t="shared" si="7"/>
        <v>1</v>
      </c>
      <c r="T22" s="86" t="str">
        <f t="shared" si="8"/>
        <v>NorthBound</v>
      </c>
      <c r="U22" s="10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https://search-rtdc-monitor-bjffxe2xuh6vdkpspy63sjmuny.us-east-1.es.amazonaws.com/_plugin/kibana/#/discover/Steve-Slow-Train-Analysis-(2080s-and-2083s)?_g=(refreshInterval:(display:Off,section:0,value:0),time:(from:'2016-06-14 05:55:01-0600',mode:absolute,to:'2016-06-14 06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7.5200000000000003E-2</v>
      </c>
      <c r="Z22" s="73">
        <f>RIGHT(H22,LEN(H22)-4)/10000</f>
        <v>23.329699999999999</v>
      </c>
      <c r="AA22" s="73">
        <f t="shared" si="6"/>
        <v>23.2545</v>
      </c>
      <c r="AB22" s="74">
        <f>VLOOKUP(A22,Enforcements!$C$20:$J$60,8,0)</f>
        <v>233491</v>
      </c>
      <c r="AC22" s="74" t="str">
        <f>VLOOKUP(A22,Enforcements!$C$20:$J$60,3,0)</f>
        <v>TRACK WARRANT AUTHORITY</v>
      </c>
    </row>
    <row r="23" spans="1:29" s="2" customFormat="1" x14ac:dyDescent="0.25">
      <c r="A23" s="60" t="s">
        <v>326</v>
      </c>
      <c r="B23" s="60">
        <v>4015</v>
      </c>
      <c r="C23" s="60" t="s">
        <v>62</v>
      </c>
      <c r="D23" s="60" t="s">
        <v>305</v>
      </c>
      <c r="E23" s="30">
        <v>42535.28328703704</v>
      </c>
      <c r="F23" s="30">
        <v>42535.284247685187</v>
      </c>
      <c r="G23" s="38">
        <v>1</v>
      </c>
      <c r="H23" s="30" t="s">
        <v>83</v>
      </c>
      <c r="I23" s="30">
        <v>42535.314930555556</v>
      </c>
      <c r="J23" s="60">
        <v>1</v>
      </c>
      <c r="K23" s="60" t="str">
        <f t="shared" si="0"/>
        <v>4015/4016</v>
      </c>
      <c r="L23" s="60" t="str">
        <f>VLOOKUP(A23,'Trips&amp;Operators'!$C$1:$E$9999,3,FALSE)</f>
        <v>ROCHA</v>
      </c>
      <c r="M23" s="12">
        <f t="shared" si="1"/>
        <v>3.068287036876427E-2</v>
      </c>
      <c r="N23" s="13">
        <f t="shared" si="9"/>
        <v>44.183333331020549</v>
      </c>
      <c r="O23" s="13"/>
      <c r="P23" s="13"/>
      <c r="Q23" s="61"/>
      <c r="R23" s="61"/>
      <c r="S23" s="108">
        <f t="shared" si="7"/>
        <v>1</v>
      </c>
      <c r="T23" s="86" t="str">
        <f t="shared" si="8"/>
        <v>Southbound</v>
      </c>
      <c r="U23" s="10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https://search-rtdc-monitor-bjffxe2xuh6vdkpspy63sjmuny.us-east-1.es.amazonaws.com/_plugin/kibana/#/discover/Steve-Slow-Train-Analysis-(2080s-and-2083s)?_g=(refreshInterval:(display:Off,section:0,value:0),time:(from:'2016-06-14 06:46:56-0600',mode:absolute,to:'2016-06-14 07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3" s="73" t="str">
        <f t="shared" si="5"/>
        <v>N</v>
      </c>
      <c r="X23" s="73">
        <f>VALUE(LEFT(A23,3))-VALUE(LEFT(A22,3))</f>
        <v>1</v>
      </c>
      <c r="Y23" s="73">
        <f>RIGHT(D23,LEN(D23)-4)/10000</f>
        <v>23.299299999999999</v>
      </c>
      <c r="Z23" s="73">
        <f>RIGHT(H23,LEN(H23)-4)/10000</f>
        <v>1.43E-2</v>
      </c>
      <c r="AA23" s="73">
        <f t="shared" si="6"/>
        <v>23.285</v>
      </c>
      <c r="AB23" s="74">
        <f>VLOOKUP(A23,Enforcements!$C$20:$J$60,8,0)</f>
        <v>1</v>
      </c>
      <c r="AC23" s="74" t="str">
        <f>VLOOKUP(A23,Enforcements!$C$20:$J$60,3,0)</f>
        <v>TRACK WARRANT AUTHORITY</v>
      </c>
    </row>
    <row r="24" spans="1:29" s="2" customFormat="1" x14ac:dyDescent="0.25">
      <c r="A24" s="60" t="s">
        <v>388</v>
      </c>
      <c r="B24" s="60">
        <v>4009</v>
      </c>
      <c r="C24" s="60" t="s">
        <v>62</v>
      </c>
      <c r="D24" s="60" t="s">
        <v>65</v>
      </c>
      <c r="E24" s="30">
        <v>42535.256180555552</v>
      </c>
      <c r="F24" s="30">
        <v>42535.257071759261</v>
      </c>
      <c r="G24" s="38">
        <v>1</v>
      </c>
      <c r="H24" s="30" t="s">
        <v>307</v>
      </c>
      <c r="I24" s="30">
        <v>42535.285474537035</v>
      </c>
      <c r="J24" s="60">
        <v>0</v>
      </c>
      <c r="K24" s="60" t="str">
        <f t="shared" si="0"/>
        <v>4009/4010</v>
      </c>
      <c r="L24" s="60" t="str">
        <f>VLOOKUP(A24,'Trips&amp;Operators'!$C$1:$E$9999,3,FALSE)</f>
        <v>YANAI</v>
      </c>
      <c r="M24" s="12">
        <f t="shared" si="1"/>
        <v>2.8402777774317656E-2</v>
      </c>
      <c r="N24" s="13">
        <f t="shared" si="9"/>
        <v>40.899999995017424</v>
      </c>
      <c r="O24" s="13"/>
      <c r="P24" s="13"/>
      <c r="Q24" s="61"/>
      <c r="R24" s="61"/>
      <c r="S24" s="108">
        <f t="shared" si="7"/>
        <v>1</v>
      </c>
      <c r="T24" s="86" t="str">
        <f t="shared" si="8"/>
        <v>NorthBound</v>
      </c>
      <c r="U24" s="10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https://search-rtdc-monitor-bjffxe2xuh6vdkpspy63sjmuny.us-east-1.es.amazonaws.com/_plugin/kibana/#/discover/Steve-Slow-Train-Analysis-(2080s-and-2083s)?_g=(refreshInterval:(display:Off,section:0,value:0),time:(from:'2016-06-14 06:07:54-0600',mode:absolute,to:'2016-06-14 06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4.5100000000000001E-2</v>
      </c>
      <c r="Z24" s="73">
        <f>RIGHT(H24,LEN(H24)-4)/10000</f>
        <v>23.3324</v>
      </c>
      <c r="AA24" s="73">
        <f t="shared" si="6"/>
        <v>23.287299999999998</v>
      </c>
      <c r="AB24" s="74" t="e">
        <f>VLOOKUP(A24,Enforcements!$C$20:$J$60,8,0)</f>
        <v>#N/A</v>
      </c>
      <c r="AC24" s="74" t="e">
        <f>VLOOKUP(A24,Enforcements!$C$20:$J$60,3,0)</f>
        <v>#N/A</v>
      </c>
    </row>
    <row r="25" spans="1:29" s="2" customFormat="1" x14ac:dyDescent="0.25">
      <c r="A25" s="60" t="s">
        <v>422</v>
      </c>
      <c r="B25" s="60">
        <v>4010</v>
      </c>
      <c r="C25" s="60" t="s">
        <v>62</v>
      </c>
      <c r="D25" s="60" t="s">
        <v>509</v>
      </c>
      <c r="E25" s="30">
        <v>42535.296307870369</v>
      </c>
      <c r="F25" s="30">
        <v>42535.297349537039</v>
      </c>
      <c r="G25" s="38">
        <v>1</v>
      </c>
      <c r="H25" s="30" t="s">
        <v>66</v>
      </c>
      <c r="I25" s="30">
        <v>42535.326111111113</v>
      </c>
      <c r="J25" s="60">
        <v>0</v>
      </c>
      <c r="K25" s="60" t="str">
        <f t="shared" si="0"/>
        <v>4009/4010</v>
      </c>
      <c r="L25" s="60" t="str">
        <f>VLOOKUP(A25,'Trips&amp;Operators'!$C$1:$E$9999,3,FALSE)</f>
        <v>YANAI</v>
      </c>
      <c r="M25" s="12">
        <f t="shared" si="1"/>
        <v>2.8761574074451346E-2</v>
      </c>
      <c r="N25" s="13">
        <f t="shared" si="9"/>
        <v>41.416666667209938</v>
      </c>
      <c r="O25" s="13"/>
      <c r="P25" s="13"/>
      <c r="Q25" s="61"/>
      <c r="R25" s="61"/>
      <c r="S25" s="108">
        <f t="shared" si="7"/>
        <v>1</v>
      </c>
      <c r="T25" s="86" t="str">
        <f t="shared" si="8"/>
        <v>Southbound</v>
      </c>
      <c r="U25" s="109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https://search-rtdc-monitor-bjffxe2xuh6vdkpspy63sjmuny.us-east-1.es.amazonaws.com/_plugin/kibana/#/discover/Steve-Slow-Train-Analysis-(2080s-and-2083s)?_g=(refreshInterval:(display:Off,section:0,value:0),time:(from:'2016-06-14 07:05:41-0600',mode:absolute,to:'2016-06-14 07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5" s="73" t="str">
        <f t="shared" si="5"/>
        <v>N</v>
      </c>
      <c r="X25" s="73">
        <f>VALUE(LEFT(A25,3))-VALUE(LEFT(A24,3))</f>
        <v>1</v>
      </c>
      <c r="Y25" s="73">
        <f>RIGHT(D25,LEN(D25)-4)/10000</f>
        <v>23.298400000000001</v>
      </c>
      <c r="Z25" s="73">
        <f>RIGHT(H25,LEN(H25)-4)/10000</f>
        <v>1.52E-2</v>
      </c>
      <c r="AA25" s="73">
        <f t="shared" si="6"/>
        <v>23.283200000000001</v>
      </c>
      <c r="AB25" s="74" t="e">
        <f>VLOOKUP(A25,Enforcements!$C$20:$J$60,8,0)</f>
        <v>#N/A</v>
      </c>
      <c r="AC25" s="74" t="e">
        <f>VLOOKUP(A25,Enforcements!$C$20:$J$60,3,0)</f>
        <v>#N/A</v>
      </c>
    </row>
    <row r="26" spans="1:29" s="2" customFormat="1" x14ac:dyDescent="0.25">
      <c r="A26" s="60" t="s">
        <v>325</v>
      </c>
      <c r="B26" s="60">
        <v>4007</v>
      </c>
      <c r="C26" s="60" t="s">
        <v>62</v>
      </c>
      <c r="D26" s="60" t="s">
        <v>514</v>
      </c>
      <c r="E26" s="30">
        <v>42535.267256944448</v>
      </c>
      <c r="F26" s="30">
        <v>42535.26834490741</v>
      </c>
      <c r="G26" s="38">
        <v>1</v>
      </c>
      <c r="H26" s="30" t="s">
        <v>469</v>
      </c>
      <c r="I26" s="30">
        <v>42535.296249999999</v>
      </c>
      <c r="J26" s="60">
        <v>1</v>
      </c>
      <c r="K26" s="60" t="str">
        <f t="shared" si="0"/>
        <v>4007/4008</v>
      </c>
      <c r="L26" s="60" t="str">
        <f>VLOOKUP(A26,'Trips&amp;Operators'!$C$1:$E$9999,3,FALSE)</f>
        <v>ACKERMAN</v>
      </c>
      <c r="M26" s="12">
        <f t="shared" si="1"/>
        <v>2.7905092589207925E-2</v>
      </c>
      <c r="N26" s="13">
        <f t="shared" si="9"/>
        <v>40.183333328459412</v>
      </c>
      <c r="O26" s="13"/>
      <c r="P26" s="13"/>
      <c r="Q26" s="61"/>
      <c r="R26" s="61"/>
      <c r="S26" s="108">
        <f t="shared" si="7"/>
        <v>1</v>
      </c>
      <c r="T26" s="86" t="str">
        <f t="shared" si="8"/>
        <v>NorthBound</v>
      </c>
      <c r="U26" s="10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https://search-rtdc-monitor-bjffxe2xuh6vdkpspy63sjmuny.us-east-1.es.amazonaws.com/_plugin/kibana/#/discover/Steve-Slow-Train-Analysis-(2080s-and-2083s)?_g=(refreshInterval:(display:Off,section:0,value:0),time:(from:'2016-06-14 06:23:51-0600',mode:absolute,to:'2016-06-14 07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3.09E-2</v>
      </c>
      <c r="Z26" s="73">
        <f>RIGHT(H26,LEN(H26)-4)/10000</f>
        <v>23.331199999999999</v>
      </c>
      <c r="AA26" s="73">
        <f t="shared" si="6"/>
        <v>23.3003</v>
      </c>
      <c r="AB26" s="74">
        <f>VLOOKUP(A26,Enforcements!$C$20:$J$60,8,0)</f>
        <v>233491</v>
      </c>
      <c r="AC26" s="74" t="str">
        <f>VLOOKUP(A26,Enforcements!$C$20:$J$60,3,0)</f>
        <v>TRACK WARRANT AUTHORITY</v>
      </c>
    </row>
    <row r="27" spans="1:29" s="2" customFormat="1" x14ac:dyDescent="0.25">
      <c r="A27" s="60" t="s">
        <v>328</v>
      </c>
      <c r="B27" s="60">
        <v>4008</v>
      </c>
      <c r="C27" s="60" t="s">
        <v>62</v>
      </c>
      <c r="D27" s="60" t="s">
        <v>258</v>
      </c>
      <c r="E27" s="30">
        <v>42535.306886574072</v>
      </c>
      <c r="F27" s="30">
        <v>42535.307893518519</v>
      </c>
      <c r="G27" s="38">
        <v>1</v>
      </c>
      <c r="H27" s="30" t="s">
        <v>508</v>
      </c>
      <c r="I27" s="30">
        <v>42535.336747685185</v>
      </c>
      <c r="J27" s="60">
        <v>1</v>
      </c>
      <c r="K27" s="60" t="str">
        <f t="shared" si="0"/>
        <v>4007/4008</v>
      </c>
      <c r="L27" s="60" t="str">
        <f>VLOOKUP(A27,'Trips&amp;Operators'!$C$1:$E$9999,3,FALSE)</f>
        <v>ACKERMAN</v>
      </c>
      <c r="M27" s="12">
        <f t="shared" si="1"/>
        <v>2.8854166666860692E-2</v>
      </c>
      <c r="N27" s="13">
        <f t="shared" si="9"/>
        <v>41.550000000279397</v>
      </c>
      <c r="O27" s="13"/>
      <c r="P27" s="13"/>
      <c r="Q27" s="61"/>
      <c r="R27" s="61"/>
      <c r="S27" s="108">
        <f t="shared" si="7"/>
        <v>1</v>
      </c>
      <c r="T27" s="86" t="str">
        <f t="shared" si="8"/>
        <v>Southbound</v>
      </c>
      <c r="U27" s="10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https://search-rtdc-monitor-bjffxe2xuh6vdkpspy63sjmuny.us-east-1.es.amazonaws.com/_plugin/kibana/#/discover/Steve-Slow-Train-Analysis-(2080s-and-2083s)?_g=(refreshInterval:(display:Off,section:0,value:0),time:(from:'2016-06-14 07:20:55-0600',mode:absolute,to:'2016-06-14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23.298100000000002</v>
      </c>
      <c r="Z27" s="73">
        <f>RIGHT(H27,LEN(H27)-4)/10000</f>
        <v>1.6500000000000001E-2</v>
      </c>
      <c r="AA27" s="73">
        <f t="shared" si="6"/>
        <v>23.281600000000001</v>
      </c>
      <c r="AB27" s="74">
        <f>VLOOKUP(A27,Enforcements!$C$20:$J$60,8,0)</f>
        <v>1</v>
      </c>
      <c r="AC27" s="74" t="str">
        <f>VLOOKUP(A27,Enforcements!$C$20:$J$60,3,0)</f>
        <v>TRACK WARRANT AUTHORITY</v>
      </c>
    </row>
    <row r="28" spans="1:29" s="2" customFormat="1" x14ac:dyDescent="0.25">
      <c r="A28" s="60" t="s">
        <v>324</v>
      </c>
      <c r="B28" s="60">
        <v>4014</v>
      </c>
      <c r="C28" s="60" t="s">
        <v>62</v>
      </c>
      <c r="D28" s="60" t="s">
        <v>510</v>
      </c>
      <c r="E28" s="30">
        <v>42535.275555555556</v>
      </c>
      <c r="F28" s="30">
        <v>42535.277233796296</v>
      </c>
      <c r="G28" s="38">
        <v>2</v>
      </c>
      <c r="H28" s="30" t="s">
        <v>511</v>
      </c>
      <c r="I28" s="30">
        <v>42535.306400462963</v>
      </c>
      <c r="J28" s="60">
        <v>2</v>
      </c>
      <c r="K28" s="60" t="str">
        <f t="shared" si="0"/>
        <v>4013/4014</v>
      </c>
      <c r="L28" s="60" t="str">
        <f>VLOOKUP(A28,'Trips&amp;Operators'!$C$1:$E$9999,3,FALSE)</f>
        <v>BRANNON</v>
      </c>
      <c r="M28" s="12">
        <f t="shared" si="1"/>
        <v>2.9166666667151731E-2</v>
      </c>
      <c r="N28" s="13">
        <f t="shared" si="9"/>
        <v>42.000000000698492</v>
      </c>
      <c r="O28" s="13"/>
      <c r="P28" s="13"/>
      <c r="Q28" s="61"/>
      <c r="R28" s="61"/>
      <c r="S28" s="108">
        <f t="shared" si="7"/>
        <v>1</v>
      </c>
      <c r="T28" s="86" t="str">
        <f t="shared" si="8"/>
        <v>NorthBound</v>
      </c>
      <c r="U28" s="10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https://search-rtdc-monitor-bjffxe2xuh6vdkpspy63sjmuny.us-east-1.es.amazonaws.com/_plugin/kibana/#/discover/Steve-Slow-Train-Analysis-(2080s-and-2083s)?_g=(refreshInterval:(display:Off,section:0,value:0),time:(from:'2016-06-14 06:35:48-0600',mode:absolute,to:'2016-06-14 07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5.2400000000000002E-2</v>
      </c>
      <c r="Z28" s="73">
        <f>RIGHT(H28,LEN(H28)-4)/10000</f>
        <v>23.334700000000002</v>
      </c>
      <c r="AA28" s="73">
        <f t="shared" si="6"/>
        <v>23.282300000000003</v>
      </c>
      <c r="AB28" s="74">
        <f>VLOOKUP(A28,Enforcements!$C$20:$J$60,8,0)</f>
        <v>233491</v>
      </c>
      <c r="AC28" s="74" t="str">
        <f>VLOOKUP(A28,Enforcements!$C$20:$J$60,3,0)</f>
        <v>TRACK WARRANT AUTHORITY</v>
      </c>
    </row>
    <row r="29" spans="1:29" s="2" customFormat="1" x14ac:dyDescent="0.25">
      <c r="A29" s="60" t="s">
        <v>434</v>
      </c>
      <c r="B29" s="60">
        <v>4013</v>
      </c>
      <c r="C29" s="60" t="s">
        <v>62</v>
      </c>
      <c r="D29" s="60" t="s">
        <v>506</v>
      </c>
      <c r="E29" s="30">
        <v>42535.310752314814</v>
      </c>
      <c r="F29" s="30">
        <v>42535.311678240738</v>
      </c>
      <c r="G29" s="38">
        <v>1</v>
      </c>
      <c r="H29" s="30" t="s">
        <v>83</v>
      </c>
      <c r="I29" s="30">
        <v>42535.346319444441</v>
      </c>
      <c r="J29" s="60">
        <v>0</v>
      </c>
      <c r="K29" s="60" t="str">
        <f t="shared" si="0"/>
        <v>4013/4014</v>
      </c>
      <c r="L29" s="60" t="str">
        <f>VLOOKUP(A29,'Trips&amp;Operators'!$C$1:$E$9999,3,FALSE)</f>
        <v>BRANNON</v>
      </c>
      <c r="M29" s="12">
        <f t="shared" si="1"/>
        <v>3.4641203703358769E-2</v>
      </c>
      <c r="N29" s="13">
        <f t="shared" si="9"/>
        <v>49.883333332836628</v>
      </c>
      <c r="O29" s="13"/>
      <c r="P29" s="13"/>
      <c r="Q29" s="61"/>
      <c r="R29" s="61"/>
      <c r="S29" s="108">
        <f t="shared" si="7"/>
        <v>1</v>
      </c>
      <c r="T29" s="86" t="str">
        <f t="shared" si="8"/>
        <v>Southbound</v>
      </c>
      <c r="U29" s="10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https://search-rtdc-monitor-bjffxe2xuh6vdkpspy63sjmuny.us-east-1.es.amazonaws.com/_plugin/kibana/#/discover/Steve-Slow-Train-Analysis-(2080s-and-2083s)?_g=(refreshInterval:(display:Off,section:0,value:0),time:(from:'2016-06-14 07:26:29-0600',mode:absolute,to:'2016-06-14 08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23.297999999999998</v>
      </c>
      <c r="Z29" s="73">
        <f>RIGHT(H29,LEN(H29)-4)/10000</f>
        <v>1.43E-2</v>
      </c>
      <c r="AA29" s="73">
        <f t="shared" si="6"/>
        <v>23.2837</v>
      </c>
      <c r="AB29" s="74" t="e">
        <f>VLOOKUP(A29,Enforcements!$C$20:$J$60,8,0)</f>
        <v>#N/A</v>
      </c>
      <c r="AC29" s="74" t="e">
        <f>VLOOKUP(A29,Enforcements!$C$20:$J$60,3,0)</f>
        <v>#N/A</v>
      </c>
    </row>
    <row r="30" spans="1:29" s="2" customFormat="1" x14ac:dyDescent="0.25">
      <c r="A30" s="60" t="s">
        <v>386</v>
      </c>
      <c r="B30" s="60">
        <v>4024</v>
      </c>
      <c r="C30" s="60" t="s">
        <v>62</v>
      </c>
      <c r="D30" s="60" t="s">
        <v>490</v>
      </c>
      <c r="E30" s="30">
        <v>42535.287685185183</v>
      </c>
      <c r="F30" s="30">
        <v>42535.288483796299</v>
      </c>
      <c r="G30" s="38">
        <v>1</v>
      </c>
      <c r="H30" s="30" t="s">
        <v>111</v>
      </c>
      <c r="I30" s="30">
        <v>42535.318171296298</v>
      </c>
      <c r="J30" s="60">
        <v>0</v>
      </c>
      <c r="K30" s="60" t="str">
        <f t="shared" si="0"/>
        <v>4023/4024</v>
      </c>
      <c r="L30" s="60" t="str">
        <f>VLOOKUP(A30,'Trips&amp;Operators'!$C$1:$E$9999,3,FALSE)</f>
        <v>STURGEON</v>
      </c>
      <c r="M30" s="12">
        <f t="shared" si="1"/>
        <v>2.9687499998544808E-2</v>
      </c>
      <c r="N30" s="13">
        <f t="shared" si="9"/>
        <v>42.749999997904524</v>
      </c>
      <c r="O30" s="13"/>
      <c r="P30" s="13"/>
      <c r="Q30" s="61"/>
      <c r="R30" s="61"/>
      <c r="S30" s="108">
        <f t="shared" si="7"/>
        <v>1</v>
      </c>
      <c r="T30" s="86" t="str">
        <f t="shared" si="8"/>
        <v>NorthBound</v>
      </c>
      <c r="U30" s="109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https://search-rtdc-monitor-bjffxe2xuh6vdkpspy63sjmuny.us-east-1.es.amazonaws.com/_plugin/kibana/#/discover/Steve-Slow-Train-Analysis-(2080s-and-2083s)?_g=(refreshInterval:(display:Off,section:0,value:0),time:(from:'2016-06-14 06:53:16-0600',mode:absolute,to:'2016-06-14 07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0" s="73" t="str">
        <f t="shared" si="5"/>
        <v>N</v>
      </c>
      <c r="X30" s="73">
        <f>VALUE(LEFT(A30,3))-VALUE(LEFT(A29,3))</f>
        <v>1</v>
      </c>
      <c r="Y30" s="73">
        <f>RIGHT(D30,LEN(D30)-4)/10000</f>
        <v>4.7100000000000003E-2</v>
      </c>
      <c r="Z30" s="73">
        <f>RIGHT(H30,LEN(H30)-4)/10000</f>
        <v>23.33</v>
      </c>
      <c r="AA30" s="73">
        <f t="shared" si="6"/>
        <v>23.282899999999998</v>
      </c>
      <c r="AB30" s="74" t="e">
        <f>VLOOKUP(A30,Enforcements!$C$20:$J$60,8,0)</f>
        <v>#N/A</v>
      </c>
      <c r="AC30" s="74" t="e">
        <f>VLOOKUP(A30,Enforcements!$C$20:$J$60,3,0)</f>
        <v>#N/A</v>
      </c>
    </row>
    <row r="31" spans="1:29" s="2" customFormat="1" x14ac:dyDescent="0.25">
      <c r="A31" s="60" t="s">
        <v>393</v>
      </c>
      <c r="B31" s="60">
        <v>4023</v>
      </c>
      <c r="C31" s="60" t="s">
        <v>62</v>
      </c>
      <c r="D31" s="60" t="s">
        <v>101</v>
      </c>
      <c r="E31" s="30">
        <v>42535.323414351849</v>
      </c>
      <c r="F31" s="30">
        <v>42535.324328703704</v>
      </c>
      <c r="G31" s="38">
        <v>1</v>
      </c>
      <c r="H31" s="30" t="s">
        <v>89</v>
      </c>
      <c r="I31" s="30">
        <v>42535.358715277776</v>
      </c>
      <c r="J31" s="60">
        <v>0</v>
      </c>
      <c r="K31" s="60" t="str">
        <f t="shared" si="0"/>
        <v>4023/4024</v>
      </c>
      <c r="L31" s="60" t="str">
        <f>VLOOKUP(A31,'Trips&amp;Operators'!$C$1:$E$9999,3,FALSE)</f>
        <v>STURGEON</v>
      </c>
      <c r="M31" s="12">
        <f t="shared" si="1"/>
        <v>3.4386574072414078E-2</v>
      </c>
      <c r="N31" s="13">
        <f t="shared" si="9"/>
        <v>49.516666664276272</v>
      </c>
      <c r="O31" s="13"/>
      <c r="P31" s="13"/>
      <c r="Q31" s="61"/>
      <c r="R31" s="61"/>
      <c r="S31" s="108">
        <f t="shared" si="7"/>
        <v>1</v>
      </c>
      <c r="T31" s="86" t="str">
        <f t="shared" si="8"/>
        <v>Southbound</v>
      </c>
      <c r="U31" s="10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https://search-rtdc-monitor-bjffxe2xuh6vdkpspy63sjmuny.us-east-1.es.amazonaws.com/_plugin/kibana/#/discover/Steve-Slow-Train-Analysis-(2080s-and-2083s)?_g=(refreshInterval:(display:Off,section:0,value:0),time:(from:'2016-06-14 07:44:43-0600',mode:absolute,to:'2016-06-14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1" s="73" t="str">
        <f t="shared" si="5"/>
        <v>N</v>
      </c>
      <c r="X31" s="73">
        <f>VALUE(LEFT(A31,3))-VALUE(LEFT(A30,3))</f>
        <v>1</v>
      </c>
      <c r="Y31" s="73">
        <f>RIGHT(D31,LEN(D31)-4)/10000</f>
        <v>23.2989</v>
      </c>
      <c r="Z31" s="73">
        <f>RIGHT(H31,LEN(H31)-4)/10000</f>
        <v>1.5599999999999999E-2</v>
      </c>
      <c r="AA31" s="73">
        <f t="shared" si="6"/>
        <v>23.283300000000001</v>
      </c>
      <c r="AB31" s="74" t="e">
        <f>VLOOKUP(A31,Enforcements!$C$20:$J$60,8,0)</f>
        <v>#N/A</v>
      </c>
      <c r="AC31" s="74" t="e">
        <f>VLOOKUP(A31,Enforcements!$C$20:$J$60,3,0)</f>
        <v>#N/A</v>
      </c>
    </row>
    <row r="32" spans="1:29" s="2" customFormat="1" x14ac:dyDescent="0.25">
      <c r="A32" s="60" t="s">
        <v>382</v>
      </c>
      <c r="B32" s="60">
        <v>4044</v>
      </c>
      <c r="C32" s="60" t="s">
        <v>62</v>
      </c>
      <c r="D32" s="60" t="s">
        <v>315</v>
      </c>
      <c r="E32" s="30">
        <v>42535.296851851854</v>
      </c>
      <c r="F32" s="30">
        <v>42535.298090277778</v>
      </c>
      <c r="G32" s="38">
        <v>1</v>
      </c>
      <c r="H32" s="30" t="s">
        <v>97</v>
      </c>
      <c r="I32" s="30">
        <v>42535.327384259261</v>
      </c>
      <c r="J32" s="60">
        <v>0</v>
      </c>
      <c r="K32" s="60" t="str">
        <f t="shared" si="0"/>
        <v>4043/4044</v>
      </c>
      <c r="L32" s="60" t="str">
        <f>VLOOKUP(A32,'Trips&amp;Operators'!$C$1:$E$9999,3,FALSE)</f>
        <v>SPECTOR</v>
      </c>
      <c r="M32" s="12">
        <f t="shared" si="1"/>
        <v>2.9293981482624076E-2</v>
      </c>
      <c r="N32" s="13">
        <f t="shared" si="9"/>
        <v>42.18333333497867</v>
      </c>
      <c r="O32" s="13"/>
      <c r="P32" s="13"/>
      <c r="Q32" s="61"/>
      <c r="R32" s="61"/>
      <c r="S32" s="108">
        <f t="shared" si="7"/>
        <v>1</v>
      </c>
      <c r="T32" s="86" t="str">
        <f t="shared" si="8"/>
        <v>NorthBound</v>
      </c>
      <c r="U32" s="10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https://search-rtdc-monitor-bjffxe2xuh6vdkpspy63sjmuny.us-east-1.es.amazonaws.com/_plugin/kibana/#/discover/Steve-Slow-Train-Analysis-(2080s-and-2083s)?_g=(refreshInterval:(display:Off,section:0,value:0),time:(from:'2016-06-14 07:06:28-0600',mode:absolute,to:'2016-06-14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73" t="str">
        <f t="shared" si="5"/>
        <v>N</v>
      </c>
      <c r="X32" s="73">
        <f>VALUE(LEFT(A32,3))-VALUE(LEFT(A31,3))</f>
        <v>1</v>
      </c>
      <c r="Y32" s="73">
        <f>RIGHT(D32,LEN(D32)-4)/10000</f>
        <v>4.4400000000000002E-2</v>
      </c>
      <c r="Z32" s="73">
        <f>RIGHT(H32,LEN(H32)-4)/10000</f>
        <v>23.331099999999999</v>
      </c>
      <c r="AA32" s="73">
        <f t="shared" si="6"/>
        <v>23.2867</v>
      </c>
      <c r="AB32" s="74" t="e">
        <f>VLOOKUP(A32,Enforcements!$C$20:$J$60,8,0)</f>
        <v>#N/A</v>
      </c>
      <c r="AC32" s="74" t="e">
        <f>VLOOKUP(A32,Enforcements!$C$20:$J$60,3,0)</f>
        <v>#N/A</v>
      </c>
    </row>
    <row r="33" spans="1:29" s="2" customFormat="1" x14ac:dyDescent="0.25">
      <c r="A33" s="60" t="s">
        <v>331</v>
      </c>
      <c r="B33" s="60">
        <v>4043</v>
      </c>
      <c r="C33" s="60" t="s">
        <v>62</v>
      </c>
      <c r="D33" s="60" t="s">
        <v>283</v>
      </c>
      <c r="E33" s="30">
        <v>42535.332650462966</v>
      </c>
      <c r="F33" s="30">
        <v>42535.337048611109</v>
      </c>
      <c r="G33" s="38">
        <v>6</v>
      </c>
      <c r="H33" s="30" t="s">
        <v>99</v>
      </c>
      <c r="I33" s="30">
        <v>42535.367291666669</v>
      </c>
      <c r="J33" s="60">
        <v>1</v>
      </c>
      <c r="K33" s="60" t="str">
        <f t="shared" si="0"/>
        <v>4043/4044</v>
      </c>
      <c r="L33" s="60" t="str">
        <f>VLOOKUP(A33,'Trips&amp;Operators'!$C$1:$E$9999,3,FALSE)</f>
        <v>SPECTOR</v>
      </c>
      <c r="M33" s="12">
        <f t="shared" si="1"/>
        <v>3.0243055560276844E-2</v>
      </c>
      <c r="N33" s="13">
        <f t="shared" si="9"/>
        <v>43.550000006798655</v>
      </c>
      <c r="O33" s="13"/>
      <c r="P33" s="13"/>
      <c r="Q33" s="61"/>
      <c r="R33" s="61"/>
      <c r="S33" s="108">
        <f t="shared" si="7"/>
        <v>1</v>
      </c>
      <c r="T33" s="86" t="str">
        <f t="shared" si="8"/>
        <v>Southbound</v>
      </c>
      <c r="U33" s="10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https://search-rtdc-monitor-bjffxe2xuh6vdkpspy63sjmuny.us-east-1.es.amazonaws.com/_plugin/kibana/#/discover/Steve-Slow-Train-Analysis-(2080s-and-2083s)?_g=(refreshInterval:(display:Off,section:0,value:0),time:(from:'2016-06-14 07:58:01-0600',mode:absolute,to:'2016-06-14 08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23.3</v>
      </c>
      <c r="Z33" s="73">
        <f>RIGHT(H33,LEN(H33)-4)/10000</f>
        <v>1.54E-2</v>
      </c>
      <c r="AA33" s="73">
        <f t="shared" si="6"/>
        <v>23.284600000000001</v>
      </c>
      <c r="AB33" s="74">
        <f>VLOOKUP(A33,Enforcements!$C$20:$J$60,8,0)</f>
        <v>1</v>
      </c>
      <c r="AC33" s="74" t="str">
        <f>VLOOKUP(A33,Enforcements!$C$20:$J$60,3,0)</f>
        <v>TRACK WARRANT AUTHORITY</v>
      </c>
    </row>
    <row r="34" spans="1:29" s="2" customFormat="1" x14ac:dyDescent="0.25">
      <c r="A34" s="60" t="s">
        <v>329</v>
      </c>
      <c r="B34" s="60">
        <v>4025</v>
      </c>
      <c r="C34" s="60" t="s">
        <v>62</v>
      </c>
      <c r="D34" s="60" t="s">
        <v>507</v>
      </c>
      <c r="E34" s="30">
        <v>42535.309108796297</v>
      </c>
      <c r="F34" s="30">
        <v>42535.309803240743</v>
      </c>
      <c r="G34" s="38">
        <v>0</v>
      </c>
      <c r="H34" s="30" t="s">
        <v>491</v>
      </c>
      <c r="I34" s="30">
        <v>42535.339467592596</v>
      </c>
      <c r="J34" s="60">
        <v>1</v>
      </c>
      <c r="K34" s="60" t="str">
        <f t="shared" si="0"/>
        <v>4025/4026</v>
      </c>
      <c r="L34" s="60" t="str">
        <f>VLOOKUP(A34,'Trips&amp;Operators'!$C$1:$E$9999,3,FALSE)</f>
        <v>STARKS</v>
      </c>
      <c r="M34" s="12">
        <f t="shared" si="1"/>
        <v>2.9664351852261461E-2</v>
      </c>
      <c r="N34" s="13">
        <f t="shared" si="9"/>
        <v>42.716666667256504</v>
      </c>
      <c r="O34" s="13"/>
      <c r="P34" s="13"/>
      <c r="Q34" s="61"/>
      <c r="R34" s="61"/>
      <c r="S34" s="108">
        <f t="shared" si="7"/>
        <v>1</v>
      </c>
      <c r="T34" s="86" t="str">
        <f t="shared" si="8"/>
        <v>NorthBound</v>
      </c>
      <c r="U34" s="109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https://search-rtdc-monitor-bjffxe2xuh6vdkpspy63sjmuny.us-east-1.es.amazonaws.com/_plugin/kibana/#/discover/Steve-Slow-Train-Analysis-(2080s-and-2083s)?_g=(refreshInterval:(display:Off,section:0,value:0),time:(from:'2016-06-14 07:24:07-0600',mode:absolute,to:'2016-06-14 08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4" s="73" t="str">
        <f t="shared" si="5"/>
        <v>N</v>
      </c>
      <c r="X34" s="73">
        <f>VALUE(LEFT(A34,3))-VALUE(LEFT(A33,3))</f>
        <v>1</v>
      </c>
      <c r="Y34" s="73">
        <f>RIGHT(D34,LEN(D34)-4)/10000</f>
        <v>3.95E-2</v>
      </c>
      <c r="Z34" s="73">
        <f>RIGHT(H34,LEN(H34)-4)/10000</f>
        <v>23.3308</v>
      </c>
      <c r="AA34" s="73">
        <f t="shared" si="6"/>
        <v>23.2913</v>
      </c>
      <c r="AB34" s="74">
        <f>VLOOKUP(A34,Enforcements!$C$20:$J$60,8,0)</f>
        <v>233491</v>
      </c>
      <c r="AC34" s="74" t="str">
        <f>VLOOKUP(A34,Enforcements!$C$20:$J$60,3,0)</f>
        <v>TRACK WARRANT AUTHORITY</v>
      </c>
    </row>
    <row r="35" spans="1:29" s="2" customFormat="1" x14ac:dyDescent="0.25">
      <c r="A35" s="60" t="s">
        <v>383</v>
      </c>
      <c r="B35" s="60">
        <v>4026</v>
      </c>
      <c r="C35" s="60" t="s">
        <v>62</v>
      </c>
      <c r="D35" s="60" t="s">
        <v>303</v>
      </c>
      <c r="E35" s="30">
        <v>42535.348032407404</v>
      </c>
      <c r="F35" s="30">
        <v>42535.34915509259</v>
      </c>
      <c r="G35" s="38">
        <v>1</v>
      </c>
      <c r="H35" s="30" t="s">
        <v>464</v>
      </c>
      <c r="I35" s="30">
        <v>42535.378576388888</v>
      </c>
      <c r="J35" s="60">
        <v>0</v>
      </c>
      <c r="K35" s="60" t="str">
        <f t="shared" ref="K35:K66" si="10">IF(ISEVEN(B35),(B35-1)&amp;"/"&amp;B35,B35&amp;"/"&amp;(B35+1))</f>
        <v>4025/4026</v>
      </c>
      <c r="L35" s="60" t="str">
        <f>VLOOKUP(A35,'Trips&amp;Operators'!$C$1:$E$9999,3,FALSE)</f>
        <v>STARKS</v>
      </c>
      <c r="M35" s="12">
        <f t="shared" ref="M35:M66" si="11">I35-F35</f>
        <v>2.9421296298096422E-2</v>
      </c>
      <c r="N35" s="13">
        <f t="shared" si="9"/>
        <v>42.366666669258848</v>
      </c>
      <c r="O35" s="13"/>
      <c r="P35" s="13"/>
      <c r="Q35" s="61"/>
      <c r="R35" s="61"/>
      <c r="S35" s="108">
        <f t="shared" si="7"/>
        <v>1</v>
      </c>
      <c r="T35" s="86" t="str">
        <f t="shared" si="8"/>
        <v>Southbound</v>
      </c>
      <c r="U35" s="10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https://search-rtdc-monitor-bjffxe2xuh6vdkpspy63sjmuny.us-east-1.es.amazonaws.com/_plugin/kibana/#/discover/Steve-Slow-Train-Analysis-(2080s-and-2083s)?_g=(refreshInterval:(display:Off,section:0,value:0),time:(from:'2016-06-14 08:20:10-0600',mode:absolute,to:'2016-06-14 09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5" s="73" t="str">
        <f t="shared" ref="W35:W66" si="12">IF(AA35&lt;23,"Y","N")</f>
        <v>N</v>
      </c>
      <c r="X35" s="73">
        <f>VALUE(LEFT(A35,3))-VALUE(LEFT(A34,3))</f>
        <v>1</v>
      </c>
      <c r="Y35" s="73">
        <f>RIGHT(D35,LEN(D35)-4)/10000</f>
        <v>23.300599999999999</v>
      </c>
      <c r="Z35" s="73">
        <f>RIGHT(H35,LEN(H35)-4)/10000</f>
        <v>1.38E-2</v>
      </c>
      <c r="AA35" s="73">
        <f t="shared" ref="AA35:AA66" si="13">ABS(Z35-Y35)</f>
        <v>23.286799999999999</v>
      </c>
      <c r="AB35" s="74" t="e">
        <f>VLOOKUP(A35,Enforcements!$C$20:$J$60,8,0)</f>
        <v>#N/A</v>
      </c>
      <c r="AC35" s="74" t="e">
        <f>VLOOKUP(A35,Enforcements!$C$20:$J$60,3,0)</f>
        <v>#N/A</v>
      </c>
    </row>
    <row r="36" spans="1:29" s="2" customFormat="1" x14ac:dyDescent="0.25">
      <c r="A36" s="60" t="s">
        <v>327</v>
      </c>
      <c r="B36" s="60">
        <v>4016</v>
      </c>
      <c r="C36" s="60" t="s">
        <v>62</v>
      </c>
      <c r="D36" s="60" t="s">
        <v>505</v>
      </c>
      <c r="E36" s="30">
        <v>42535.319930555554</v>
      </c>
      <c r="F36" s="30">
        <v>42535.320949074077</v>
      </c>
      <c r="G36" s="38">
        <v>1</v>
      </c>
      <c r="H36" s="30" t="s">
        <v>284</v>
      </c>
      <c r="I36" s="30">
        <v>42535.347870370373</v>
      </c>
      <c r="J36" s="60">
        <v>2</v>
      </c>
      <c r="K36" s="60" t="str">
        <f t="shared" si="10"/>
        <v>4015/4016</v>
      </c>
      <c r="L36" s="60" t="str">
        <f>VLOOKUP(A36,'Trips&amp;Operators'!$C$1:$E$9999,3,FALSE)</f>
        <v>ROCHA</v>
      </c>
      <c r="M36" s="12">
        <f t="shared" si="11"/>
        <v>2.6921296295768116E-2</v>
      </c>
      <c r="N36" s="13">
        <f t="shared" si="9"/>
        <v>38.766666665906087</v>
      </c>
      <c r="O36" s="13"/>
      <c r="P36" s="13"/>
      <c r="Q36" s="61"/>
      <c r="R36" s="61"/>
      <c r="S36" s="108">
        <f t="shared" si="7"/>
        <v>1</v>
      </c>
      <c r="T36" s="86" t="str">
        <f t="shared" si="8"/>
        <v>NorthBound</v>
      </c>
      <c r="U36" s="109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https://search-rtdc-monitor-bjffxe2xuh6vdkpspy63sjmuny.us-east-1.es.amazonaws.com/_plugin/kibana/#/discover/Steve-Slow-Train-Analysis-(2080s-and-2083s)?_g=(refreshInterval:(display:Off,section:0,value:0),time:(from:'2016-06-14 07:39:42-0600',mode:absolute,to:'2016-06-14 08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6" s="73" t="str">
        <f t="shared" si="12"/>
        <v>N</v>
      </c>
      <c r="X36" s="73">
        <f>VALUE(LEFT(A36,3))-VALUE(LEFT(A35,3))</f>
        <v>1</v>
      </c>
      <c r="Y36" s="73">
        <f>RIGHT(D36,LEN(D36)-4)/10000</f>
        <v>4.3799999999999999E-2</v>
      </c>
      <c r="Z36" s="73">
        <f>RIGHT(H36,LEN(H36)-4)/10000</f>
        <v>23.329499999999999</v>
      </c>
      <c r="AA36" s="73">
        <f t="shared" si="13"/>
        <v>23.285699999999999</v>
      </c>
      <c r="AB36" s="74">
        <f>VLOOKUP(A36,Enforcements!$C$20:$J$60,8,0)</f>
        <v>233491</v>
      </c>
      <c r="AC36" s="74" t="str">
        <f>VLOOKUP(A36,Enforcements!$C$20:$J$60,3,0)</f>
        <v>TRACK WARRANT AUTHORITY</v>
      </c>
    </row>
    <row r="37" spans="1:29" s="2" customFormat="1" x14ac:dyDescent="0.25">
      <c r="A37" s="60" t="s">
        <v>454</v>
      </c>
      <c r="B37" s="60">
        <v>4015</v>
      </c>
      <c r="C37" s="60" t="s">
        <v>62</v>
      </c>
      <c r="D37" s="60" t="s">
        <v>502</v>
      </c>
      <c r="E37" s="30">
        <v>42535.360335648147</v>
      </c>
      <c r="F37" s="30">
        <v>42535.361296296294</v>
      </c>
      <c r="G37" s="38">
        <v>1</v>
      </c>
      <c r="H37" s="30" t="s">
        <v>72</v>
      </c>
      <c r="I37" s="30">
        <v>42535.366354166668</v>
      </c>
      <c r="J37" s="60">
        <v>1</v>
      </c>
      <c r="K37" s="60" t="str">
        <f t="shared" si="10"/>
        <v>4015/4016</v>
      </c>
      <c r="L37" s="60" t="str">
        <f>VLOOKUP(A37,'Trips&amp;Operators'!$C$1:$E$9999,3,FALSE)</f>
        <v>ROCHA</v>
      </c>
      <c r="M37" s="12">
        <f t="shared" si="11"/>
        <v>5.0578703740029596E-3</v>
      </c>
      <c r="N37" s="13"/>
      <c r="O37" s="13"/>
      <c r="P37" s="13">
        <f>24*60*SUM($M37:$M37)</f>
        <v>7.2833333385642618</v>
      </c>
      <c r="Q37" s="61"/>
      <c r="R37" s="61" t="s">
        <v>554</v>
      </c>
      <c r="S37" s="108">
        <f t="shared" si="7"/>
        <v>1</v>
      </c>
      <c r="T37" s="86" t="str">
        <f t="shared" si="8"/>
        <v>Southbound</v>
      </c>
      <c r="U37" s="109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https://search-rtdc-monitor-bjffxe2xuh6vdkpspy63sjmuny.us-east-1.es.amazonaws.com/_plugin/kibana/#/discover/Steve-Slow-Train-Analysis-(2080s-and-2083s)?_g=(refreshInterval:(display:Off,section:0,value:0),time:(from:'2016-06-14 08:37:53-0600',mode:absolute,to:'2016-06-14 08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7" s="73" t="str">
        <f t="shared" si="12"/>
        <v>N</v>
      </c>
      <c r="X37" s="73">
        <f>VALUE(LEFT(A37,3))-VALUE(LEFT(A36,3))</f>
        <v>1</v>
      </c>
      <c r="Y37" s="73">
        <f>RIGHT(D37,LEN(D37)-4)/10000</f>
        <v>23.296099999999999</v>
      </c>
      <c r="Z37" s="73">
        <f>RIGHT(H37,LEN(H37)-4)/10000</f>
        <v>1.4999999999999999E-2</v>
      </c>
      <c r="AA37" s="73">
        <f t="shared" si="13"/>
        <v>23.281099999999999</v>
      </c>
      <c r="AB37" s="74" t="e">
        <f>VLOOKUP(A37,Enforcements!$C$20:$J$60,8,0)</f>
        <v>#N/A</v>
      </c>
      <c r="AC37" s="74" t="e">
        <f>VLOOKUP(A37,Enforcements!$C$20:$J$60,3,0)</f>
        <v>#N/A</v>
      </c>
    </row>
    <row r="38" spans="1:29" s="2" customFormat="1" x14ac:dyDescent="0.25">
      <c r="A38" s="60" t="s">
        <v>330</v>
      </c>
      <c r="B38" s="60">
        <v>4009</v>
      </c>
      <c r="C38" s="60" t="s">
        <v>62</v>
      </c>
      <c r="D38" s="60" t="s">
        <v>86</v>
      </c>
      <c r="E38" s="30">
        <v>42535.330775462964</v>
      </c>
      <c r="F38" s="30">
        <v>42535.331666666665</v>
      </c>
      <c r="G38" s="38">
        <v>1</v>
      </c>
      <c r="H38" s="30" t="s">
        <v>504</v>
      </c>
      <c r="I38" s="30">
        <v>42535.358101851853</v>
      </c>
      <c r="J38" s="60">
        <v>1</v>
      </c>
      <c r="K38" s="60" t="str">
        <f t="shared" si="10"/>
        <v>4009/4010</v>
      </c>
      <c r="L38" s="60" t="str">
        <f>VLOOKUP(A38,'Trips&amp;Operators'!$C$1:$E$9999,3,FALSE)</f>
        <v>YANAI</v>
      </c>
      <c r="M38" s="12">
        <f t="shared" si="11"/>
        <v>2.6435185187438037E-2</v>
      </c>
      <c r="N38" s="13">
        <f t="shared" ref="N38:N58" si="14">24*60*SUM($M38:$M38)</f>
        <v>38.066666669910774</v>
      </c>
      <c r="O38" s="13"/>
      <c r="P38" s="13"/>
      <c r="Q38" s="61"/>
      <c r="R38" s="61"/>
      <c r="S38" s="108">
        <f t="shared" si="7"/>
        <v>1</v>
      </c>
      <c r="T38" s="86" t="str">
        <f t="shared" si="8"/>
        <v>NorthBound</v>
      </c>
      <c r="U38" s="10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https://search-rtdc-monitor-bjffxe2xuh6vdkpspy63sjmuny.us-east-1.es.amazonaws.com/_plugin/kibana/#/discover/Steve-Slow-Train-Analysis-(2080s-and-2083s)?_g=(refreshInterval:(display:Off,section:0,value:0),time:(from:'2016-06-14 07:55:19-0600',mode:absolute,to:'2016-06-14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3" t="str">
        <f t="shared" si="12"/>
        <v>N</v>
      </c>
      <c r="X38" s="73">
        <f>VALUE(LEFT(A38,3))-VALUE(LEFT(A37,3))</f>
        <v>1</v>
      </c>
      <c r="Y38" s="73">
        <f>RIGHT(D38,LEN(D38)-4)/10000</f>
        <v>4.5699999999999998E-2</v>
      </c>
      <c r="Z38" s="73">
        <f>RIGHT(H38,LEN(H38)-4)/10000</f>
        <v>23.319800000000001</v>
      </c>
      <c r="AA38" s="73">
        <f t="shared" si="13"/>
        <v>23.274100000000001</v>
      </c>
      <c r="AB38" s="74">
        <f>VLOOKUP(A38,Enforcements!$C$20:$J$60,8,0)</f>
        <v>233491</v>
      </c>
      <c r="AC38" s="74" t="str">
        <f>VLOOKUP(A38,Enforcements!$C$20:$J$60,3,0)</f>
        <v>TRACK WARRANT AUTHORITY</v>
      </c>
    </row>
    <row r="39" spans="1:29" s="2" customFormat="1" x14ac:dyDescent="0.25">
      <c r="A39" s="60" t="s">
        <v>367</v>
      </c>
      <c r="B39" s="60">
        <v>4010</v>
      </c>
      <c r="C39" s="60" t="s">
        <v>62</v>
      </c>
      <c r="D39" s="60" t="s">
        <v>501</v>
      </c>
      <c r="E39" s="30">
        <v>42535.36954861111</v>
      </c>
      <c r="F39" s="30">
        <v>42535.371018518519</v>
      </c>
      <c r="G39" s="38">
        <v>2</v>
      </c>
      <c r="H39" s="30" t="s">
        <v>88</v>
      </c>
      <c r="I39" s="30">
        <v>42535.398333333331</v>
      </c>
      <c r="J39" s="60">
        <v>0</v>
      </c>
      <c r="K39" s="60" t="str">
        <f t="shared" si="10"/>
        <v>4009/4010</v>
      </c>
      <c r="L39" s="60" t="str">
        <f>VLOOKUP(A39,'Trips&amp;Operators'!$C$1:$E$9999,3,FALSE)</f>
        <v>YANAI</v>
      </c>
      <c r="M39" s="12">
        <f t="shared" si="11"/>
        <v>2.7314814811688848E-2</v>
      </c>
      <c r="N39" s="13">
        <f t="shared" si="14"/>
        <v>39.333333328831941</v>
      </c>
      <c r="O39" s="13"/>
      <c r="P39" s="13"/>
      <c r="Q39" s="61"/>
      <c r="R39" s="61"/>
      <c r="S39" s="108">
        <f t="shared" si="7"/>
        <v>1</v>
      </c>
      <c r="T39" s="86" t="str">
        <f t="shared" si="8"/>
        <v>Southbound</v>
      </c>
      <c r="U39" s="109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https://search-rtdc-monitor-bjffxe2xuh6vdkpspy63sjmuny.us-east-1.es.amazonaws.com/_plugin/kibana/#/discover/Steve-Slow-Train-Analysis-(2080s-and-2083s)?_g=(refreshInterval:(display:Off,section:0,value:0),time:(from:'2016-06-14 08:51:09-0600',mode:absolute,to:'2016-06-14 09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3" t="str">
        <f t="shared" si="12"/>
        <v>N</v>
      </c>
      <c r="X39" s="73">
        <f>VALUE(LEFT(A39,3))-VALUE(LEFT(A38,3))</f>
        <v>1</v>
      </c>
      <c r="Y39" s="73">
        <f>RIGHT(D39,LEN(D39)-4)/10000</f>
        <v>23.287199999999999</v>
      </c>
      <c r="Z39" s="73">
        <f>RIGHT(H39,LEN(H39)-4)/10000</f>
        <v>1.41E-2</v>
      </c>
      <c r="AA39" s="73">
        <f t="shared" si="13"/>
        <v>23.273099999999999</v>
      </c>
      <c r="AB39" s="74" t="e">
        <f>VLOOKUP(A39,Enforcements!$C$20:$J$60,8,0)</f>
        <v>#N/A</v>
      </c>
      <c r="AC39" s="74" t="e">
        <f>VLOOKUP(A39,Enforcements!$C$20:$J$60,3,0)</f>
        <v>#N/A</v>
      </c>
    </row>
    <row r="40" spans="1:29" s="2" customFormat="1" x14ac:dyDescent="0.25">
      <c r="A40" s="60" t="s">
        <v>441</v>
      </c>
      <c r="B40" s="60">
        <v>4007</v>
      </c>
      <c r="C40" s="60" t="s">
        <v>62</v>
      </c>
      <c r="D40" s="60" t="s">
        <v>84</v>
      </c>
      <c r="E40" s="30">
        <v>42535.338622685187</v>
      </c>
      <c r="F40" s="30">
        <v>42535.339560185188</v>
      </c>
      <c r="G40" s="38">
        <v>1</v>
      </c>
      <c r="H40" s="30" t="s">
        <v>503</v>
      </c>
      <c r="I40" s="30">
        <v>42535.368969907409</v>
      </c>
      <c r="J40" s="60">
        <v>0</v>
      </c>
      <c r="K40" s="60" t="str">
        <f t="shared" si="10"/>
        <v>4007/4008</v>
      </c>
      <c r="L40" s="60" t="str">
        <f>VLOOKUP(A40,'Trips&amp;Operators'!$C$1:$E$9999,3,FALSE)</f>
        <v>ACKERMAN</v>
      </c>
      <c r="M40" s="12">
        <f t="shared" si="11"/>
        <v>2.940972222131677E-2</v>
      </c>
      <c r="N40" s="13">
        <f t="shared" si="14"/>
        <v>42.349999998696148</v>
      </c>
      <c r="O40" s="13"/>
      <c r="P40" s="13"/>
      <c r="Q40" s="61"/>
      <c r="R40" s="61"/>
      <c r="S40" s="108">
        <f t="shared" si="7"/>
        <v>1</v>
      </c>
      <c r="T40" s="86" t="str">
        <f t="shared" si="8"/>
        <v>NorthBound</v>
      </c>
      <c r="U40" s="10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https://search-rtdc-monitor-bjffxe2xuh6vdkpspy63sjmuny.us-east-1.es.amazonaws.com/_plugin/kibana/#/discover/Steve-Slow-Train-Analysis-(2080s-and-2083s)?_g=(refreshInterval:(display:Off,section:0,value:0),time:(from:'2016-06-14 08:06:37-0600',mode:absolute,to:'2016-06-14 08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0" s="73" t="str">
        <f t="shared" si="12"/>
        <v>N</v>
      </c>
      <c r="X40" s="73">
        <f>VALUE(LEFT(A40,3))-VALUE(LEFT(A39,3))</f>
        <v>1</v>
      </c>
      <c r="Y40" s="73">
        <f>RIGHT(D40,LEN(D40)-4)/10000</f>
        <v>4.6199999999999998E-2</v>
      </c>
      <c r="Z40" s="73">
        <f>RIGHT(H40,LEN(H40)-4)/10000</f>
        <v>23.330500000000001</v>
      </c>
      <c r="AA40" s="73">
        <f t="shared" si="13"/>
        <v>23.284300000000002</v>
      </c>
      <c r="AB40" s="74" t="e">
        <f>VLOOKUP(A40,Enforcements!$C$20:$J$60,8,0)</f>
        <v>#N/A</v>
      </c>
      <c r="AC40" s="74" t="e">
        <f>VLOOKUP(A40,Enforcements!$C$20:$J$60,3,0)</f>
        <v>#N/A</v>
      </c>
    </row>
    <row r="41" spans="1:29" s="2" customFormat="1" x14ac:dyDescent="0.25">
      <c r="A41" s="60" t="s">
        <v>377</v>
      </c>
      <c r="B41" s="60">
        <v>4008</v>
      </c>
      <c r="C41" s="60" t="s">
        <v>62</v>
      </c>
      <c r="D41" s="60" t="s">
        <v>299</v>
      </c>
      <c r="E41" s="30">
        <v>42535.376805555556</v>
      </c>
      <c r="F41" s="30">
        <v>42535.377615740741</v>
      </c>
      <c r="G41" s="38">
        <v>1</v>
      </c>
      <c r="H41" s="30" t="s">
        <v>88</v>
      </c>
      <c r="I41" s="30">
        <v>42535.409236111111</v>
      </c>
      <c r="J41" s="60">
        <v>0</v>
      </c>
      <c r="K41" s="60" t="str">
        <f t="shared" si="10"/>
        <v>4007/4008</v>
      </c>
      <c r="L41" s="60" t="str">
        <f>VLOOKUP(A41,'Trips&amp;Operators'!$C$1:$E$9999,3,FALSE)</f>
        <v>ACKERMAN</v>
      </c>
      <c r="M41" s="12">
        <f t="shared" si="11"/>
        <v>3.1620370369637385E-2</v>
      </c>
      <c r="N41" s="13">
        <f t="shared" si="14"/>
        <v>45.533333332277834</v>
      </c>
      <c r="O41" s="13"/>
      <c r="P41" s="13"/>
      <c r="Q41" s="61"/>
      <c r="R41" s="61"/>
      <c r="S41" s="108">
        <f t="shared" si="7"/>
        <v>1</v>
      </c>
      <c r="T41" s="86" t="str">
        <f t="shared" si="8"/>
        <v>Southbound</v>
      </c>
      <c r="U41" s="10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https://search-rtdc-monitor-bjffxe2xuh6vdkpspy63sjmuny.us-east-1.es.amazonaws.com/_plugin/kibana/#/discover/Steve-Slow-Train-Analysis-(2080s-and-2083s)?_g=(refreshInterval:(display:Off,section:0,value:0),time:(from:'2016-06-14 09:01:36-0600',mode:absolute,to:'2016-06-14 09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1" s="73" t="str">
        <f t="shared" si="12"/>
        <v>N</v>
      </c>
      <c r="X41" s="73">
        <f>VALUE(LEFT(A41,3))-VALUE(LEFT(A40,3))</f>
        <v>1</v>
      </c>
      <c r="Y41" s="73">
        <f>RIGHT(D41,LEN(D41)-4)/10000</f>
        <v>23.2988</v>
      </c>
      <c r="Z41" s="73">
        <f>RIGHT(H41,LEN(H41)-4)/10000</f>
        <v>1.41E-2</v>
      </c>
      <c r="AA41" s="73">
        <f t="shared" si="13"/>
        <v>23.284700000000001</v>
      </c>
      <c r="AB41" s="74" t="e">
        <f>VLOOKUP(A41,Enforcements!$C$20:$J$60,8,0)</f>
        <v>#N/A</v>
      </c>
      <c r="AC41" s="74" t="e">
        <f>VLOOKUP(A41,Enforcements!$C$20:$J$60,3,0)</f>
        <v>#N/A</v>
      </c>
    </row>
    <row r="42" spans="1:29" s="2" customFormat="1" x14ac:dyDescent="0.25">
      <c r="A42" s="60" t="s">
        <v>420</v>
      </c>
      <c r="B42" s="60">
        <v>4014</v>
      </c>
      <c r="C42" s="60" t="s">
        <v>62</v>
      </c>
      <c r="D42" s="60" t="s">
        <v>288</v>
      </c>
      <c r="E42" s="30">
        <v>42535.347546296296</v>
      </c>
      <c r="F42" s="30">
        <v>42535.349317129629</v>
      </c>
      <c r="G42" s="38">
        <v>2</v>
      </c>
      <c r="H42" s="30" t="s">
        <v>285</v>
      </c>
      <c r="I42" s="30">
        <v>42535.380127314813</v>
      </c>
      <c r="J42" s="60">
        <v>0</v>
      </c>
      <c r="K42" s="60" t="str">
        <f t="shared" si="10"/>
        <v>4013/4014</v>
      </c>
      <c r="L42" s="60" t="str">
        <f>VLOOKUP(A42,'Trips&amp;Operators'!$C$1:$E$9999,3,FALSE)</f>
        <v>BRANNON</v>
      </c>
      <c r="M42" s="12">
        <f t="shared" si="11"/>
        <v>3.0810185184236616E-2</v>
      </c>
      <c r="N42" s="13">
        <f t="shared" si="14"/>
        <v>44.366666665300727</v>
      </c>
      <c r="O42" s="13"/>
      <c r="P42" s="13"/>
      <c r="Q42" s="61"/>
      <c r="R42" s="61"/>
      <c r="S42" s="108">
        <f t="shared" si="7"/>
        <v>1</v>
      </c>
      <c r="T42" s="86" t="str">
        <f t="shared" si="8"/>
        <v>NorthBound</v>
      </c>
      <c r="U42" s="10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https://search-rtdc-monitor-bjffxe2xuh6vdkpspy63sjmuny.us-east-1.es.amazonaws.com/_plugin/kibana/#/discover/Steve-Slow-Train-Analysis-(2080s-and-2083s)?_g=(refreshInterval:(display:Off,section:0,value:0),time:(from:'2016-06-14 08:19:28-0600',mode:absolute,to:'2016-06-14 09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2" s="73" t="str">
        <f t="shared" si="12"/>
        <v>N</v>
      </c>
      <c r="X42" s="73">
        <f>VALUE(LEFT(A42,3))-VALUE(LEFT(A41,3))</f>
        <v>1</v>
      </c>
      <c r="Y42" s="73">
        <f>RIGHT(D42,LEN(D42)-4)/10000</f>
        <v>4.4600000000000001E-2</v>
      </c>
      <c r="Z42" s="73">
        <f>RIGHT(H42,LEN(H42)-4)/10000</f>
        <v>23.331</v>
      </c>
      <c r="AA42" s="73">
        <f t="shared" si="13"/>
        <v>23.2864</v>
      </c>
      <c r="AB42" s="74" t="e">
        <f>VLOOKUP(A42,Enforcements!$C$20:$J$60,8,0)</f>
        <v>#N/A</v>
      </c>
      <c r="AC42" s="74" t="e">
        <f>VLOOKUP(A42,Enforcements!$C$20:$J$60,3,0)</f>
        <v>#N/A</v>
      </c>
    </row>
    <row r="43" spans="1:29" s="2" customFormat="1" x14ac:dyDescent="0.25">
      <c r="A43" s="60" t="s">
        <v>333</v>
      </c>
      <c r="B43" s="60">
        <v>4013</v>
      </c>
      <c r="C43" s="60" t="s">
        <v>62</v>
      </c>
      <c r="D43" s="60" t="s">
        <v>87</v>
      </c>
      <c r="E43" s="30">
        <v>42535.384710648148</v>
      </c>
      <c r="F43" s="30">
        <v>42535.387048611112</v>
      </c>
      <c r="G43" s="38">
        <v>3</v>
      </c>
      <c r="H43" s="30" t="s">
        <v>499</v>
      </c>
      <c r="I43" s="30">
        <v>42535.417581018519</v>
      </c>
      <c r="J43" s="60">
        <v>1</v>
      </c>
      <c r="K43" s="60" t="str">
        <f t="shared" si="10"/>
        <v>4013/4014</v>
      </c>
      <c r="L43" s="60" t="str">
        <f>VLOOKUP(A43,'Trips&amp;Operators'!$C$1:$E$9999,3,FALSE)</f>
        <v>BRANNON</v>
      </c>
      <c r="M43" s="12">
        <f t="shared" si="11"/>
        <v>3.0532407407008577E-2</v>
      </c>
      <c r="N43" s="13">
        <f t="shared" si="14"/>
        <v>43.966666666092351</v>
      </c>
      <c r="O43" s="13"/>
      <c r="P43" s="13"/>
      <c r="Q43" s="61"/>
      <c r="R43" s="61"/>
      <c r="S43" s="108">
        <f t="shared" si="7"/>
        <v>1</v>
      </c>
      <c r="T43" s="86" t="str">
        <f t="shared" si="8"/>
        <v>Southbound</v>
      </c>
      <c r="U43" s="10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https://search-rtdc-monitor-bjffxe2xuh6vdkpspy63sjmuny.us-east-1.es.amazonaws.com/_plugin/kibana/#/discover/Steve-Slow-Train-Analysis-(2080s-and-2083s)?_g=(refreshInterval:(display:Off,section:0,value:0),time:(from:'2016-06-14 09:12:59-0600',mode:absolute,to:'2016-06-14 10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3" s="73" t="str">
        <f t="shared" si="12"/>
        <v>Y</v>
      </c>
      <c r="X43" s="73">
        <f>VALUE(LEFT(A43,3))-VALUE(LEFT(A42,3))</f>
        <v>1</v>
      </c>
      <c r="Y43" s="73">
        <f>RIGHT(D43,LEN(D43)-4)/10000</f>
        <v>23.299099999999999</v>
      </c>
      <c r="Z43" s="73">
        <f>RIGHT(H43,LEN(H43)-4)/10000</f>
        <v>0.33939999999999998</v>
      </c>
      <c r="AA43" s="73">
        <f t="shared" si="13"/>
        <v>22.959699999999998</v>
      </c>
      <c r="AB43" s="74">
        <f>VLOOKUP(A43,Enforcements!$C$20:$J$60,8,0)</f>
        <v>127587</v>
      </c>
      <c r="AC43" s="74" t="str">
        <f>VLOOKUP(A43,Enforcements!$C$20:$J$60,3,0)</f>
        <v>SIGNAL</v>
      </c>
    </row>
    <row r="44" spans="1:29" s="2" customFormat="1" x14ac:dyDescent="0.25">
      <c r="A44" s="60" t="s">
        <v>384</v>
      </c>
      <c r="B44" s="60">
        <v>4024</v>
      </c>
      <c r="C44" s="60" t="s">
        <v>62</v>
      </c>
      <c r="D44" s="60" t="s">
        <v>82</v>
      </c>
      <c r="E44" s="30">
        <v>42535.360254629632</v>
      </c>
      <c r="F44" s="30">
        <v>42535.361585648148</v>
      </c>
      <c r="G44" s="38">
        <v>1</v>
      </c>
      <c r="H44" s="30" t="s">
        <v>278</v>
      </c>
      <c r="I44" s="30">
        <v>42535.390347222223</v>
      </c>
      <c r="J44" s="60">
        <v>0</v>
      </c>
      <c r="K44" s="60" t="str">
        <f t="shared" si="10"/>
        <v>4023/4024</v>
      </c>
      <c r="L44" s="60" t="str">
        <f>VLOOKUP(A44,'Trips&amp;Operators'!$C$1:$E$9999,3,FALSE)</f>
        <v>STURGEON</v>
      </c>
      <c r="M44" s="12">
        <f t="shared" si="11"/>
        <v>2.8761574074451346E-2</v>
      </c>
      <c r="N44" s="13">
        <f t="shared" si="14"/>
        <v>41.416666667209938</v>
      </c>
      <c r="O44" s="13"/>
      <c r="P44" s="13"/>
      <c r="Q44" s="61"/>
      <c r="R44" s="61"/>
      <c r="S44" s="108">
        <f t="shared" si="7"/>
        <v>1</v>
      </c>
      <c r="T44" s="86" t="str">
        <f t="shared" si="8"/>
        <v>NorthBound</v>
      </c>
      <c r="U44" s="109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https://search-rtdc-monitor-bjffxe2xuh6vdkpspy63sjmuny.us-east-1.es.amazonaws.com/_plugin/kibana/#/discover/Steve-Slow-Train-Analysis-(2080s-and-2083s)?_g=(refreshInterval:(display:Off,section:0,value:0),time:(from:'2016-06-14 08:37:46-0600',mode:absolute,to:'2016-06-14 09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4" s="73" t="str">
        <f t="shared" si="12"/>
        <v>N</v>
      </c>
      <c r="X44" s="73">
        <f>VALUE(LEFT(A44,3))-VALUE(LEFT(A43,3))</f>
        <v>1</v>
      </c>
      <c r="Y44" s="73">
        <f>RIGHT(D44,LEN(D44)-4)/10000</f>
        <v>4.6600000000000003E-2</v>
      </c>
      <c r="Z44" s="73">
        <f>RIGHT(H44,LEN(H44)-4)/10000</f>
        <v>23.328800000000001</v>
      </c>
      <c r="AA44" s="73">
        <f t="shared" si="13"/>
        <v>23.2822</v>
      </c>
      <c r="AB44" s="74" t="e">
        <f>VLOOKUP(A44,Enforcements!$C$20:$J$60,8,0)</f>
        <v>#N/A</v>
      </c>
      <c r="AC44" s="74" t="e">
        <f>VLOOKUP(A44,Enforcements!$C$20:$J$60,3,0)</f>
        <v>#N/A</v>
      </c>
    </row>
    <row r="45" spans="1:29" s="2" customFormat="1" x14ac:dyDescent="0.25">
      <c r="A45" s="60" t="s">
        <v>455</v>
      </c>
      <c r="B45" s="60">
        <v>4023</v>
      </c>
      <c r="C45" s="60" t="s">
        <v>62</v>
      </c>
      <c r="D45" s="60" t="s">
        <v>306</v>
      </c>
      <c r="E45" s="30">
        <v>42535.394143518519</v>
      </c>
      <c r="F45" s="30">
        <v>42535.39570601852</v>
      </c>
      <c r="G45" s="38">
        <v>2</v>
      </c>
      <c r="H45" s="30" t="s">
        <v>484</v>
      </c>
      <c r="I45" s="30">
        <v>42535.431446759256</v>
      </c>
      <c r="J45" s="60">
        <v>0</v>
      </c>
      <c r="K45" s="60" t="str">
        <f t="shared" si="10"/>
        <v>4023/4024</v>
      </c>
      <c r="L45" s="60" t="str">
        <f>VLOOKUP(A45,'Trips&amp;Operators'!$C$1:$E$9999,3,FALSE)</f>
        <v>STURGEON</v>
      </c>
      <c r="M45" s="12">
        <f t="shared" si="11"/>
        <v>3.5740740735491272E-2</v>
      </c>
      <c r="N45" s="13">
        <f t="shared" si="14"/>
        <v>51.466666659107432</v>
      </c>
      <c r="O45" s="13"/>
      <c r="P45" s="13"/>
      <c r="Q45" s="61"/>
      <c r="R45" s="61"/>
      <c r="S45" s="108">
        <f t="shared" si="7"/>
        <v>1</v>
      </c>
      <c r="T45" s="86" t="str">
        <f t="shared" si="8"/>
        <v>Southbound</v>
      </c>
      <c r="U45" s="10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https://search-rtdc-monitor-bjffxe2xuh6vdkpspy63sjmuny.us-east-1.es.amazonaws.com/_plugin/kibana/#/discover/Steve-Slow-Train-Analysis-(2080s-and-2083s)?_g=(refreshInterval:(display:Off,section:0,value:0),time:(from:'2016-06-14 09:26:34-0600',mode:absolute,to:'2016-06-14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5" s="73" t="str">
        <f t="shared" si="12"/>
        <v>N</v>
      </c>
      <c r="X45" s="73">
        <f>VALUE(LEFT(A45,3))-VALUE(LEFT(A44,3))</f>
        <v>1</v>
      </c>
      <c r="Y45" s="73">
        <f>RIGHT(D45,LEN(D45)-4)/10000</f>
        <v>23.295500000000001</v>
      </c>
      <c r="Z45" s="73">
        <f>RIGHT(H45,LEN(H45)-4)/10000</f>
        <v>1.5800000000000002E-2</v>
      </c>
      <c r="AA45" s="73">
        <f t="shared" si="13"/>
        <v>23.279700000000002</v>
      </c>
      <c r="AB45" s="74" t="e">
        <f>VLOOKUP(A45,Enforcements!$C$20:$J$60,8,0)</f>
        <v>#N/A</v>
      </c>
      <c r="AC45" s="74" t="e">
        <f>VLOOKUP(A45,Enforcements!$C$20:$J$60,3,0)</f>
        <v>#N/A</v>
      </c>
    </row>
    <row r="46" spans="1:29" s="2" customFormat="1" ht="16.5" customHeight="1" x14ac:dyDescent="0.25">
      <c r="A46" s="60" t="s">
        <v>433</v>
      </c>
      <c r="B46" s="60">
        <v>4044</v>
      </c>
      <c r="C46" s="60" t="s">
        <v>62</v>
      </c>
      <c r="D46" s="60" t="s">
        <v>65</v>
      </c>
      <c r="E46" s="30">
        <v>42535.37195601852</v>
      </c>
      <c r="F46" s="30">
        <v>42535.372719907406</v>
      </c>
      <c r="G46" s="38">
        <v>1</v>
      </c>
      <c r="H46" s="30" t="s">
        <v>282</v>
      </c>
      <c r="I46" s="30">
        <v>42535.40042824074</v>
      </c>
      <c r="J46" s="60">
        <v>0</v>
      </c>
      <c r="K46" s="60" t="str">
        <f t="shared" si="10"/>
        <v>4043/4044</v>
      </c>
      <c r="L46" s="60" t="str">
        <f>VLOOKUP(A46,'Trips&amp;Operators'!$C$1:$E$9999,3,FALSE)</f>
        <v>SPECTOR</v>
      </c>
      <c r="M46" s="12">
        <f t="shared" si="11"/>
        <v>2.7708333334885538E-2</v>
      </c>
      <c r="N46" s="13">
        <f t="shared" si="14"/>
        <v>39.900000002235174</v>
      </c>
      <c r="O46" s="13"/>
      <c r="P46" s="13"/>
      <c r="Q46" s="61"/>
      <c r="R46" s="61"/>
      <c r="S46" s="108">
        <f t="shared" si="7"/>
        <v>1</v>
      </c>
      <c r="T46" s="86" t="str">
        <f t="shared" si="8"/>
        <v>NorthBound</v>
      </c>
      <c r="U46" s="109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https://search-rtdc-monitor-bjffxe2xuh6vdkpspy63sjmuny.us-east-1.es.amazonaws.com/_plugin/kibana/#/discover/Steve-Slow-Train-Analysis-(2080s-and-2083s)?_g=(refreshInterval:(display:Off,section:0,value:0),time:(from:'2016-06-14 08:54:37-0600',mode:absolute,to:'2016-06-14 09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6" s="73" t="str">
        <f t="shared" si="12"/>
        <v>N</v>
      </c>
      <c r="X46" s="73">
        <f>VALUE(LEFT(A46,3))-VALUE(LEFT(A45,3))</f>
        <v>1</v>
      </c>
      <c r="Y46" s="73">
        <f>RIGHT(D46,LEN(D46)-4)/10000</f>
        <v>4.5100000000000001E-2</v>
      </c>
      <c r="Z46" s="73">
        <f>RIGHT(H46,LEN(H46)-4)/10000</f>
        <v>23.331700000000001</v>
      </c>
      <c r="AA46" s="73">
        <f t="shared" si="13"/>
        <v>23.2866</v>
      </c>
      <c r="AB46" s="74" t="e">
        <f>VLOOKUP(A46,Enforcements!$C$20:$J$60,8,0)</f>
        <v>#N/A</v>
      </c>
      <c r="AC46" s="74" t="e">
        <f>VLOOKUP(A46,Enforcements!$C$20:$J$60,3,0)</f>
        <v>#N/A</v>
      </c>
    </row>
    <row r="47" spans="1:29" s="2" customFormat="1" ht="16.5" customHeight="1" x14ac:dyDescent="0.25">
      <c r="A47" s="60" t="s">
        <v>444</v>
      </c>
      <c r="B47" s="60">
        <v>4043</v>
      </c>
      <c r="C47" s="60" t="s">
        <v>62</v>
      </c>
      <c r="D47" s="60" t="s">
        <v>305</v>
      </c>
      <c r="E47" s="30">
        <v>42535.407025462962</v>
      </c>
      <c r="F47" s="30">
        <v>42535.408020833333</v>
      </c>
      <c r="G47" s="38">
        <v>1</v>
      </c>
      <c r="H47" s="30" t="s">
        <v>66</v>
      </c>
      <c r="I47" s="30">
        <v>42535.440439814818</v>
      </c>
      <c r="J47" s="60">
        <v>0</v>
      </c>
      <c r="K47" s="60" t="str">
        <f t="shared" si="10"/>
        <v>4043/4044</v>
      </c>
      <c r="L47" s="60" t="str">
        <f>VLOOKUP(A47,'Trips&amp;Operators'!$C$1:$E$9999,3,FALSE)</f>
        <v>SPECTOR</v>
      </c>
      <c r="M47" s="12">
        <f t="shared" si="11"/>
        <v>3.2418981485534459E-2</v>
      </c>
      <c r="N47" s="13">
        <f t="shared" si="14"/>
        <v>46.683333339169621</v>
      </c>
      <c r="O47" s="13"/>
      <c r="P47" s="13"/>
      <c r="Q47" s="61"/>
      <c r="R47" s="61"/>
      <c r="S47" s="108">
        <f t="shared" si="7"/>
        <v>1</v>
      </c>
      <c r="T47" s="86" t="str">
        <f t="shared" si="8"/>
        <v>Southbound</v>
      </c>
      <c r="U47" s="109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https://search-rtdc-monitor-bjffxe2xuh6vdkpspy63sjmuny.us-east-1.es.amazonaws.com/_plugin/kibana/#/discover/Steve-Slow-Train-Analysis-(2080s-and-2083s)?_g=(refreshInterval:(display:Off,section:0,value:0),time:(from:'2016-06-14 09:45:07-0600',mode:absolute,to:'2016-06-14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7" s="73" t="str">
        <f t="shared" si="12"/>
        <v>N</v>
      </c>
      <c r="X47" s="73">
        <f>VALUE(LEFT(A47,3))-VALUE(LEFT(A46,3))</f>
        <v>1</v>
      </c>
      <c r="Y47" s="73">
        <f>RIGHT(D47,LEN(D47)-4)/10000</f>
        <v>23.299299999999999</v>
      </c>
      <c r="Z47" s="73">
        <f>RIGHT(H47,LEN(H47)-4)/10000</f>
        <v>1.52E-2</v>
      </c>
      <c r="AA47" s="73">
        <f t="shared" si="13"/>
        <v>23.284099999999999</v>
      </c>
      <c r="AB47" s="74" t="e">
        <f>VLOOKUP(A47,Enforcements!$C$20:$J$60,8,0)</f>
        <v>#N/A</v>
      </c>
      <c r="AC47" s="74" t="e">
        <f>VLOOKUP(A47,Enforcements!$C$20:$J$60,3,0)</f>
        <v>#N/A</v>
      </c>
    </row>
    <row r="48" spans="1:29" s="2" customFormat="1" x14ac:dyDescent="0.25">
      <c r="A48" s="60" t="s">
        <v>332</v>
      </c>
      <c r="B48" s="60">
        <v>4025</v>
      </c>
      <c r="C48" s="60" t="s">
        <v>62</v>
      </c>
      <c r="D48" s="60" t="s">
        <v>106</v>
      </c>
      <c r="E48" s="30">
        <v>42535.380729166667</v>
      </c>
      <c r="F48" s="30">
        <v>42535.381944444445</v>
      </c>
      <c r="G48" s="38">
        <v>1</v>
      </c>
      <c r="H48" s="30" t="s">
        <v>500</v>
      </c>
      <c r="I48" s="30">
        <v>42535.412719907406</v>
      </c>
      <c r="J48" s="60">
        <v>2</v>
      </c>
      <c r="K48" s="60" t="str">
        <f t="shared" si="10"/>
        <v>4025/4026</v>
      </c>
      <c r="L48" s="60" t="str">
        <f>VLOOKUP(A48,'Trips&amp;Operators'!$C$1:$E$9999,3,FALSE)</f>
        <v>STARKS</v>
      </c>
      <c r="M48" s="12">
        <f t="shared" si="11"/>
        <v>3.0775462961173616E-2</v>
      </c>
      <c r="N48" s="13">
        <f t="shared" si="14"/>
        <v>44.316666664090008</v>
      </c>
      <c r="O48" s="13"/>
      <c r="P48" s="13"/>
      <c r="Q48" s="61"/>
      <c r="R48" s="61"/>
      <c r="S48" s="108">
        <f t="shared" si="7"/>
        <v>1</v>
      </c>
      <c r="T48" s="86" t="str">
        <f t="shared" si="8"/>
        <v>NorthBound</v>
      </c>
      <c r="U48" s="109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https://search-rtdc-monitor-bjffxe2xuh6vdkpspy63sjmuny.us-east-1.es.amazonaws.com/_plugin/kibana/#/discover/Steve-Slow-Train-Analysis-(2080s-and-2083s)?_g=(refreshInterval:(display:Off,section:0,value:0),time:(from:'2016-06-14 09:07:15-0600',mode:absolute,to:'2016-06-14 09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8" s="73" t="str">
        <f t="shared" si="12"/>
        <v>N</v>
      </c>
      <c r="X48" s="73">
        <f>VALUE(LEFT(A48,3))-VALUE(LEFT(A47,3))</f>
        <v>1</v>
      </c>
      <c r="Y48" s="73">
        <f>RIGHT(D48,LEN(D48)-4)/10000</f>
        <v>4.58E-2</v>
      </c>
      <c r="Z48" s="73">
        <f>RIGHT(H48,LEN(H48)-4)/10000</f>
        <v>23.338899999999999</v>
      </c>
      <c r="AA48" s="73">
        <f t="shared" si="13"/>
        <v>23.293099999999999</v>
      </c>
      <c r="AB48" s="74">
        <f>VLOOKUP(A48,Enforcements!$C$20:$J$60,8,0)</f>
        <v>20617</v>
      </c>
      <c r="AC48" s="74" t="str">
        <f>VLOOKUP(A48,Enforcements!$C$20:$J$60,3,0)</f>
        <v>SIGNAL</v>
      </c>
    </row>
    <row r="49" spans="1:29" s="2" customFormat="1" x14ac:dyDescent="0.25">
      <c r="A49" s="60" t="s">
        <v>421</v>
      </c>
      <c r="B49" s="60">
        <v>4026</v>
      </c>
      <c r="C49" s="60" t="s">
        <v>62</v>
      </c>
      <c r="D49" s="60" t="s">
        <v>497</v>
      </c>
      <c r="E49" s="30">
        <v>42535.421550925923</v>
      </c>
      <c r="F49" s="30">
        <v>42535.422476851854</v>
      </c>
      <c r="G49" s="38">
        <v>1</v>
      </c>
      <c r="H49" s="30" t="s">
        <v>301</v>
      </c>
      <c r="I49" s="30">
        <v>42535.452314814815</v>
      </c>
      <c r="J49" s="60">
        <v>0</v>
      </c>
      <c r="K49" s="60" t="str">
        <f t="shared" si="10"/>
        <v>4025/4026</v>
      </c>
      <c r="L49" s="60" t="str">
        <f>VLOOKUP(A49,'Trips&amp;Operators'!$C$1:$E$9999,3,FALSE)</f>
        <v>STARKS</v>
      </c>
      <c r="M49" s="12">
        <f t="shared" si="11"/>
        <v>2.9837962960300501E-2</v>
      </c>
      <c r="N49" s="13">
        <f t="shared" si="14"/>
        <v>42.966666662832722</v>
      </c>
      <c r="O49" s="13"/>
      <c r="P49" s="13"/>
      <c r="Q49" s="61"/>
      <c r="R49" s="61"/>
      <c r="S49" s="108">
        <f t="shared" si="7"/>
        <v>1</v>
      </c>
      <c r="T49" s="86" t="str">
        <f t="shared" si="8"/>
        <v>Southbound</v>
      </c>
      <c r="U49" s="10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https://search-rtdc-monitor-bjffxe2xuh6vdkpspy63sjmuny.us-east-1.es.amazonaws.com/_plugin/kibana/#/discover/Steve-Slow-Train-Analysis-(2080s-and-2083s)?_g=(refreshInterval:(display:Off,section:0,value:0),time:(from:'2016-06-14 10:06:02-0600',mode:absolute,to:'2016-06-14 10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9" s="73" t="str">
        <f t="shared" si="12"/>
        <v>N</v>
      </c>
      <c r="X49" s="73">
        <f>VALUE(LEFT(A49,3))-VALUE(LEFT(A48,3))</f>
        <v>1</v>
      </c>
      <c r="Y49" s="73">
        <f>RIGHT(D49,LEN(D49)-4)/10000</f>
        <v>23.307099999999998</v>
      </c>
      <c r="Z49" s="73">
        <f>RIGHT(H49,LEN(H49)-4)/10000</f>
        <v>1.2999999999999999E-2</v>
      </c>
      <c r="AA49" s="73">
        <f t="shared" si="13"/>
        <v>23.294099999999997</v>
      </c>
      <c r="AB49" s="74" t="e">
        <f>VLOOKUP(A49,Enforcements!$C$20:$J$60,8,0)</f>
        <v>#N/A</v>
      </c>
      <c r="AC49" s="74" t="e">
        <f>VLOOKUP(A49,Enforcements!$C$20:$J$60,3,0)</f>
        <v>#N/A</v>
      </c>
    </row>
    <row r="50" spans="1:29" s="2" customFormat="1" x14ac:dyDescent="0.25">
      <c r="A50" s="60" t="s">
        <v>376</v>
      </c>
      <c r="B50" s="60">
        <v>4016</v>
      </c>
      <c r="C50" s="60" t="s">
        <v>62</v>
      </c>
      <c r="D50" s="60" t="s">
        <v>84</v>
      </c>
      <c r="E50" s="30">
        <v>42535.395104166666</v>
      </c>
      <c r="F50" s="30">
        <v>42535.39576388889</v>
      </c>
      <c r="G50" s="38">
        <v>0</v>
      </c>
      <c r="H50" s="30" t="s">
        <v>111</v>
      </c>
      <c r="I50" s="30">
        <v>42535.421041666668</v>
      </c>
      <c r="J50" s="60">
        <v>0</v>
      </c>
      <c r="K50" s="60" t="str">
        <f t="shared" si="10"/>
        <v>4015/4016</v>
      </c>
      <c r="L50" s="60" t="str">
        <f>VLOOKUP(A50,'Trips&amp;Operators'!$C$1:$E$9999,3,FALSE)</f>
        <v>ROCHA</v>
      </c>
      <c r="M50" s="12">
        <f t="shared" si="11"/>
        <v>2.527777777868323E-2</v>
      </c>
      <c r="N50" s="13">
        <f t="shared" si="14"/>
        <v>36.400000001303852</v>
      </c>
      <c r="O50" s="13"/>
      <c r="P50" s="13"/>
      <c r="Q50" s="61"/>
      <c r="R50" s="61"/>
      <c r="S50" s="108">
        <f t="shared" si="7"/>
        <v>1</v>
      </c>
      <c r="T50" s="86" t="str">
        <f t="shared" si="8"/>
        <v>NorthBound</v>
      </c>
      <c r="U50" s="10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https://search-rtdc-monitor-bjffxe2xuh6vdkpspy63sjmuny.us-east-1.es.amazonaws.com/_plugin/kibana/#/discover/Steve-Slow-Train-Analysis-(2080s-and-2083s)?_g=(refreshInterval:(display:Off,section:0,value:0),time:(from:'2016-06-14 09:27:57-0600',mode:absolute,to:'2016-06-14 10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0" s="73" t="str">
        <f t="shared" si="12"/>
        <v>N</v>
      </c>
      <c r="X50" s="73">
        <f>VALUE(LEFT(A50,3))-VALUE(LEFT(A49,3))</f>
        <v>1</v>
      </c>
      <c r="Y50" s="73">
        <f>RIGHT(D50,LEN(D50)-4)/10000</f>
        <v>4.6199999999999998E-2</v>
      </c>
      <c r="Z50" s="73">
        <f>RIGHT(H50,LEN(H50)-4)/10000</f>
        <v>23.33</v>
      </c>
      <c r="AA50" s="73">
        <f t="shared" si="13"/>
        <v>23.283799999999999</v>
      </c>
      <c r="AB50" s="74" t="e">
        <f>VLOOKUP(A50,Enforcements!$C$20:$J$60,8,0)</f>
        <v>#N/A</v>
      </c>
      <c r="AC50" s="74" t="e">
        <f>VLOOKUP(A50,Enforcements!$C$20:$J$60,3,0)</f>
        <v>#N/A</v>
      </c>
    </row>
    <row r="51" spans="1:29" s="2" customFormat="1" x14ac:dyDescent="0.25">
      <c r="A51" s="60" t="s">
        <v>336</v>
      </c>
      <c r="B51" s="60">
        <v>4015</v>
      </c>
      <c r="C51" s="60" t="s">
        <v>62</v>
      </c>
      <c r="D51" s="60" t="s">
        <v>107</v>
      </c>
      <c r="E51" s="30">
        <v>42535.426180555558</v>
      </c>
      <c r="F51" s="30">
        <v>42535.427361111113</v>
      </c>
      <c r="G51" s="38">
        <v>1</v>
      </c>
      <c r="H51" s="30" t="s">
        <v>72</v>
      </c>
      <c r="I51" s="30">
        <v>42535.460740740738</v>
      </c>
      <c r="J51" s="60">
        <v>1</v>
      </c>
      <c r="K51" s="60" t="str">
        <f t="shared" si="10"/>
        <v>4015/4016</v>
      </c>
      <c r="L51" s="60" t="str">
        <f>VLOOKUP(A51,'Trips&amp;Operators'!$C$1:$E$9999,3,FALSE)</f>
        <v>ROCHA</v>
      </c>
      <c r="M51" s="12">
        <f t="shared" si="11"/>
        <v>3.3379629625414964E-2</v>
      </c>
      <c r="N51" s="13">
        <f t="shared" si="14"/>
        <v>48.066666660597548</v>
      </c>
      <c r="O51" s="13"/>
      <c r="P51" s="13"/>
      <c r="Q51" s="61"/>
      <c r="R51" s="61"/>
      <c r="S51" s="108">
        <f t="shared" si="7"/>
        <v>1</v>
      </c>
      <c r="T51" s="86" t="str">
        <f t="shared" si="8"/>
        <v>Southbound</v>
      </c>
      <c r="U51" s="10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https://search-rtdc-monitor-bjffxe2xuh6vdkpspy63sjmuny.us-east-1.es.amazonaws.com/_plugin/kibana/#/discover/Steve-Slow-Train-Analysis-(2080s-and-2083s)?_g=(refreshInterval:(display:Off,section:0,value:0),time:(from:'2016-06-14 10:12:42-0600',mode:absolute,to:'2016-06-14 11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1" s="73" t="str">
        <f t="shared" si="12"/>
        <v>N</v>
      </c>
      <c r="X51" s="73">
        <f>VALUE(LEFT(A51,3))-VALUE(LEFT(A50,3))</f>
        <v>1</v>
      </c>
      <c r="Y51" s="73">
        <f>RIGHT(D51,LEN(D51)-4)/10000</f>
        <v>23.298300000000001</v>
      </c>
      <c r="Z51" s="73">
        <f>RIGHT(H51,LEN(H51)-4)/10000</f>
        <v>1.4999999999999999E-2</v>
      </c>
      <c r="AA51" s="73">
        <f t="shared" si="13"/>
        <v>23.283300000000001</v>
      </c>
      <c r="AB51" s="74">
        <f>VLOOKUP(A51,Enforcements!$C$20:$J$60,8,0)</f>
        <v>1</v>
      </c>
      <c r="AC51" s="74" t="str">
        <f>VLOOKUP(A51,Enforcements!$C$20:$J$60,3,0)</f>
        <v>TRACK WARRANT AUTHORITY</v>
      </c>
    </row>
    <row r="52" spans="1:29" s="2" customFormat="1" x14ac:dyDescent="0.25">
      <c r="A52" s="60" t="s">
        <v>334</v>
      </c>
      <c r="B52" s="60">
        <v>4009</v>
      </c>
      <c r="C52" s="60" t="s">
        <v>62</v>
      </c>
      <c r="D52" s="60" t="s">
        <v>310</v>
      </c>
      <c r="E52" s="30">
        <v>42535.403055555558</v>
      </c>
      <c r="F52" s="30">
        <v>42535.403773148151</v>
      </c>
      <c r="G52" s="38">
        <v>1</v>
      </c>
      <c r="H52" s="30" t="s">
        <v>498</v>
      </c>
      <c r="I52" s="30">
        <v>42535.431805555556</v>
      </c>
      <c r="J52" s="60">
        <v>1</v>
      </c>
      <c r="K52" s="60" t="str">
        <f t="shared" si="10"/>
        <v>4009/4010</v>
      </c>
      <c r="L52" s="60" t="str">
        <f>VLOOKUP(A52,'Trips&amp;Operators'!$C$1:$E$9999,3,FALSE)</f>
        <v>YANAI</v>
      </c>
      <c r="M52" s="12">
        <f t="shared" si="11"/>
        <v>2.8032407404680271E-2</v>
      </c>
      <c r="N52" s="13">
        <f t="shared" si="14"/>
        <v>40.36666666273959</v>
      </c>
      <c r="O52" s="13"/>
      <c r="P52" s="13"/>
      <c r="Q52" s="61"/>
      <c r="R52" s="61"/>
      <c r="S52" s="108">
        <f t="shared" si="7"/>
        <v>1</v>
      </c>
      <c r="T52" s="86" t="str">
        <f t="shared" si="8"/>
        <v>NorthBound</v>
      </c>
      <c r="U52" s="109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https://search-rtdc-monitor-bjffxe2xuh6vdkpspy63sjmuny.us-east-1.es.amazonaws.com/_plugin/kibana/#/discover/Steve-Slow-Train-Analysis-(2080s-and-2083s)?_g=(refreshInterval:(display:Off,section:0,value:0),time:(from:'2016-06-14 09:39:24-0600',mode:absolute,to:'2016-06-14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3" t="str">
        <f t="shared" si="12"/>
        <v>N</v>
      </c>
      <c r="X52" s="73">
        <f>VALUE(LEFT(A52,3))-VALUE(LEFT(A51,3))</f>
        <v>1</v>
      </c>
      <c r="Y52" s="73">
        <f>RIGHT(D52,LEN(D52)-4)/10000</f>
        <v>4.3700000000000003E-2</v>
      </c>
      <c r="Z52" s="73">
        <f>RIGHT(H52,LEN(H52)-4)/10000</f>
        <v>23.341999999999999</v>
      </c>
      <c r="AA52" s="73">
        <f t="shared" si="13"/>
        <v>23.298299999999998</v>
      </c>
      <c r="AB52" s="74">
        <f>VLOOKUP(A52,Enforcements!$C$20:$J$60,8,0)</f>
        <v>233491</v>
      </c>
      <c r="AC52" s="74" t="str">
        <f>VLOOKUP(A52,Enforcements!$C$20:$J$60,3,0)</f>
        <v>TRACK WARRANT AUTHORITY</v>
      </c>
    </row>
    <row r="53" spans="1:29" s="94" customFormat="1" x14ac:dyDescent="0.25">
      <c r="A53" s="60" t="s">
        <v>401</v>
      </c>
      <c r="B53" s="60">
        <v>4010</v>
      </c>
      <c r="C53" s="60" t="s">
        <v>62</v>
      </c>
      <c r="D53" s="60" t="s">
        <v>300</v>
      </c>
      <c r="E53" s="30">
        <v>42535.443101851852</v>
      </c>
      <c r="F53" s="30">
        <v>42535.443888888891</v>
      </c>
      <c r="G53" s="38">
        <v>1</v>
      </c>
      <c r="H53" s="30" t="s">
        <v>88</v>
      </c>
      <c r="I53" s="30">
        <v>42535.471250000002</v>
      </c>
      <c r="J53" s="60">
        <v>0</v>
      </c>
      <c r="K53" s="60" t="str">
        <f t="shared" si="10"/>
        <v>4009/4010</v>
      </c>
      <c r="L53" s="60" t="str">
        <f>VLOOKUP(A53,'Trips&amp;Operators'!$C$1:$E$9999,3,FALSE)</f>
        <v>YANAI</v>
      </c>
      <c r="M53" s="12">
        <f t="shared" si="11"/>
        <v>2.73611111115315E-2</v>
      </c>
      <c r="N53" s="13">
        <f t="shared" si="14"/>
        <v>39.40000000060536</v>
      </c>
      <c r="O53" s="13"/>
      <c r="P53" s="13"/>
      <c r="Q53" s="61"/>
      <c r="R53" s="61"/>
      <c r="S53" s="108">
        <f t="shared" si="7"/>
        <v>1</v>
      </c>
      <c r="T53" s="86" t="str">
        <f t="shared" si="8"/>
        <v>Southbound</v>
      </c>
      <c r="U53" s="10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https://search-rtdc-monitor-bjffxe2xuh6vdkpspy63sjmuny.us-east-1.es.amazonaws.com/_plugin/kibana/#/discover/Steve-Slow-Train-Analysis-(2080s-and-2083s)?_g=(refreshInterval:(display:Off,section:0,value:0),time:(from:'2016-06-14 10:37:04-0600',mode:absolute,to:'2016-06-14 11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3" t="str">
        <f t="shared" si="12"/>
        <v>N</v>
      </c>
      <c r="X53" s="73">
        <f>VALUE(LEFT(A53,3))-VALUE(LEFT(A52,3))</f>
        <v>1</v>
      </c>
      <c r="Y53" s="73">
        <f>RIGHT(D53,LEN(D53)-4)/10000</f>
        <v>23.3096</v>
      </c>
      <c r="Z53" s="73">
        <f>RIGHT(H53,LEN(H53)-4)/10000</f>
        <v>1.41E-2</v>
      </c>
      <c r="AA53" s="73">
        <f t="shared" si="13"/>
        <v>23.295500000000001</v>
      </c>
      <c r="AB53" s="74" t="e">
        <f>VLOOKUP(A53,Enforcements!$C$20:$J$60,8,0)</f>
        <v>#N/A</v>
      </c>
      <c r="AC53" s="74" t="e">
        <f>VLOOKUP(A53,Enforcements!$C$20:$J$60,3,0)</f>
        <v>#N/A</v>
      </c>
    </row>
    <row r="54" spans="1:29" s="2" customFormat="1" x14ac:dyDescent="0.25">
      <c r="A54" s="60" t="s">
        <v>437</v>
      </c>
      <c r="B54" s="60">
        <v>4007</v>
      </c>
      <c r="C54" s="60" t="s">
        <v>62</v>
      </c>
      <c r="D54" s="60" t="s">
        <v>77</v>
      </c>
      <c r="E54" s="30">
        <v>42535.411412037036</v>
      </c>
      <c r="F54" s="30">
        <v>42535.41233796296</v>
      </c>
      <c r="G54" s="38">
        <v>1</v>
      </c>
      <c r="H54" s="30" t="s">
        <v>469</v>
      </c>
      <c r="I54" s="30">
        <v>42535.44190972222</v>
      </c>
      <c r="J54" s="60">
        <v>0</v>
      </c>
      <c r="K54" s="60" t="str">
        <f t="shared" si="10"/>
        <v>4007/4008</v>
      </c>
      <c r="L54" s="60" t="str">
        <f>VLOOKUP(A54,'Trips&amp;Operators'!$C$1:$E$9999,3,FALSE)</f>
        <v>ACKERMAN</v>
      </c>
      <c r="M54" s="12">
        <f t="shared" si="11"/>
        <v>2.9571759259852115E-2</v>
      </c>
      <c r="N54" s="13">
        <f t="shared" si="14"/>
        <v>42.583333334187046</v>
      </c>
      <c r="O54" s="13"/>
      <c r="P54" s="13"/>
      <c r="Q54" s="61"/>
      <c r="R54" s="61"/>
      <c r="S54" s="108">
        <f t="shared" si="7"/>
        <v>1</v>
      </c>
      <c r="T54" s="86" t="str">
        <f t="shared" si="8"/>
        <v>NorthBound</v>
      </c>
      <c r="U54" s="10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https://search-rtdc-monitor-bjffxe2xuh6vdkpspy63sjmuny.us-east-1.es.amazonaws.com/_plugin/kibana/#/discover/Steve-Slow-Train-Analysis-(2080s-and-2083s)?_g=(refreshInterval:(display:Off,section:0,value:0),time:(from:'2016-06-14 09:51:26-0600',mode:absolute,to:'2016-06-14 10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4" s="73" t="str">
        <f t="shared" si="12"/>
        <v>N</v>
      </c>
      <c r="X54" s="73">
        <f>VALUE(LEFT(A54,3))-VALUE(LEFT(A53,3))</f>
        <v>1</v>
      </c>
      <c r="Y54" s="73">
        <f>RIGHT(D54,LEN(D54)-4)/10000</f>
        <v>4.5999999999999999E-2</v>
      </c>
      <c r="Z54" s="73">
        <f>RIGHT(H54,LEN(H54)-4)/10000</f>
        <v>23.331199999999999</v>
      </c>
      <c r="AA54" s="73">
        <f t="shared" si="13"/>
        <v>23.2852</v>
      </c>
      <c r="AB54" s="74" t="e">
        <f>VLOOKUP(A54,Enforcements!$C$20:$J$60,8,0)</f>
        <v>#N/A</v>
      </c>
      <c r="AC54" s="74" t="e">
        <f>VLOOKUP(A54,Enforcements!$C$20:$J$60,3,0)</f>
        <v>#N/A</v>
      </c>
    </row>
    <row r="55" spans="1:29" s="2" customFormat="1" ht="14.25" customHeight="1" x14ac:dyDescent="0.25">
      <c r="A55" s="60" t="s">
        <v>335</v>
      </c>
      <c r="B55" s="60">
        <v>4008</v>
      </c>
      <c r="C55" s="60" t="s">
        <v>62</v>
      </c>
      <c r="D55" s="60" t="s">
        <v>258</v>
      </c>
      <c r="E55" s="30">
        <v>42535.450428240743</v>
      </c>
      <c r="F55" s="30">
        <v>42535.451377314814</v>
      </c>
      <c r="G55" s="38">
        <v>1</v>
      </c>
      <c r="H55" s="30" t="s">
        <v>83</v>
      </c>
      <c r="I55" s="30">
        <v>42535.482106481482</v>
      </c>
      <c r="J55" s="60">
        <v>1</v>
      </c>
      <c r="K55" s="60" t="str">
        <f t="shared" si="10"/>
        <v>4007/4008</v>
      </c>
      <c r="L55" s="60" t="str">
        <f>VLOOKUP(A55,'Trips&amp;Operators'!$C$1:$E$9999,3,FALSE)</f>
        <v>ACKERMAN</v>
      </c>
      <c r="M55" s="12">
        <f t="shared" si="11"/>
        <v>3.0729166668606922E-2</v>
      </c>
      <c r="N55" s="13">
        <f t="shared" si="14"/>
        <v>44.250000002793968</v>
      </c>
      <c r="O55" s="13"/>
      <c r="P55" s="13"/>
      <c r="Q55" s="61"/>
      <c r="R55" s="61"/>
      <c r="S55" s="108">
        <f t="shared" si="7"/>
        <v>1</v>
      </c>
      <c r="T55" s="86" t="str">
        <f t="shared" si="8"/>
        <v>Southbound</v>
      </c>
      <c r="U55" s="10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https://search-rtdc-monitor-bjffxe2xuh6vdkpspy63sjmuny.us-east-1.es.amazonaws.com/_plugin/kibana/#/discover/Steve-Slow-Train-Analysis-(2080s-and-2083s)?_g=(refreshInterval:(display:Off,section:0,value:0),time:(from:'2016-06-14 10:47:37-0600',mode:absolute,to:'2016-06-14 11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5" s="73" t="str">
        <f t="shared" si="12"/>
        <v>N</v>
      </c>
      <c r="X55" s="73">
        <f>VALUE(LEFT(A55,3))-VALUE(LEFT(A54,3))</f>
        <v>1</v>
      </c>
      <c r="Y55" s="73">
        <f>RIGHT(D55,LEN(D55)-4)/10000</f>
        <v>23.298100000000002</v>
      </c>
      <c r="Z55" s="73">
        <f>RIGHT(H55,LEN(H55)-4)/10000</f>
        <v>1.43E-2</v>
      </c>
      <c r="AA55" s="73">
        <f t="shared" si="13"/>
        <v>23.283800000000003</v>
      </c>
      <c r="AB55" s="74">
        <f>VLOOKUP(A55,Enforcements!$C$20:$J$60,8,0)</f>
        <v>182920</v>
      </c>
      <c r="AC55" s="74" t="str">
        <f>VLOOKUP(A55,Enforcements!$C$20:$J$60,3,0)</f>
        <v>SIGNAL</v>
      </c>
    </row>
    <row r="56" spans="1:29" s="2" customFormat="1" x14ac:dyDescent="0.25">
      <c r="A56" s="60" t="s">
        <v>438</v>
      </c>
      <c r="B56" s="60">
        <v>4020</v>
      </c>
      <c r="C56" s="60" t="s">
        <v>62</v>
      </c>
      <c r="D56" s="60" t="s">
        <v>310</v>
      </c>
      <c r="E56" s="30">
        <v>42535.424456018518</v>
      </c>
      <c r="F56" s="30">
        <v>42535.425474537034</v>
      </c>
      <c r="G56" s="38">
        <v>1</v>
      </c>
      <c r="H56" s="30" t="s">
        <v>309</v>
      </c>
      <c r="I56" s="30">
        <v>42535.452326388891</v>
      </c>
      <c r="J56" s="60">
        <v>0</v>
      </c>
      <c r="K56" s="60" t="str">
        <f t="shared" si="10"/>
        <v>4019/4020</v>
      </c>
      <c r="L56" s="60" t="str">
        <f>VLOOKUP(A56,'Trips&amp;Operators'!$C$1:$E$9999,3,FALSE)</f>
        <v>BEAM</v>
      </c>
      <c r="M56" s="12">
        <f t="shared" si="11"/>
        <v>2.6851851856918074E-2</v>
      </c>
      <c r="N56" s="13">
        <f t="shared" si="14"/>
        <v>38.666666673962027</v>
      </c>
      <c r="O56" s="13"/>
      <c r="P56" s="13"/>
      <c r="Q56" s="61"/>
      <c r="R56" s="61"/>
      <c r="S56" s="108">
        <f t="shared" si="7"/>
        <v>1</v>
      </c>
      <c r="T56" s="86" t="str">
        <f t="shared" si="8"/>
        <v>NorthBound</v>
      </c>
      <c r="U56" s="10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https://search-rtdc-monitor-bjffxe2xuh6vdkpspy63sjmuny.us-east-1.es.amazonaws.com/_plugin/kibana/#/discover/Steve-Slow-Train-Analysis-(2080s-and-2083s)?_g=(refreshInterval:(display:Off,section:0,value:0),time:(from:'2016-06-14 10:10:13-0600',mode:absolute,to:'2016-06-14 10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6" s="73" t="str">
        <f t="shared" si="12"/>
        <v>N</v>
      </c>
      <c r="X56" s="73">
        <f>VALUE(LEFT(A56,3))-VALUE(LEFT(A55,3))</f>
        <v>1</v>
      </c>
      <c r="Y56" s="73">
        <f>RIGHT(D56,LEN(D56)-4)/10000</f>
        <v>4.3700000000000003E-2</v>
      </c>
      <c r="Z56" s="73">
        <f>RIGHT(H56,LEN(H56)-4)/10000</f>
        <v>23.3307</v>
      </c>
      <c r="AA56" s="73">
        <f t="shared" si="13"/>
        <v>23.286999999999999</v>
      </c>
      <c r="AB56" s="74" t="e">
        <f>VLOOKUP(A56,Enforcements!$C$20:$J$60,8,0)</f>
        <v>#N/A</v>
      </c>
      <c r="AC56" s="74" t="e">
        <f>VLOOKUP(A56,Enforcements!$C$20:$J$60,3,0)</f>
        <v>#N/A</v>
      </c>
    </row>
    <row r="57" spans="1:29" s="2" customFormat="1" x14ac:dyDescent="0.25">
      <c r="A57" s="60" t="s">
        <v>402</v>
      </c>
      <c r="B57" s="60">
        <v>4019</v>
      </c>
      <c r="C57" s="60" t="s">
        <v>62</v>
      </c>
      <c r="D57" s="60" t="s">
        <v>124</v>
      </c>
      <c r="E57" s="30">
        <v>42535.461446759262</v>
      </c>
      <c r="F57" s="30">
        <v>42535.462500000001</v>
      </c>
      <c r="G57" s="38">
        <v>1</v>
      </c>
      <c r="H57" s="30" t="s">
        <v>88</v>
      </c>
      <c r="I57" s="30">
        <v>42535.492627314816</v>
      </c>
      <c r="J57" s="60">
        <v>0</v>
      </c>
      <c r="K57" s="60" t="str">
        <f t="shared" si="10"/>
        <v>4019/4020</v>
      </c>
      <c r="L57" s="60" t="str">
        <f>VLOOKUP(A57,'Trips&amp;Operators'!$C$1:$E$9999,3,FALSE)</f>
        <v>BEAM</v>
      </c>
      <c r="M57" s="12">
        <f t="shared" si="11"/>
        <v>3.0127314814308193E-2</v>
      </c>
      <c r="N57" s="13">
        <f t="shared" si="14"/>
        <v>43.383333332603797</v>
      </c>
      <c r="O57" s="13"/>
      <c r="P57" s="13"/>
      <c r="Q57" s="61"/>
      <c r="R57" s="61"/>
      <c r="S57" s="108">
        <f t="shared" si="7"/>
        <v>1</v>
      </c>
      <c r="T57" s="86" t="str">
        <f t="shared" si="8"/>
        <v>Southbound</v>
      </c>
      <c r="U57" s="109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https://search-rtdc-monitor-bjffxe2xuh6vdkpspy63sjmuny.us-east-1.es.amazonaws.com/_plugin/kibana/#/discover/Steve-Slow-Train-Analysis-(2080s-and-2083s)?_g=(refreshInterval:(display:Off,section:0,value:0),time:(from:'2016-06-14 11:03:29-0600',mode:absolute,to:'2016-06-14 11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7" s="73" t="str">
        <f t="shared" si="12"/>
        <v>N</v>
      </c>
      <c r="X57" s="73">
        <f>VALUE(LEFT(A57,3))-VALUE(LEFT(A56,3))</f>
        <v>1</v>
      </c>
      <c r="Y57" s="73">
        <f>RIGHT(D57,LEN(D57)-4)/10000</f>
        <v>23.297499999999999</v>
      </c>
      <c r="Z57" s="73">
        <f>RIGHT(H57,LEN(H57)-4)/10000</f>
        <v>1.41E-2</v>
      </c>
      <c r="AA57" s="73">
        <f t="shared" si="13"/>
        <v>23.2834</v>
      </c>
      <c r="AB57" s="74" t="e">
        <f>VLOOKUP(A57,Enforcements!$C$20:$J$60,8,0)</f>
        <v>#N/A</v>
      </c>
      <c r="AC57" s="74" t="e">
        <f>VLOOKUP(A57,Enforcements!$C$20:$J$60,3,0)</f>
        <v>#N/A</v>
      </c>
    </row>
    <row r="58" spans="1:29" s="2" customFormat="1" x14ac:dyDescent="0.25">
      <c r="A58" s="60" t="s">
        <v>449</v>
      </c>
      <c r="B58" s="60">
        <v>4024</v>
      </c>
      <c r="C58" s="60" t="s">
        <v>62</v>
      </c>
      <c r="D58" s="60" t="s">
        <v>84</v>
      </c>
      <c r="E58" s="30">
        <v>42535.433483796296</v>
      </c>
      <c r="F58" s="30">
        <v>42535.43478009259</v>
      </c>
      <c r="G58" s="38">
        <v>1</v>
      </c>
      <c r="H58" s="30" t="s">
        <v>123</v>
      </c>
      <c r="I58" s="30">
        <v>42535.462152777778</v>
      </c>
      <c r="J58" s="60">
        <v>0</v>
      </c>
      <c r="K58" s="60" t="str">
        <f t="shared" si="10"/>
        <v>4023/4024</v>
      </c>
      <c r="L58" s="60" t="str">
        <f>VLOOKUP(A58,'Trips&amp;Operators'!$C$1:$E$9999,3,FALSE)</f>
        <v>BRANNON</v>
      </c>
      <c r="M58" s="12">
        <f t="shared" si="11"/>
        <v>2.7372685188311152E-2</v>
      </c>
      <c r="N58" s="13">
        <f t="shared" si="14"/>
        <v>39.416666671168059</v>
      </c>
      <c r="O58" s="13"/>
      <c r="P58" s="13"/>
      <c r="Q58" s="61"/>
      <c r="R58" s="61"/>
      <c r="S58" s="108">
        <f t="shared" si="7"/>
        <v>1</v>
      </c>
      <c r="T58" s="86" t="str">
        <f t="shared" si="8"/>
        <v>NorthBound</v>
      </c>
      <c r="U58" s="109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https://search-rtdc-monitor-bjffxe2xuh6vdkpspy63sjmuny.us-east-1.es.amazonaws.com/_plugin/kibana/#/discover/Steve-Slow-Train-Analysis-(2080s-and-2083s)?_g=(refreshInterval:(display:Off,section:0,value:0),time:(from:'2016-06-14 10:23:13-0600',mode:absolute,to:'2016-06-14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8" s="73" t="str">
        <f t="shared" si="12"/>
        <v>N</v>
      </c>
      <c r="X58" s="73">
        <f>VALUE(LEFT(A58,3))-VALUE(LEFT(A57,3))</f>
        <v>1</v>
      </c>
      <c r="Y58" s="73">
        <f>RIGHT(D58,LEN(D58)-4)/10000</f>
        <v>4.6199999999999998E-2</v>
      </c>
      <c r="Z58" s="73">
        <f>RIGHT(H58,LEN(H58)-4)/10000</f>
        <v>23.331499999999998</v>
      </c>
      <c r="AA58" s="73">
        <f t="shared" si="13"/>
        <v>23.285299999999999</v>
      </c>
      <c r="AB58" s="74" t="e">
        <f>VLOOKUP(A58,Enforcements!$C$20:$J$60,8,0)</f>
        <v>#N/A</v>
      </c>
      <c r="AC58" s="74" t="e">
        <f>VLOOKUP(A58,Enforcements!$C$20:$J$60,3,0)</f>
        <v>#N/A</v>
      </c>
    </row>
    <row r="59" spans="1:29" s="2" customFormat="1" x14ac:dyDescent="0.25">
      <c r="A59" s="60" t="s">
        <v>445</v>
      </c>
      <c r="B59" s="60">
        <v>4023</v>
      </c>
      <c r="C59" s="60" t="s">
        <v>62</v>
      </c>
      <c r="D59" s="60" t="s">
        <v>317</v>
      </c>
      <c r="E59" s="30">
        <v>42535.47179398148</v>
      </c>
      <c r="F59" s="30">
        <v>42535.473252314812</v>
      </c>
      <c r="G59" s="38">
        <v>2</v>
      </c>
      <c r="H59" s="30" t="s">
        <v>494</v>
      </c>
      <c r="I59" s="30">
        <v>42535.477407407408</v>
      </c>
      <c r="J59" s="60">
        <v>0</v>
      </c>
      <c r="K59" s="60" t="str">
        <f t="shared" si="10"/>
        <v>4023/4024</v>
      </c>
      <c r="L59" s="60" t="str">
        <f>VLOOKUP(A59,'Trips&amp;Operators'!$C$1:$E$9999,3,FALSE)</f>
        <v>BRANNON</v>
      </c>
      <c r="M59" s="12">
        <f t="shared" si="11"/>
        <v>4.1550925961928442E-3</v>
      </c>
      <c r="N59" s="13"/>
      <c r="O59" s="13"/>
      <c r="P59" s="13">
        <f>24*60*SUM($M59:$M59)</f>
        <v>5.9833333385176957</v>
      </c>
      <c r="Q59" s="61"/>
      <c r="R59" s="61" t="s">
        <v>554</v>
      </c>
      <c r="S59" s="108">
        <f t="shared" si="7"/>
        <v>0</v>
      </c>
      <c r="T59" s="86" t="str">
        <f t="shared" si="8"/>
        <v>Southbound</v>
      </c>
      <c r="U59" s="109">
        <f>COUNTIFS([1]Variables!$M$2:$M$19,IF(T59="NorthBound","&gt;=","&lt;=")&amp;Y59,[1]Variables!$M$2:$M$19,IF(T59="NorthBound","&lt;=","&gt;=")&amp;Z59)</f>
        <v>0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https://search-rtdc-monitor-bjffxe2xuh6vdkpspy63sjmuny.us-east-1.es.amazonaws.com/_plugin/kibana/#/discover/Steve-Slow-Train-Analysis-(2080s-and-2083s)?_g=(refreshInterval:(display:Off,section:0,value:0),time:(from:'2016-06-14 11:18:23-0600',mode:absolute,to:'2016-06-14 11:28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9" s="73" t="str">
        <f t="shared" si="12"/>
        <v>Y</v>
      </c>
      <c r="X59" s="73">
        <f>VALUE(LEFT(A59,3))-VALUE(LEFT(A58,3))</f>
        <v>1</v>
      </c>
      <c r="Y59" s="73">
        <f>RIGHT(D59,LEN(D59)-4)/10000</f>
        <v>23.3002</v>
      </c>
      <c r="Z59" s="73">
        <f>RIGHT(H59,LEN(H59)-4)/10000</f>
        <v>22.831199999999999</v>
      </c>
      <c r="AA59" s="73">
        <f t="shared" si="13"/>
        <v>0.46900000000000119</v>
      </c>
      <c r="AB59" s="74" t="e">
        <f>VLOOKUP(A59,Enforcements!$C$20:$J$60,8,0)</f>
        <v>#N/A</v>
      </c>
      <c r="AC59" s="74" t="e">
        <f>VLOOKUP(A59,Enforcements!$C$20:$J$60,3,0)</f>
        <v>#N/A</v>
      </c>
    </row>
    <row r="60" spans="1:29" s="2" customFormat="1" x14ac:dyDescent="0.25">
      <c r="A60" s="60" t="s">
        <v>368</v>
      </c>
      <c r="B60" s="60">
        <v>4044</v>
      </c>
      <c r="C60" s="60" t="s">
        <v>62</v>
      </c>
      <c r="D60" s="60" t="s">
        <v>125</v>
      </c>
      <c r="E60" s="30">
        <v>42535.443333333336</v>
      </c>
      <c r="F60" s="30">
        <v>42535.444537037038</v>
      </c>
      <c r="G60" s="38">
        <v>1</v>
      </c>
      <c r="H60" s="30" t="s">
        <v>496</v>
      </c>
      <c r="I60" s="30">
        <v>42535.473668981482</v>
      </c>
      <c r="J60" s="60">
        <v>0</v>
      </c>
      <c r="K60" s="60" t="str">
        <f t="shared" si="10"/>
        <v>4043/4044</v>
      </c>
      <c r="L60" s="60" t="str">
        <f>VLOOKUP(A60,'Trips&amp;Operators'!$C$1:$E$9999,3,FALSE)</f>
        <v>COCA</v>
      </c>
      <c r="M60" s="12">
        <f t="shared" si="11"/>
        <v>2.9131944444088731E-2</v>
      </c>
      <c r="N60" s="13">
        <f t="shared" ref="N60:N71" si="15">24*60*SUM($M60:$M60)</f>
        <v>41.949999999487773</v>
      </c>
      <c r="O60" s="13"/>
      <c r="P60" s="13"/>
      <c r="Q60" s="61"/>
      <c r="R60" s="61"/>
      <c r="S60" s="108">
        <f t="shared" si="7"/>
        <v>1</v>
      </c>
      <c r="T60" s="86" t="str">
        <f t="shared" si="8"/>
        <v>NorthBound</v>
      </c>
      <c r="U60" s="10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https://search-rtdc-monitor-bjffxe2xuh6vdkpspy63sjmuny.us-east-1.es.amazonaws.com/_plugin/kibana/#/discover/Steve-Slow-Train-Analysis-(2080s-and-2083s)?_g=(refreshInterval:(display:Off,section:0,value:0),time:(from:'2016-06-14 10:37:24-0600',mode:absolute,to:'2016-06-14 11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0" s="73" t="str">
        <f t="shared" si="12"/>
        <v>N</v>
      </c>
      <c r="X60" s="73">
        <f>VALUE(LEFT(A60,3))-VALUE(LEFT(A59,3))</f>
        <v>1</v>
      </c>
      <c r="Y60" s="73">
        <f>RIGHT(D60,LEN(D60)-4)/10000</f>
        <v>4.6399999999999997E-2</v>
      </c>
      <c r="Z60" s="73">
        <f>RIGHT(H60,LEN(H60)-4)/10000</f>
        <v>23.3309</v>
      </c>
      <c r="AA60" s="73">
        <f t="shared" si="13"/>
        <v>23.284500000000001</v>
      </c>
      <c r="AB60" s="74" t="e">
        <f>VLOOKUP(A60,Enforcements!$C$20:$J$60,8,0)</f>
        <v>#N/A</v>
      </c>
      <c r="AC60" s="74" t="e">
        <f>VLOOKUP(A60,Enforcements!$C$20:$J$60,3,0)</f>
        <v>#N/A</v>
      </c>
    </row>
    <row r="61" spans="1:29" s="2" customFormat="1" x14ac:dyDescent="0.25">
      <c r="A61" s="60" t="s">
        <v>338</v>
      </c>
      <c r="B61" s="60">
        <v>4043</v>
      </c>
      <c r="C61" s="60" t="s">
        <v>62</v>
      </c>
      <c r="D61" s="60" t="s">
        <v>120</v>
      </c>
      <c r="E61" s="30">
        <v>42535.481550925928</v>
      </c>
      <c r="F61" s="30">
        <v>42535.482430555552</v>
      </c>
      <c r="G61" s="38">
        <v>1</v>
      </c>
      <c r="H61" s="30" t="s">
        <v>63</v>
      </c>
      <c r="I61" s="30">
        <v>42535.515775462962</v>
      </c>
      <c r="J61" s="60">
        <v>1</v>
      </c>
      <c r="K61" s="60" t="str">
        <f t="shared" si="10"/>
        <v>4043/4044</v>
      </c>
      <c r="L61" s="60" t="str">
        <f>VLOOKUP(A61,'Trips&amp;Operators'!$C$1:$E$9999,3,FALSE)</f>
        <v>COCA</v>
      </c>
      <c r="M61" s="12">
        <f t="shared" si="11"/>
        <v>3.3344907409627922E-2</v>
      </c>
      <c r="N61" s="13">
        <f t="shared" si="15"/>
        <v>48.016666669864208</v>
      </c>
      <c r="O61" s="13"/>
      <c r="P61" s="13"/>
      <c r="Q61" s="61"/>
      <c r="R61" s="61"/>
      <c r="S61" s="108">
        <f t="shared" si="7"/>
        <v>1</v>
      </c>
      <c r="T61" s="86" t="str">
        <f t="shared" si="8"/>
        <v>Southbound</v>
      </c>
      <c r="U61" s="10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https://search-rtdc-monitor-bjffxe2xuh6vdkpspy63sjmuny.us-east-1.es.amazonaws.com/_plugin/kibana/#/discover/Steve-Slow-Train-Analysis-(2080s-and-2083s)?_g=(refreshInterval:(display:Off,section:0,value:0),time:(from:'2016-06-14 11:32:26-0600',mode:absolute,to:'2016-06-14 12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1" s="73" t="str">
        <f t="shared" si="12"/>
        <v>N</v>
      </c>
      <c r="X61" s="73">
        <f>VALUE(LEFT(A61,3))-VALUE(LEFT(A60,3))</f>
        <v>1</v>
      </c>
      <c r="Y61" s="73">
        <f>RIGHT(D61,LEN(D61)-4)/10000</f>
        <v>23.298200000000001</v>
      </c>
      <c r="Z61" s="73">
        <f>RIGHT(H61,LEN(H61)-4)/10000</f>
        <v>1.4500000000000001E-2</v>
      </c>
      <c r="AA61" s="73">
        <f t="shared" si="13"/>
        <v>23.2837</v>
      </c>
      <c r="AB61" s="74" t="e">
        <f>VLOOKUP(A61,Enforcements!$C$20:$J$60,8,0)</f>
        <v>#N/A</v>
      </c>
      <c r="AC61" s="74" t="e">
        <f>VLOOKUP(A61,Enforcements!$C$20:$J$60,3,0)</f>
        <v>#N/A</v>
      </c>
    </row>
    <row r="62" spans="1:29" s="2" customFormat="1" x14ac:dyDescent="0.25">
      <c r="A62" s="60" t="s">
        <v>337</v>
      </c>
      <c r="B62" s="60">
        <v>4025</v>
      </c>
      <c r="C62" s="60" t="s">
        <v>62</v>
      </c>
      <c r="D62" s="60" t="s">
        <v>495</v>
      </c>
      <c r="E62" s="30">
        <v>42535.456307870372</v>
      </c>
      <c r="F62" s="30">
        <v>42535.457488425927</v>
      </c>
      <c r="G62" s="38">
        <v>1</v>
      </c>
      <c r="H62" s="30" t="s">
        <v>80</v>
      </c>
      <c r="I62" s="30">
        <v>42535.484710648147</v>
      </c>
      <c r="J62" s="60">
        <v>1</v>
      </c>
      <c r="K62" s="60" t="str">
        <f t="shared" si="10"/>
        <v>4025/4026</v>
      </c>
      <c r="L62" s="60" t="str">
        <f>VLOOKUP(A62,'Trips&amp;Operators'!$C$1:$E$9999,3,FALSE)</f>
        <v>SPECTOR</v>
      </c>
      <c r="M62" s="12">
        <f t="shared" si="11"/>
        <v>2.7222222219279502E-2</v>
      </c>
      <c r="N62" s="13">
        <f t="shared" si="15"/>
        <v>39.199999995762482</v>
      </c>
      <c r="O62" s="13"/>
      <c r="P62" s="13"/>
      <c r="Q62" s="61"/>
      <c r="R62" s="61"/>
      <c r="S62" s="108">
        <f t="shared" si="7"/>
        <v>1</v>
      </c>
      <c r="T62" s="86" t="str">
        <f t="shared" si="8"/>
        <v>NorthBound</v>
      </c>
      <c r="U62" s="109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https://search-rtdc-monitor-bjffxe2xuh6vdkpspy63sjmuny.us-east-1.es.amazonaws.com/_plugin/kibana/#/discover/Steve-Slow-Train-Analysis-(2080s-and-2083s)?_g=(refreshInterval:(display:Off,section:0,value:0),time:(from:'2016-06-14 10:56:05-0600',mode:absolute,to:'2016-06-14 11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2" s="73" t="str">
        <f t="shared" si="12"/>
        <v>N</v>
      </c>
      <c r="X62" s="73">
        <f>VALUE(LEFT(A62,3))-VALUE(LEFT(A61,3))</f>
        <v>1</v>
      </c>
      <c r="Y62" s="73">
        <f>RIGHT(D62,LEN(D62)-4)/10000</f>
        <v>4.2599999999999999E-2</v>
      </c>
      <c r="Z62" s="73">
        <f>RIGHT(H62,LEN(H62)-4)/10000</f>
        <v>23.331399999999999</v>
      </c>
      <c r="AA62" s="73">
        <f t="shared" si="13"/>
        <v>23.288799999999998</v>
      </c>
      <c r="AB62" s="74" t="e">
        <f>VLOOKUP(A62,Enforcements!$C$20:$J$60,8,0)</f>
        <v>#N/A</v>
      </c>
      <c r="AC62" s="74" t="e">
        <f>VLOOKUP(A62,Enforcements!$C$20:$J$60,3,0)</f>
        <v>#N/A</v>
      </c>
    </row>
    <row r="63" spans="1:29" s="2" customFormat="1" x14ac:dyDescent="0.25">
      <c r="A63" s="60" t="s">
        <v>340</v>
      </c>
      <c r="B63" s="60">
        <v>4026</v>
      </c>
      <c r="C63" s="60" t="s">
        <v>62</v>
      </c>
      <c r="D63" s="60" t="s">
        <v>283</v>
      </c>
      <c r="E63" s="30">
        <v>42535.490856481483</v>
      </c>
      <c r="F63" s="30">
        <v>42535.492002314815</v>
      </c>
      <c r="G63" s="38">
        <v>1</v>
      </c>
      <c r="H63" s="30" t="s">
        <v>83</v>
      </c>
      <c r="I63" s="30">
        <v>42535.524108796293</v>
      </c>
      <c r="J63" s="60">
        <v>1</v>
      </c>
      <c r="K63" s="60" t="str">
        <f t="shared" si="10"/>
        <v>4025/4026</v>
      </c>
      <c r="L63" s="60" t="str">
        <f>VLOOKUP(A63,'Trips&amp;Operators'!$C$1:$E$9999,3,FALSE)</f>
        <v>SPECTOR</v>
      </c>
      <c r="M63" s="12">
        <f t="shared" si="11"/>
        <v>3.2106481477967463E-2</v>
      </c>
      <c r="N63" s="13">
        <f t="shared" si="15"/>
        <v>46.233333328273147</v>
      </c>
      <c r="O63" s="13"/>
      <c r="P63" s="13"/>
      <c r="Q63" s="61"/>
      <c r="R63" s="61"/>
      <c r="S63" s="108">
        <f t="shared" si="7"/>
        <v>1</v>
      </c>
      <c r="T63" s="86" t="str">
        <f t="shared" si="8"/>
        <v>Southbound</v>
      </c>
      <c r="U63" s="109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https://search-rtdc-monitor-bjffxe2xuh6vdkpspy63sjmuny.us-east-1.es.amazonaws.com/_plugin/kibana/#/discover/Steve-Slow-Train-Analysis-(2080s-and-2083s)?_g=(refreshInterval:(display:Off,section:0,value:0),time:(from:'2016-06-14 11:45:50-0600',mode:absolute,to:'2016-06-14 12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3" s="73" t="str">
        <f t="shared" si="12"/>
        <v>N</v>
      </c>
      <c r="X63" s="73">
        <f>VALUE(LEFT(A63,3))-VALUE(LEFT(A62,3))</f>
        <v>1</v>
      </c>
      <c r="Y63" s="73">
        <f>RIGHT(D63,LEN(D63)-4)/10000</f>
        <v>23.3</v>
      </c>
      <c r="Z63" s="73">
        <f>RIGHT(H63,LEN(H63)-4)/10000</f>
        <v>1.43E-2</v>
      </c>
      <c r="AA63" s="73">
        <f t="shared" si="13"/>
        <v>23.285700000000002</v>
      </c>
      <c r="AB63" s="74">
        <f>VLOOKUP(A63,Enforcements!$C$20:$J$60,8,0)</f>
        <v>1</v>
      </c>
      <c r="AC63" s="74" t="str">
        <f>VLOOKUP(A63,Enforcements!$C$20:$J$60,3,0)</f>
        <v>TRACK WARRANT AUTHORITY</v>
      </c>
    </row>
    <row r="64" spans="1:29" s="2" customFormat="1" x14ac:dyDescent="0.25">
      <c r="A64" s="60" t="s">
        <v>450</v>
      </c>
      <c r="B64" s="60">
        <v>4016</v>
      </c>
      <c r="C64" s="60" t="s">
        <v>62</v>
      </c>
      <c r="D64" s="60" t="s">
        <v>259</v>
      </c>
      <c r="E64" s="30">
        <v>42535.465590277781</v>
      </c>
      <c r="F64" s="30">
        <v>42535.46733796296</v>
      </c>
      <c r="G64" s="38">
        <v>2</v>
      </c>
      <c r="H64" s="30" t="s">
        <v>309</v>
      </c>
      <c r="I64" s="30">
        <v>42535.494791666664</v>
      </c>
      <c r="J64" s="60">
        <v>0</v>
      </c>
      <c r="K64" s="60" t="str">
        <f t="shared" si="10"/>
        <v>4015/4016</v>
      </c>
      <c r="L64" s="60" t="str">
        <f>VLOOKUP(A64,'Trips&amp;Operators'!$C$1:$E$9999,3,FALSE)</f>
        <v>LOZA</v>
      </c>
      <c r="M64" s="12">
        <f t="shared" si="11"/>
        <v>2.7453703703940846E-2</v>
      </c>
      <c r="N64" s="13">
        <f t="shared" si="15"/>
        <v>39.533333333674818</v>
      </c>
      <c r="O64" s="13"/>
      <c r="P64" s="13"/>
      <c r="Q64" s="61"/>
      <c r="R64" s="61"/>
      <c r="S64" s="108">
        <f t="shared" si="7"/>
        <v>1</v>
      </c>
      <c r="T64" s="86" t="str">
        <f t="shared" si="8"/>
        <v>NorthBound</v>
      </c>
      <c r="U64" s="10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https://search-rtdc-monitor-bjffxe2xuh6vdkpspy63sjmuny.us-east-1.es.amazonaws.com/_plugin/kibana/#/discover/Steve-Slow-Train-Analysis-(2080s-and-2083s)?_g=(refreshInterval:(display:Off,section:0,value:0),time:(from:'2016-06-14 11:09:27-0600',mode:absolute,to:'2016-06-14 11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4" s="73" t="str">
        <f t="shared" si="12"/>
        <v>N</v>
      </c>
      <c r="X64" s="73">
        <f>VALUE(LEFT(A64,3))-VALUE(LEFT(A63,3))</f>
        <v>1</v>
      </c>
      <c r="Y64" s="73">
        <f>RIGHT(D64,LEN(D64)-4)/10000</f>
        <v>4.6699999999999998E-2</v>
      </c>
      <c r="Z64" s="73">
        <f>RIGHT(H64,LEN(H64)-4)/10000</f>
        <v>23.3307</v>
      </c>
      <c r="AA64" s="73">
        <f t="shared" si="13"/>
        <v>23.283999999999999</v>
      </c>
      <c r="AB64" s="74" t="e">
        <f>VLOOKUP(A64,Enforcements!$C$20:$J$60,8,0)</f>
        <v>#N/A</v>
      </c>
      <c r="AC64" s="74" t="e">
        <f>VLOOKUP(A64,Enforcements!$C$20:$J$60,3,0)</f>
        <v>#N/A</v>
      </c>
    </row>
    <row r="65" spans="1:29" s="2" customFormat="1" x14ac:dyDescent="0.25">
      <c r="A65" s="60" t="s">
        <v>423</v>
      </c>
      <c r="B65" s="60">
        <v>4015</v>
      </c>
      <c r="C65" s="60" t="s">
        <v>62</v>
      </c>
      <c r="D65" s="60" t="s">
        <v>480</v>
      </c>
      <c r="E65" s="30">
        <v>42535.504884259259</v>
      </c>
      <c r="F65" s="30">
        <v>42535.507025462961</v>
      </c>
      <c r="G65" s="38">
        <v>3</v>
      </c>
      <c r="H65" s="30" t="s">
        <v>76</v>
      </c>
      <c r="I65" s="30">
        <v>42535.535509259258</v>
      </c>
      <c r="J65" s="60">
        <v>0</v>
      </c>
      <c r="K65" s="60" t="str">
        <f t="shared" si="10"/>
        <v>4015/4016</v>
      </c>
      <c r="L65" s="60" t="str">
        <f>VLOOKUP(A65,'Trips&amp;Operators'!$C$1:$E$9999,3,FALSE)</f>
        <v>LOZA</v>
      </c>
      <c r="M65" s="12">
        <f t="shared" si="11"/>
        <v>2.8483796297223307E-2</v>
      </c>
      <c r="N65" s="13">
        <f t="shared" si="15"/>
        <v>41.016666668001562</v>
      </c>
      <c r="O65" s="13"/>
      <c r="P65" s="13"/>
      <c r="Q65" s="61"/>
      <c r="R65" s="61"/>
      <c r="S65" s="108">
        <f t="shared" si="7"/>
        <v>1</v>
      </c>
      <c r="T65" s="86" t="str">
        <f t="shared" si="8"/>
        <v>Southbound</v>
      </c>
      <c r="U65" s="10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https://search-rtdc-monitor-bjffxe2xuh6vdkpspy63sjmuny.us-east-1.es.amazonaws.com/_plugin/kibana/#/discover/Steve-Slow-Train-Analysis-(2080s-and-2083s)?_g=(refreshInterval:(display:Off,section:0,value:0),time:(from:'2016-06-14 12:06:02-0600',mode:absolute,to:'2016-06-14 12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5" s="73" t="str">
        <f t="shared" si="12"/>
        <v>N</v>
      </c>
      <c r="X65" s="73">
        <f>VALUE(LEFT(A65,3))-VALUE(LEFT(A64,3))</f>
        <v>1</v>
      </c>
      <c r="Y65" s="73">
        <f>RIGHT(D65,LEN(D65)-4)/10000</f>
        <v>23.3001</v>
      </c>
      <c r="Z65" s="73">
        <f>RIGHT(H65,LEN(H65)-4)/10000</f>
        <v>1.6E-2</v>
      </c>
      <c r="AA65" s="73">
        <f t="shared" si="13"/>
        <v>23.284100000000002</v>
      </c>
      <c r="AB65" s="74" t="e">
        <f>VLOOKUP(A65,Enforcements!$C$20:$J$60,8,0)</f>
        <v>#N/A</v>
      </c>
      <c r="AC65" s="74" t="e">
        <f>VLOOKUP(A65,Enforcements!$C$20:$J$60,3,0)</f>
        <v>#N/A</v>
      </c>
    </row>
    <row r="66" spans="1:29" s="2" customFormat="1" x14ac:dyDescent="0.25">
      <c r="A66" s="60" t="s">
        <v>404</v>
      </c>
      <c r="B66" s="60">
        <v>4009</v>
      </c>
      <c r="C66" s="60" t="s">
        <v>62</v>
      </c>
      <c r="D66" s="60" t="s">
        <v>94</v>
      </c>
      <c r="E66" s="30">
        <v>42535.47314814815</v>
      </c>
      <c r="F66" s="30">
        <v>42535.474803240744</v>
      </c>
      <c r="G66" s="38">
        <v>2</v>
      </c>
      <c r="H66" s="30" t="s">
        <v>285</v>
      </c>
      <c r="I66" s="30">
        <v>42535.504513888889</v>
      </c>
      <c r="J66" s="60">
        <v>0</v>
      </c>
      <c r="K66" s="60" t="str">
        <f t="shared" si="10"/>
        <v>4009/4010</v>
      </c>
      <c r="L66" s="60" t="str">
        <f>VLOOKUP(A66,'Trips&amp;Operators'!$C$1:$E$9999,3,FALSE)</f>
        <v>REBOLETTI</v>
      </c>
      <c r="M66" s="12">
        <f t="shared" si="11"/>
        <v>2.9710648144828156E-2</v>
      </c>
      <c r="N66" s="13">
        <f t="shared" si="15"/>
        <v>42.783333328552544</v>
      </c>
      <c r="O66" s="13"/>
      <c r="P66" s="13"/>
      <c r="Q66" s="61"/>
      <c r="R66" s="61"/>
      <c r="S66" s="108">
        <f t="shared" si="7"/>
        <v>1</v>
      </c>
      <c r="T66" s="86" t="str">
        <f t="shared" si="8"/>
        <v>NorthBound</v>
      </c>
      <c r="U66" s="10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https://search-rtdc-monitor-bjffxe2xuh6vdkpspy63sjmuny.us-east-1.es.amazonaws.com/_plugin/kibana/#/discover/Steve-Slow-Train-Analysis-(2080s-and-2083s)?_g=(refreshInterval:(display:Off,section:0,value:0),time:(from:'2016-06-14 11:20:20-0600',mode:absolute,to:'2016-06-14 12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3" t="str">
        <f t="shared" si="12"/>
        <v>N</v>
      </c>
      <c r="X66" s="73">
        <f>VALUE(LEFT(A66,3))-VALUE(LEFT(A65,3))</f>
        <v>1</v>
      </c>
      <c r="Y66" s="73">
        <f>RIGHT(D66,LEN(D66)-4)/10000</f>
        <v>4.53E-2</v>
      </c>
      <c r="Z66" s="73">
        <f>RIGHT(H66,LEN(H66)-4)/10000</f>
        <v>23.331</v>
      </c>
      <c r="AA66" s="73">
        <f t="shared" si="13"/>
        <v>23.285699999999999</v>
      </c>
      <c r="AB66" s="74" t="e">
        <f>VLOOKUP(A66,Enforcements!$C$20:$J$60,8,0)</f>
        <v>#N/A</v>
      </c>
      <c r="AC66" s="74" t="e">
        <f>VLOOKUP(A66,Enforcements!$C$20:$J$60,3,0)</f>
        <v>#N/A</v>
      </c>
    </row>
    <row r="67" spans="1:29" s="2" customFormat="1" x14ac:dyDescent="0.25">
      <c r="A67" s="60" t="s">
        <v>431</v>
      </c>
      <c r="B67" s="60">
        <v>4010</v>
      </c>
      <c r="C67" s="60" t="s">
        <v>62</v>
      </c>
      <c r="D67" s="60" t="s">
        <v>279</v>
      </c>
      <c r="E67" s="30">
        <v>42535.509872685187</v>
      </c>
      <c r="F67" s="30">
        <v>42535.511099537034</v>
      </c>
      <c r="G67" s="38">
        <v>1</v>
      </c>
      <c r="H67" s="30" t="s">
        <v>66</v>
      </c>
      <c r="I67" s="30">
        <v>42535.546215277776</v>
      </c>
      <c r="J67" s="60">
        <v>0</v>
      </c>
      <c r="K67" s="60" t="str">
        <f t="shared" ref="K67:K98" si="16">IF(ISEVEN(B67),(B67-1)&amp;"/"&amp;B67,B67&amp;"/"&amp;(B67+1))</f>
        <v>4009/4010</v>
      </c>
      <c r="L67" s="60" t="str">
        <f>VLOOKUP(A67,'Trips&amp;Operators'!$C$1:$E$9999,3,FALSE)</f>
        <v>REBOLETTI</v>
      </c>
      <c r="M67" s="12">
        <f t="shared" ref="M67:M98" si="17">I67-F67</f>
        <v>3.5115740742185153E-2</v>
      </c>
      <c r="N67" s="13">
        <f t="shared" si="15"/>
        <v>50.56666666874662</v>
      </c>
      <c r="O67" s="13"/>
      <c r="P67" s="13"/>
      <c r="Q67" s="61"/>
      <c r="R67" s="61"/>
      <c r="S67" s="108">
        <f t="shared" si="7"/>
        <v>1</v>
      </c>
      <c r="T67" s="86" t="str">
        <f t="shared" si="8"/>
        <v>Southbound</v>
      </c>
      <c r="U67" s="10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https://search-rtdc-monitor-bjffxe2xuh6vdkpspy63sjmuny.us-east-1.es.amazonaws.com/_plugin/kibana/#/discover/Steve-Slow-Train-Analysis-(2080s-and-2083s)?_g=(refreshInterval:(display:Off,section:0,value:0),time:(from:'2016-06-14 12:13:13-0600',mode:absolute,to:'2016-06-14 13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7" s="73" t="str">
        <f t="shared" ref="W67:W79" si="18">IF(AA67&lt;23,"Y","N")</f>
        <v>N</v>
      </c>
      <c r="X67" s="73">
        <f>VALUE(LEFT(A67,3))-VALUE(LEFT(A66,3))</f>
        <v>1</v>
      </c>
      <c r="Y67" s="73">
        <f>RIGHT(D67,LEN(D67)-4)/10000</f>
        <v>23.2987</v>
      </c>
      <c r="Z67" s="73">
        <f>RIGHT(H67,LEN(H67)-4)/10000</f>
        <v>1.52E-2</v>
      </c>
      <c r="AA67" s="73">
        <f t="shared" ref="AA67:AA79" si="19">ABS(Z67-Y67)</f>
        <v>23.2835</v>
      </c>
      <c r="AB67" s="74" t="e">
        <f>VLOOKUP(A67,Enforcements!$C$20:$J$60,8,0)</f>
        <v>#N/A</v>
      </c>
      <c r="AC67" s="74" t="e">
        <f>VLOOKUP(A67,Enforcements!$C$20:$J$60,3,0)</f>
        <v>#N/A</v>
      </c>
    </row>
    <row r="68" spans="1:29" s="2" customFormat="1" x14ac:dyDescent="0.25">
      <c r="A68" s="60" t="s">
        <v>339</v>
      </c>
      <c r="B68" s="60">
        <v>4007</v>
      </c>
      <c r="C68" s="60" t="s">
        <v>62</v>
      </c>
      <c r="D68" s="60" t="s">
        <v>94</v>
      </c>
      <c r="E68" s="30">
        <v>42535.484479166669</v>
      </c>
      <c r="F68" s="30">
        <v>42535.486967592595</v>
      </c>
      <c r="G68" s="38">
        <v>3</v>
      </c>
      <c r="H68" s="30" t="s">
        <v>493</v>
      </c>
      <c r="I68" s="30">
        <v>42535.515300925923</v>
      </c>
      <c r="J68" s="60">
        <v>1</v>
      </c>
      <c r="K68" s="60" t="str">
        <f t="shared" si="16"/>
        <v>4007/4008</v>
      </c>
      <c r="L68" s="60" t="str">
        <f>VLOOKUP(A68,'Trips&amp;Operators'!$C$1:$E$9999,3,FALSE)</f>
        <v>WEBSTER</v>
      </c>
      <c r="M68" s="12">
        <f t="shared" si="17"/>
        <v>2.8333333328191657E-2</v>
      </c>
      <c r="N68" s="13">
        <f t="shared" si="15"/>
        <v>40.799999992595986</v>
      </c>
      <c r="O68" s="13"/>
      <c r="P68" s="13"/>
      <c r="Q68" s="61"/>
      <c r="R68" s="61"/>
      <c r="S68" s="108">
        <f t="shared" ref="S68:S131" si="20">SUM(U68:U68)/12</f>
        <v>1</v>
      </c>
      <c r="T68" s="86" t="str">
        <f t="shared" ref="T68:T131" si="21">IF(ISEVEN(LEFT(A68,3)),"Southbound","NorthBound")</f>
        <v>NorthBound</v>
      </c>
      <c r="U68" s="10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https://search-rtdc-monitor-bjffxe2xuh6vdkpspy63sjmuny.us-east-1.es.amazonaws.com/_plugin/kibana/#/discover/Steve-Slow-Train-Analysis-(2080s-and-2083s)?_g=(refreshInterval:(display:Off,section:0,value:0),time:(from:'2016-06-14 11:36:39-0600',mode:absolute,to:'2016-06-14 12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8" s="73" t="str">
        <f t="shared" si="18"/>
        <v>N</v>
      </c>
      <c r="X68" s="73">
        <f>VALUE(LEFT(A68,3))-VALUE(LEFT(A67,3))</f>
        <v>1</v>
      </c>
      <c r="Y68" s="73">
        <f>RIGHT(D68,LEN(D68)-4)/10000</f>
        <v>4.53E-2</v>
      </c>
      <c r="Z68" s="73">
        <f>RIGHT(H68,LEN(H68)-4)/10000</f>
        <v>23.328600000000002</v>
      </c>
      <c r="AA68" s="73">
        <f t="shared" si="19"/>
        <v>23.283300000000001</v>
      </c>
      <c r="AB68" s="74">
        <f>VLOOKUP(A68,Enforcements!$C$20:$J$60,8,0)</f>
        <v>233491</v>
      </c>
      <c r="AC68" s="74" t="str">
        <f>VLOOKUP(A68,Enforcements!$C$20:$J$60,3,0)</f>
        <v>TRACK WARRANT AUTHORITY</v>
      </c>
    </row>
    <row r="69" spans="1:29" s="2" customFormat="1" x14ac:dyDescent="0.25">
      <c r="A69" s="60" t="s">
        <v>341</v>
      </c>
      <c r="B69" s="60">
        <v>4008</v>
      </c>
      <c r="C69" s="60" t="s">
        <v>62</v>
      </c>
      <c r="D69" s="60" t="s">
        <v>81</v>
      </c>
      <c r="E69" s="30">
        <v>42535.523622685185</v>
      </c>
      <c r="F69" s="30">
        <v>42535.524780092594</v>
      </c>
      <c r="G69" s="38">
        <v>1</v>
      </c>
      <c r="H69" s="30">
        <v>8.5347222222222232</v>
      </c>
      <c r="I69" s="30">
        <v>42535.559016203704</v>
      </c>
      <c r="J69" s="60">
        <v>1</v>
      </c>
      <c r="K69" s="60" t="str">
        <f t="shared" si="16"/>
        <v>4007/4008</v>
      </c>
      <c r="L69" s="60" t="str">
        <f>VLOOKUP(A69,'Trips&amp;Operators'!$C$1:$E$9999,3,FALSE)</f>
        <v>WEBSTER</v>
      </c>
      <c r="M69" s="12">
        <f t="shared" si="17"/>
        <v>3.4236111110658385E-2</v>
      </c>
      <c r="N69" s="13">
        <f t="shared" si="15"/>
        <v>49.299999999348074</v>
      </c>
      <c r="O69" s="13"/>
      <c r="P69" s="13"/>
      <c r="Q69" s="61"/>
      <c r="R69" s="61"/>
      <c r="S69" s="108">
        <f t="shared" si="20"/>
        <v>0</v>
      </c>
      <c r="T69" s="86" t="str">
        <f t="shared" si="21"/>
        <v>Southbound</v>
      </c>
      <c r="U69" s="109">
        <f>COUNTIFS([1]Variables!$M$2:$M$19,IF(T69="NorthBound","&gt;=","&lt;=")&amp;Y69,[1]Variables!$M$2:$M$19,IF(T69="NorthBound","&lt;=","&gt;=")&amp;Z69)</f>
        <v>0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https://search-rtdc-monitor-bjffxe2xuh6vdkpspy63sjmuny.us-east-1.es.amazonaws.com/_plugin/kibana/#/discover/Steve-Slow-Train-Analysis-(2080s-and-2083s)?_g=(refreshInterval:(display:Off,section:0,value:0),time:(from:'2016-06-14 12:33:01-0600',mode:absolute,to:'2016-06-14 13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9" s="73" t="str">
        <f t="shared" si="18"/>
        <v>N</v>
      </c>
      <c r="X69" s="73">
        <f>VALUE(LEFT(A69,3))-VALUE(LEFT(A68,3))</f>
        <v>1</v>
      </c>
      <c r="Y69" s="73">
        <f>RIGHT(D69,LEN(D69)-4)/10000</f>
        <v>23.297699999999999</v>
      </c>
      <c r="Z69" s="73">
        <f>RIGHT(H69,LEN(H69)-4)/10000</f>
        <v>47222222.222199999</v>
      </c>
      <c r="AA69" s="73">
        <f t="shared" si="19"/>
        <v>47222198.924499996</v>
      </c>
      <c r="AB69" s="74">
        <f>VLOOKUP(A69,Enforcements!$C$20:$J$60,8,0)</f>
        <v>182920</v>
      </c>
      <c r="AC69" s="74" t="str">
        <f>VLOOKUP(A69,Enforcements!$C$20:$J$60,3,0)</f>
        <v>SIGNAL</v>
      </c>
    </row>
    <row r="70" spans="1:29" s="2" customFormat="1" x14ac:dyDescent="0.25">
      <c r="A70" s="60" t="s">
        <v>385</v>
      </c>
      <c r="B70" s="60">
        <v>4020</v>
      </c>
      <c r="C70" s="60" t="s">
        <v>62</v>
      </c>
      <c r="D70" s="60" t="s">
        <v>77</v>
      </c>
      <c r="E70" s="30">
        <v>42535.496689814812</v>
      </c>
      <c r="F70" s="30">
        <v>42535.49726851852</v>
      </c>
      <c r="G70" s="38">
        <v>0</v>
      </c>
      <c r="H70" s="30" t="s">
        <v>469</v>
      </c>
      <c r="I70" s="30">
        <v>42535.524965277778</v>
      </c>
      <c r="J70" s="60">
        <v>0</v>
      </c>
      <c r="K70" s="60" t="str">
        <f t="shared" si="16"/>
        <v>4019/4020</v>
      </c>
      <c r="L70" s="60" t="str">
        <f>VLOOKUP(A70,'Trips&amp;Operators'!$C$1:$E$9999,3,FALSE)</f>
        <v>BEAM</v>
      </c>
      <c r="M70" s="12">
        <f t="shared" si="17"/>
        <v>2.7696759258105885E-2</v>
      </c>
      <c r="N70" s="13">
        <f t="shared" si="15"/>
        <v>39.883333331672475</v>
      </c>
      <c r="O70" s="13"/>
      <c r="P70" s="13"/>
      <c r="Q70" s="61"/>
      <c r="R70" s="61"/>
      <c r="S70" s="108">
        <f t="shared" si="20"/>
        <v>1</v>
      </c>
      <c r="T70" s="86" t="str">
        <f t="shared" si="21"/>
        <v>NorthBound</v>
      </c>
      <c r="U70" s="109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https://search-rtdc-monitor-bjffxe2xuh6vdkpspy63sjmuny.us-east-1.es.amazonaws.com/_plugin/kibana/#/discover/Steve-Slow-Train-Analysis-(2080s-and-2083s)?_g=(refreshInterval:(display:Off,section:0,value:0),time:(from:'2016-06-14 11:54:14-0600',mode:absolute,to:'2016-06-14 12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0" s="73" t="str">
        <f t="shared" si="18"/>
        <v>N</v>
      </c>
      <c r="X70" s="73">
        <f>VALUE(LEFT(A70,3))-VALUE(LEFT(A69,3))</f>
        <v>1</v>
      </c>
      <c r="Y70" s="73">
        <f>RIGHT(D70,LEN(D70)-4)/10000</f>
        <v>4.5999999999999999E-2</v>
      </c>
      <c r="Z70" s="73">
        <f>RIGHT(H70,LEN(H70)-4)/10000</f>
        <v>23.331199999999999</v>
      </c>
      <c r="AA70" s="73">
        <f t="shared" si="19"/>
        <v>23.2852</v>
      </c>
      <c r="AB70" s="74" t="e">
        <f>VLOOKUP(A70,Enforcements!$C$20:$J$60,8,0)</f>
        <v>#N/A</v>
      </c>
      <c r="AC70" s="74" t="e">
        <f>VLOOKUP(A70,Enforcements!$C$20:$J$60,3,0)</f>
        <v>#N/A</v>
      </c>
    </row>
    <row r="71" spans="1:29" s="2" customFormat="1" x14ac:dyDescent="0.25">
      <c r="A71" s="60" t="s">
        <v>342</v>
      </c>
      <c r="B71" s="60">
        <v>4019</v>
      </c>
      <c r="C71" s="60" t="s">
        <v>62</v>
      </c>
      <c r="D71" s="60" t="s">
        <v>283</v>
      </c>
      <c r="E71" s="30">
        <v>42535.534039351849</v>
      </c>
      <c r="F71" s="30">
        <v>42535.534803240742</v>
      </c>
      <c r="G71" s="38">
        <v>1</v>
      </c>
      <c r="H71" s="30" t="s">
        <v>464</v>
      </c>
      <c r="I71" s="30">
        <v>42535.565659722219</v>
      </c>
      <c r="J71" s="60">
        <v>2</v>
      </c>
      <c r="K71" s="60" t="str">
        <f t="shared" si="16"/>
        <v>4019/4020</v>
      </c>
      <c r="L71" s="60" t="str">
        <f>VLOOKUP(A71,'Trips&amp;Operators'!$C$1:$E$9999,3,FALSE)</f>
        <v>BEAM</v>
      </c>
      <c r="M71" s="12">
        <f t="shared" si="17"/>
        <v>3.085648147680331E-2</v>
      </c>
      <c r="N71" s="13">
        <f t="shared" si="15"/>
        <v>44.433333326596767</v>
      </c>
      <c r="O71" s="13"/>
      <c r="P71" s="13"/>
      <c r="Q71" s="61"/>
      <c r="R71" s="61"/>
      <c r="S71" s="108">
        <f t="shared" si="20"/>
        <v>1</v>
      </c>
      <c r="T71" s="86" t="str">
        <f t="shared" si="21"/>
        <v>Southbound</v>
      </c>
      <c r="U71" s="109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https://search-rtdc-monitor-bjffxe2xuh6vdkpspy63sjmuny.us-east-1.es.amazonaws.com/_plugin/kibana/#/discover/Steve-Slow-Train-Analysis-(2080s-and-2083s)?_g=(refreshInterval:(display:Off,section:0,value:0),time:(from:'2016-06-14 12:48:01-0600',mode:absolute,to:'2016-06-14 13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1" s="73" t="str">
        <f t="shared" si="18"/>
        <v>N</v>
      </c>
      <c r="X71" s="73">
        <f>VALUE(LEFT(A71,3))-VALUE(LEFT(A70,3))</f>
        <v>1</v>
      </c>
      <c r="Y71" s="73">
        <f>RIGHT(D71,LEN(D71)-4)/10000</f>
        <v>23.3</v>
      </c>
      <c r="Z71" s="73">
        <f>RIGHT(H71,LEN(H71)-4)/10000</f>
        <v>1.38E-2</v>
      </c>
      <c r="AA71" s="73">
        <f t="shared" si="19"/>
        <v>23.286200000000001</v>
      </c>
      <c r="AB71" s="74">
        <f>VLOOKUP(A71,Enforcements!$C$20:$J$60,8,0)</f>
        <v>191723</v>
      </c>
      <c r="AC71" s="74" t="str">
        <f>VLOOKUP(A71,Enforcements!$C$20:$J$60,3,0)</f>
        <v>SIGNAL</v>
      </c>
    </row>
    <row r="72" spans="1:29" s="2" customFormat="1" x14ac:dyDescent="0.25">
      <c r="A72" s="60" t="s">
        <v>387</v>
      </c>
      <c r="B72" s="60">
        <v>4040</v>
      </c>
      <c r="C72" s="60" t="s">
        <v>62</v>
      </c>
      <c r="D72" s="60" t="s">
        <v>551</v>
      </c>
      <c r="E72" s="30">
        <v>42535.502141203702</v>
      </c>
      <c r="F72" s="30">
        <v>42535.503171296295</v>
      </c>
      <c r="G72" s="38">
        <v>1</v>
      </c>
      <c r="H72" s="30" t="s">
        <v>552</v>
      </c>
      <c r="I72" s="30">
        <v>42535.511747685188</v>
      </c>
      <c r="J72" s="60">
        <v>0</v>
      </c>
      <c r="K72" s="60" t="str">
        <f t="shared" si="16"/>
        <v>4039/4040</v>
      </c>
      <c r="L72" s="60" t="str">
        <f>VLOOKUP(A72,'Trips&amp;Operators'!$C$1:$E$9999,3,FALSE)</f>
        <v>YOUNG</v>
      </c>
      <c r="M72" s="12">
        <f t="shared" si="17"/>
        <v>8.5763888928340748E-3</v>
      </c>
      <c r="N72" s="13"/>
      <c r="O72" s="13"/>
      <c r="P72" s="13">
        <f>24*60*SUM($M72:$M73)</f>
        <v>41.916666679317132</v>
      </c>
      <c r="Q72" s="61"/>
      <c r="R72" s="61" t="s">
        <v>556</v>
      </c>
      <c r="S72" s="108">
        <f t="shared" si="20"/>
        <v>0</v>
      </c>
      <c r="T72" s="86" t="str">
        <f t="shared" si="21"/>
        <v>NorthBound</v>
      </c>
      <c r="U72" s="109">
        <f>COUNTIFS([1]Variables!$M$2:$M$19,IF(T72="NorthBound","&gt;=","&lt;=")&amp;Y72,[1]Variables!$M$2:$M$19,IF(T72="NorthBound","&lt;=","&gt;=")&amp;Z72)</f>
        <v>0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https://search-rtdc-monitor-bjffxe2xuh6vdkpspy63sjmuny.us-east-1.es.amazonaws.com/_plugin/kibana/#/discover/Steve-Slow-Train-Analysis-(2080s-and-2083s)?_g=(refreshInterval:(display:Off,section:0,value:0),time:(from:'2016-06-14 12:02:05-0600',mode:absolute,to:'2016-06-14 12:17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2" s="73" t="str">
        <f t="shared" si="18"/>
        <v>Y</v>
      </c>
      <c r="X72" s="73">
        <f>VALUE(LEFT(A72,3))-VALUE(LEFT(A71,3))</f>
        <v>1</v>
      </c>
      <c r="Y72" s="73">
        <f>RIGHT(D72,LEN(D72)-4)/10000</f>
        <v>4.7500000000000001E-2</v>
      </c>
      <c r="Z72" s="73">
        <f>RIGHT(H72,LEN(H72)-4)/10000</f>
        <v>9.8000000000000004E-2</v>
      </c>
      <c r="AA72" s="73">
        <f t="shared" si="19"/>
        <v>5.0500000000000003E-2</v>
      </c>
      <c r="AB72" s="74" t="e">
        <f>VLOOKUP(A72,Enforcements!$C$20:$J$60,8,0)</f>
        <v>#N/A</v>
      </c>
      <c r="AC72" s="74" t="e">
        <f>VLOOKUP(A72,Enforcements!$C$20:$J$60,3,0)</f>
        <v>#N/A</v>
      </c>
    </row>
    <row r="73" spans="1:29" s="2" customFormat="1" x14ac:dyDescent="0.25">
      <c r="A73" s="60" t="s">
        <v>387</v>
      </c>
      <c r="B73" s="60">
        <v>4040</v>
      </c>
      <c r="C73" s="60" t="s">
        <v>62</v>
      </c>
      <c r="D73" s="60" t="s">
        <v>549</v>
      </c>
      <c r="E73" s="30">
        <v>42535.518136574072</v>
      </c>
      <c r="F73" s="30">
        <v>42535.519074074073</v>
      </c>
      <c r="G73" s="38">
        <v>1</v>
      </c>
      <c r="H73" s="30" t="s">
        <v>550</v>
      </c>
      <c r="I73" s="30">
        <v>42535.539606481485</v>
      </c>
      <c r="J73" s="60">
        <v>0</v>
      </c>
      <c r="K73" s="60" t="str">
        <f t="shared" si="16"/>
        <v>4039/4040</v>
      </c>
      <c r="L73" s="60" t="str">
        <f>VLOOKUP(A73,'Trips&amp;Operators'!$C$1:$E$9999,3,FALSE)</f>
        <v>YOUNG</v>
      </c>
      <c r="M73" s="12">
        <f t="shared" si="17"/>
        <v>2.0532407412247267E-2</v>
      </c>
      <c r="N73" s="13"/>
      <c r="O73" s="13"/>
      <c r="P73" s="13"/>
      <c r="Q73" s="61"/>
      <c r="R73" s="61"/>
      <c r="S73" s="108">
        <f t="shared" si="20"/>
        <v>0.75</v>
      </c>
      <c r="T73" s="86" t="str">
        <f t="shared" si="21"/>
        <v>NorthBound</v>
      </c>
      <c r="U73" s="109">
        <f>COUNTIFS([1]Variables!$M$2:$M$19,IF(T73="NorthBound","&gt;=","&lt;=")&amp;Y73,[1]Variables!$M$2:$M$19,IF(T73="NorthBound","&lt;=","&gt;=")&amp;Z73)</f>
        <v>9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https://search-rtdc-monitor-bjffxe2xuh6vdkpspy63sjmuny.us-east-1.es.amazonaws.com/_plugin/kibana/#/discover/Steve-Slow-Train-Analysis-(2080s-and-2083s)?_g=(refreshInterval:(display:Off,section:0,value:0),time:(from:'2016-06-14 12:25:07-0600',mode:absolute,to:'2016-06-14 12:58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3" s="73" t="str">
        <f t="shared" si="18"/>
        <v>Y</v>
      </c>
      <c r="X73" s="73">
        <f>VALUE(LEFT(A73,3))-VALUE(LEFT(A72,3))</f>
        <v>0</v>
      </c>
      <c r="Y73" s="73">
        <f>RIGHT(D73,LEN(D73)-4)/10000</f>
        <v>3.7193000000000001</v>
      </c>
      <c r="Z73" s="73">
        <f>RIGHT(H73,LEN(H73)-4)/10000</f>
        <v>23.332799999999999</v>
      </c>
      <c r="AA73" s="73">
        <f t="shared" si="19"/>
        <v>19.613499999999998</v>
      </c>
      <c r="AB73" s="74" t="e">
        <f>VLOOKUP(A73,Enforcements!$C$20:$J$60,8,0)</f>
        <v>#N/A</v>
      </c>
      <c r="AC73" s="74" t="e">
        <f>VLOOKUP(A73,Enforcements!$C$20:$J$60,3,0)</f>
        <v>#N/A</v>
      </c>
    </row>
    <row r="74" spans="1:29" s="2" customFormat="1" x14ac:dyDescent="0.25">
      <c r="A74" s="60" t="s">
        <v>343</v>
      </c>
      <c r="B74" s="60">
        <v>4039</v>
      </c>
      <c r="C74" s="60" t="s">
        <v>62</v>
      </c>
      <c r="D74" s="60" t="s">
        <v>120</v>
      </c>
      <c r="E74" s="30">
        <v>42535.542592592596</v>
      </c>
      <c r="F74" s="30">
        <v>42535.543599537035</v>
      </c>
      <c r="G74" s="38">
        <v>1</v>
      </c>
      <c r="H74" s="30" t="s">
        <v>72</v>
      </c>
      <c r="I74" s="30">
        <v>42535.580474537041</v>
      </c>
      <c r="J74" s="60">
        <v>2</v>
      </c>
      <c r="K74" s="60" t="str">
        <f t="shared" si="16"/>
        <v>4039/4040</v>
      </c>
      <c r="L74" s="60" t="str">
        <f>VLOOKUP(A74,'Trips&amp;Operators'!$C$1:$E$9999,3,FALSE)</f>
        <v>YOUNG</v>
      </c>
      <c r="M74" s="12">
        <f t="shared" si="17"/>
        <v>3.6875000005238689E-2</v>
      </c>
      <c r="N74" s="13">
        <f t="shared" ref="N74:N81" si="22">24*60*SUM($M74:$M74)</f>
        <v>53.100000007543713</v>
      </c>
      <c r="O74" s="13"/>
      <c r="P74" s="13"/>
      <c r="Q74" s="61"/>
      <c r="R74" s="61"/>
      <c r="S74" s="108">
        <f t="shared" si="20"/>
        <v>1</v>
      </c>
      <c r="T74" s="86" t="str">
        <f t="shared" si="21"/>
        <v>Southbound</v>
      </c>
      <c r="U74" s="10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https://search-rtdc-monitor-bjffxe2xuh6vdkpspy63sjmuny.us-east-1.es.amazonaws.com/_plugin/kibana/#/discover/Steve-Slow-Train-Analysis-(2080s-and-2083s)?_g=(refreshInterval:(display:Off,section:0,value:0),time:(from:'2016-06-14 13:00:20-0600',mode:absolute,to:'2016-06-14 13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4" s="73" t="str">
        <f t="shared" si="18"/>
        <v>N</v>
      </c>
      <c r="X74" s="73">
        <f>VALUE(LEFT(A74,3))-VALUE(LEFT(A73,3))</f>
        <v>1</v>
      </c>
      <c r="Y74" s="73">
        <f>RIGHT(D74,LEN(D74)-4)/10000</f>
        <v>23.298200000000001</v>
      </c>
      <c r="Z74" s="73">
        <f>RIGHT(H74,LEN(H74)-4)/10000</f>
        <v>1.4999999999999999E-2</v>
      </c>
      <c r="AA74" s="73">
        <f t="shared" si="19"/>
        <v>23.283200000000001</v>
      </c>
      <c r="AB74" s="74">
        <f>VLOOKUP(A74,Enforcements!$C$20:$J$60,8,0)</f>
        <v>1</v>
      </c>
      <c r="AC74" s="74" t="str">
        <f>VLOOKUP(A74,Enforcements!$C$20:$J$60,3,0)</f>
        <v>TRACK WARRANT AUTHORITY</v>
      </c>
    </row>
    <row r="75" spans="1:29" s="2" customFormat="1" x14ac:dyDescent="0.25">
      <c r="A75" s="60" t="s">
        <v>430</v>
      </c>
      <c r="B75" s="60">
        <v>4044</v>
      </c>
      <c r="C75" s="60" t="s">
        <v>62</v>
      </c>
      <c r="D75" s="60" t="s">
        <v>64</v>
      </c>
      <c r="E75" s="30">
        <v>42535.518229166664</v>
      </c>
      <c r="F75" s="30">
        <v>42535.519212962965</v>
      </c>
      <c r="G75" s="38">
        <v>1</v>
      </c>
      <c r="H75" s="30" t="s">
        <v>491</v>
      </c>
      <c r="I75" s="30">
        <v>42535.547523148147</v>
      </c>
      <c r="J75" s="60">
        <v>0</v>
      </c>
      <c r="K75" s="60" t="str">
        <f t="shared" si="16"/>
        <v>4043/4044</v>
      </c>
      <c r="L75" s="60" t="str">
        <f>VLOOKUP(A75,'Trips&amp;Operators'!$C$1:$E$9999,3,FALSE)</f>
        <v>COCA</v>
      </c>
      <c r="M75" s="12">
        <f t="shared" si="17"/>
        <v>2.8310185181908309E-2</v>
      </c>
      <c r="N75" s="13">
        <f t="shared" si="22"/>
        <v>40.766666661947966</v>
      </c>
      <c r="O75" s="13"/>
      <c r="P75" s="13"/>
      <c r="Q75" s="61"/>
      <c r="R75" s="61"/>
      <c r="S75" s="108">
        <f t="shared" si="20"/>
        <v>1</v>
      </c>
      <c r="T75" s="86" t="str">
        <f t="shared" si="21"/>
        <v>NorthBound</v>
      </c>
      <c r="U75" s="10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https://search-rtdc-monitor-bjffxe2xuh6vdkpspy63sjmuny.us-east-1.es.amazonaws.com/_plugin/kibana/#/discover/Steve-Slow-Train-Analysis-(2080s-and-2083s)?_g=(refreshInterval:(display:Off,section:0,value:0),time:(from:'2016-06-14 12:25:15-0600',mode:absolute,to:'2016-06-14 13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73" t="str">
        <f t="shared" si="18"/>
        <v>N</v>
      </c>
      <c r="X75" s="73">
        <f>VALUE(LEFT(A75,3))-VALUE(LEFT(A74,3))</f>
        <v>1</v>
      </c>
      <c r="Y75" s="73">
        <f>RIGHT(D75,LEN(D75)-4)/10000</f>
        <v>4.5499999999999999E-2</v>
      </c>
      <c r="Z75" s="73">
        <f>RIGHT(H75,LEN(H75)-4)/10000</f>
        <v>23.3308</v>
      </c>
      <c r="AA75" s="73">
        <f t="shared" si="19"/>
        <v>23.285299999999999</v>
      </c>
      <c r="AB75" s="74" t="e">
        <f>VLOOKUP(A75,Enforcements!$C$20:$J$60,8,0)</f>
        <v>#N/A</v>
      </c>
      <c r="AC75" s="74" t="e">
        <f>VLOOKUP(A75,Enforcements!$C$20:$J$60,3,0)</f>
        <v>#N/A</v>
      </c>
    </row>
    <row r="76" spans="1:29" s="2" customFormat="1" x14ac:dyDescent="0.25">
      <c r="A76" s="60" t="s">
        <v>345</v>
      </c>
      <c r="B76" s="60">
        <v>4043</v>
      </c>
      <c r="C76" s="60" t="s">
        <v>62</v>
      </c>
      <c r="D76" s="60" t="s">
        <v>75</v>
      </c>
      <c r="E76" s="30">
        <v>42535.554247685184</v>
      </c>
      <c r="F76" s="30">
        <v>42535.555150462962</v>
      </c>
      <c r="G76" s="38">
        <v>1</v>
      </c>
      <c r="H76" s="30" t="s">
        <v>90</v>
      </c>
      <c r="I76" s="30">
        <v>42535.587824074071</v>
      </c>
      <c r="J76" s="60">
        <v>1</v>
      </c>
      <c r="K76" s="60" t="str">
        <f t="shared" si="16"/>
        <v>4043/4044</v>
      </c>
      <c r="L76" s="60" t="str">
        <f>VLOOKUP(A76,'Trips&amp;Operators'!$C$1:$E$9999,3,FALSE)</f>
        <v>COCA</v>
      </c>
      <c r="M76" s="12">
        <f t="shared" si="17"/>
        <v>3.2673611109203193E-2</v>
      </c>
      <c r="N76" s="13">
        <f t="shared" si="22"/>
        <v>47.049999997252598</v>
      </c>
      <c r="O76" s="13"/>
      <c r="P76" s="13"/>
      <c r="Q76" s="61"/>
      <c r="R76" s="61"/>
      <c r="S76" s="108">
        <f t="shared" si="20"/>
        <v>1</v>
      </c>
      <c r="T76" s="86" t="str">
        <f t="shared" si="21"/>
        <v>Southbound</v>
      </c>
      <c r="U76" s="10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https://search-rtdc-monitor-bjffxe2xuh6vdkpspy63sjmuny.us-east-1.es.amazonaws.com/_plugin/kibana/#/discover/Steve-Slow-Train-Analysis-(2080s-and-2083s)?_g=(refreshInterval:(display:Off,section:0,value:0),time:(from:'2016-06-14 13:17:07-0600',mode:absolute,to:'2016-06-14 14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73" t="str">
        <f t="shared" si="18"/>
        <v>N</v>
      </c>
      <c r="X76" s="73">
        <f>VALUE(LEFT(A76,3))-VALUE(LEFT(A75,3))</f>
        <v>1</v>
      </c>
      <c r="Y76" s="73">
        <f>RIGHT(D76,LEN(D76)-4)/10000</f>
        <v>23.299600000000002</v>
      </c>
      <c r="Z76" s="73">
        <f>RIGHT(H76,LEN(H76)-4)/10000</f>
        <v>1.49E-2</v>
      </c>
      <c r="AA76" s="73">
        <f t="shared" si="19"/>
        <v>23.284700000000001</v>
      </c>
      <c r="AB76" s="74" t="e">
        <f>VLOOKUP(A76,Enforcements!$C$20:$J$60,8,0)</f>
        <v>#N/A</v>
      </c>
      <c r="AC76" s="74" t="e">
        <f>VLOOKUP(A76,Enforcements!$C$20:$J$60,3,0)</f>
        <v>#N/A</v>
      </c>
    </row>
    <row r="77" spans="1:29" s="2" customFormat="1" x14ac:dyDescent="0.25">
      <c r="A77" s="60" t="s">
        <v>440</v>
      </c>
      <c r="B77" s="60">
        <v>4025</v>
      </c>
      <c r="C77" s="60" t="s">
        <v>62</v>
      </c>
      <c r="D77" s="60" t="s">
        <v>106</v>
      </c>
      <c r="E77" s="30">
        <v>42535.527002314811</v>
      </c>
      <c r="F77" s="30">
        <v>42535.52820601852</v>
      </c>
      <c r="G77" s="38">
        <v>1</v>
      </c>
      <c r="H77" s="30" t="s">
        <v>548</v>
      </c>
      <c r="I77" s="30">
        <v>42535.558391203704</v>
      </c>
      <c r="J77" s="60">
        <v>0</v>
      </c>
      <c r="K77" s="60" t="str">
        <f t="shared" si="16"/>
        <v>4025/4026</v>
      </c>
      <c r="L77" s="60" t="str">
        <f>VLOOKUP(A77,'Trips&amp;Operators'!$C$1:$E$9999,3,FALSE)</f>
        <v>STORY</v>
      </c>
      <c r="M77" s="12">
        <f t="shared" si="17"/>
        <v>3.0185185183654539E-2</v>
      </c>
      <c r="N77" s="13">
        <f t="shared" si="22"/>
        <v>43.466666664462537</v>
      </c>
      <c r="O77" s="13"/>
      <c r="P77" s="13"/>
      <c r="Q77" s="61"/>
      <c r="R77" s="61"/>
      <c r="S77" s="108">
        <f t="shared" si="20"/>
        <v>1</v>
      </c>
      <c r="T77" s="86" t="str">
        <f t="shared" si="21"/>
        <v>NorthBound</v>
      </c>
      <c r="U77" s="10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https://search-rtdc-monitor-bjffxe2xuh6vdkpspy63sjmuny.us-east-1.es.amazonaws.com/_plugin/kibana/#/discover/Steve-Slow-Train-Analysis-(2080s-and-2083s)?_g=(refreshInterval:(display:Off,section:0,value:0),time:(from:'2016-06-14 12:37:53-0600',mode:absolute,to:'2016-06-14 13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7" s="73" t="str">
        <f t="shared" si="18"/>
        <v>N</v>
      </c>
      <c r="X77" s="73">
        <f>VALUE(LEFT(A77,3))-VALUE(LEFT(A76,3))</f>
        <v>1</v>
      </c>
      <c r="Y77" s="73">
        <f>RIGHT(D77,LEN(D77)-4)/10000</f>
        <v>4.58E-2</v>
      </c>
      <c r="Z77" s="73">
        <f>RIGHT(H77,LEN(H77)-4)/10000</f>
        <v>23.3339</v>
      </c>
      <c r="AA77" s="73">
        <f t="shared" si="19"/>
        <v>23.2881</v>
      </c>
      <c r="AB77" s="74" t="e">
        <f>VLOOKUP(A77,Enforcements!$C$20:$J$60,8,0)</f>
        <v>#N/A</v>
      </c>
      <c r="AC77" s="74" t="e">
        <f>VLOOKUP(A77,Enforcements!$C$20:$J$60,3,0)</f>
        <v>#N/A</v>
      </c>
    </row>
    <row r="78" spans="1:29" s="2" customFormat="1" x14ac:dyDescent="0.25">
      <c r="A78" s="60" t="s">
        <v>448</v>
      </c>
      <c r="B78" s="60">
        <v>4026</v>
      </c>
      <c r="C78" s="60" t="s">
        <v>62</v>
      </c>
      <c r="D78" s="60" t="s">
        <v>67</v>
      </c>
      <c r="E78" s="30">
        <v>42535.566469907404</v>
      </c>
      <c r="F78" s="30">
        <v>42535.567812499998</v>
      </c>
      <c r="G78" s="38">
        <v>1</v>
      </c>
      <c r="H78" s="30" t="s">
        <v>89</v>
      </c>
      <c r="I78" s="30">
        <v>42535.599988425929</v>
      </c>
      <c r="J78" s="60">
        <v>0</v>
      </c>
      <c r="K78" s="60" t="str">
        <f t="shared" si="16"/>
        <v>4025/4026</v>
      </c>
      <c r="L78" s="60" t="str">
        <f>VLOOKUP(A78,'Trips&amp;Operators'!$C$1:$E$9999,3,FALSE)</f>
        <v>STORY</v>
      </c>
      <c r="M78" s="12">
        <f t="shared" si="17"/>
        <v>3.217592593136942E-2</v>
      </c>
      <c r="N78" s="13">
        <f t="shared" si="22"/>
        <v>46.333333341171965</v>
      </c>
      <c r="O78" s="13"/>
      <c r="P78" s="13"/>
      <c r="Q78" s="61"/>
      <c r="R78" s="61"/>
      <c r="S78" s="108">
        <f t="shared" si="20"/>
        <v>1</v>
      </c>
      <c r="T78" s="86" t="str">
        <f t="shared" si="21"/>
        <v>Southbound</v>
      </c>
      <c r="U78" s="10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https://search-rtdc-monitor-bjffxe2xuh6vdkpspy63sjmuny.us-east-1.es.amazonaws.com/_plugin/kibana/#/discover/Steve-Slow-Train-Analysis-(2080s-and-2083s)?_g=(refreshInterval:(display:Off,section:0,value:0),time:(from:'2016-06-14 13:34:43-0600',mode:absolute,to:'2016-06-14 14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8" s="73" t="str">
        <f t="shared" si="18"/>
        <v>N</v>
      </c>
      <c r="X78" s="73">
        <f>VALUE(LEFT(A78,3))-VALUE(LEFT(A77,3))</f>
        <v>1</v>
      </c>
      <c r="Y78" s="73">
        <f>RIGHT(D78,LEN(D78)-4)/10000</f>
        <v>23.299399999999999</v>
      </c>
      <c r="Z78" s="73">
        <f>RIGHT(H78,LEN(H78)-4)/10000</f>
        <v>1.5599999999999999E-2</v>
      </c>
      <c r="AA78" s="73">
        <f t="shared" si="19"/>
        <v>23.283799999999999</v>
      </c>
      <c r="AB78" s="74" t="e">
        <f>VLOOKUP(A78,Enforcements!$C$20:$J$60,8,0)</f>
        <v>#N/A</v>
      </c>
      <c r="AC78" s="74" t="e">
        <f>VLOOKUP(A78,Enforcements!$C$20:$J$60,3,0)</f>
        <v>#N/A</v>
      </c>
    </row>
    <row r="79" spans="1:29" s="2" customFormat="1" x14ac:dyDescent="0.25">
      <c r="A79" s="60" t="s">
        <v>390</v>
      </c>
      <c r="B79" s="60">
        <v>4016</v>
      </c>
      <c r="C79" s="60" t="s">
        <v>62</v>
      </c>
      <c r="D79" s="60" t="s">
        <v>77</v>
      </c>
      <c r="E79" s="30">
        <v>42535.539722222224</v>
      </c>
      <c r="F79" s="30">
        <v>42535.540821759256</v>
      </c>
      <c r="G79" s="38">
        <v>1</v>
      </c>
      <c r="H79" s="30" t="s">
        <v>547</v>
      </c>
      <c r="I79" s="30">
        <v>42535.568124999998</v>
      </c>
      <c r="J79" s="60">
        <v>0</v>
      </c>
      <c r="K79" s="60" t="str">
        <f t="shared" si="16"/>
        <v>4015/4016</v>
      </c>
      <c r="L79" s="60" t="str">
        <f>VLOOKUP(A79,'Trips&amp;Operators'!$C$1:$E$9999,3,FALSE)</f>
        <v>LOZA</v>
      </c>
      <c r="M79" s="12">
        <f t="shared" si="17"/>
        <v>2.7303240742185153E-2</v>
      </c>
      <c r="N79" s="13">
        <f t="shared" si="22"/>
        <v>39.31666666874662</v>
      </c>
      <c r="O79" s="13"/>
      <c r="P79" s="13"/>
      <c r="Q79" s="61"/>
      <c r="R79" s="61"/>
      <c r="S79" s="108">
        <f t="shared" si="20"/>
        <v>1</v>
      </c>
      <c r="T79" s="86" t="str">
        <f t="shared" si="21"/>
        <v>NorthBound</v>
      </c>
      <c r="U79" s="10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https://search-rtdc-monitor-bjffxe2xuh6vdkpspy63sjmuny.us-east-1.es.amazonaws.com/_plugin/kibana/#/discover/Steve-Slow-Train-Analysis-(2080s-and-2083s)?_g=(refreshInterval:(display:Off,section:0,value:0),time:(from:'2016-06-14 12:56:12-0600',mode:absolute,to:'2016-06-14 13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9" s="73" t="str">
        <f t="shared" si="18"/>
        <v>N</v>
      </c>
      <c r="X79" s="73">
        <f>VALUE(LEFT(A79,3))-VALUE(LEFT(A78,3))</f>
        <v>1</v>
      </c>
      <c r="Y79" s="73">
        <f>RIGHT(D79,LEN(D79)-4)/10000</f>
        <v>4.5999999999999999E-2</v>
      </c>
      <c r="Z79" s="73">
        <f>RIGHT(H79,LEN(H79)-4)/10000</f>
        <v>23.332100000000001</v>
      </c>
      <c r="AA79" s="73">
        <f t="shared" si="19"/>
        <v>23.286100000000001</v>
      </c>
      <c r="AB79" s="74" t="e">
        <f>VLOOKUP(A79,Enforcements!$C$20:$J$60,8,0)</f>
        <v>#N/A</v>
      </c>
      <c r="AC79" s="74" t="e">
        <f>VLOOKUP(A79,Enforcements!$C$20:$J$60,3,0)</f>
        <v>#N/A</v>
      </c>
    </row>
    <row r="80" spans="1:29" s="2" customFormat="1" x14ac:dyDescent="0.25">
      <c r="A80" s="60" t="s">
        <v>429</v>
      </c>
      <c r="B80" s="60">
        <v>4015</v>
      </c>
      <c r="C80" s="60" t="s">
        <v>62</v>
      </c>
      <c r="D80" s="60" t="s">
        <v>311</v>
      </c>
      <c r="E80" s="30">
        <v>42535.577546296299</v>
      </c>
      <c r="F80" s="30">
        <v>42535.578738425924</v>
      </c>
      <c r="G80" s="38">
        <v>1</v>
      </c>
      <c r="H80" s="30" t="s">
        <v>63</v>
      </c>
      <c r="I80" s="30">
        <v>42535.610324074078</v>
      </c>
      <c r="J80" s="60">
        <v>0</v>
      </c>
      <c r="K80" s="60" t="str">
        <f t="shared" si="16"/>
        <v>4015/4016</v>
      </c>
      <c r="L80" s="60" t="str">
        <f>VLOOKUP(A80,'Trips&amp;Operators'!$C$1:$E$9999,3,FALSE)</f>
        <v>LOZA</v>
      </c>
      <c r="M80" s="12">
        <f t="shared" si="17"/>
        <v>3.1585648153850343E-2</v>
      </c>
      <c r="N80" s="13">
        <f t="shared" si="22"/>
        <v>45.483333341544494</v>
      </c>
      <c r="O80" s="13"/>
      <c r="P80" s="13"/>
      <c r="Q80" s="61"/>
      <c r="R80" s="61"/>
      <c r="S80" s="108">
        <f t="shared" si="20"/>
        <v>1</v>
      </c>
      <c r="T80" s="86" t="str">
        <f t="shared" si="21"/>
        <v>Southbound</v>
      </c>
      <c r="U80" s="10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https://search-rtdc-monitor-bjffxe2xuh6vdkpspy63sjmuny.us-east-1.es.amazonaws.com/_plugin/kibana/#/discover/Steve-Slow-Train-Analysis-(2080s-and-2083s)?_g=(refreshInterval:(display:Off,section:0,value:0),time:(from:'2016-06-14 13:50:40-0600',mode:absolute,to:'2016-06-14 14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0" s="73" t="str">
        <f t="shared" ref="W80:W82" si="23">IF(AA80&lt;23,"Y","N")</f>
        <v>N</v>
      </c>
      <c r="X80" s="73">
        <f>VALUE(LEFT(A80,3))-VALUE(LEFT(A79,3))</f>
        <v>1</v>
      </c>
      <c r="Y80" s="73">
        <f>RIGHT(D80,LEN(D80)-4)/10000</f>
        <v>23.301300000000001</v>
      </c>
      <c r="Z80" s="73">
        <f>RIGHT(H80,LEN(H80)-4)/10000</f>
        <v>1.4500000000000001E-2</v>
      </c>
      <c r="AA80" s="73">
        <f t="shared" ref="AA80:AA82" si="24">ABS(Z80-Y80)</f>
        <v>23.286799999999999</v>
      </c>
      <c r="AB80" s="74" t="e">
        <f>VLOOKUP(A80,Enforcements!$C$20:$J$60,8,0)</f>
        <v>#N/A</v>
      </c>
      <c r="AC80" s="74" t="e">
        <f>VLOOKUP(A80,Enforcements!$C$20:$J$60,3,0)</f>
        <v>#N/A</v>
      </c>
    </row>
    <row r="81" spans="1:29" s="2" customFormat="1" x14ac:dyDescent="0.25">
      <c r="A81" s="60" t="s">
        <v>428</v>
      </c>
      <c r="B81" s="60">
        <v>4010</v>
      </c>
      <c r="C81" s="60" t="s">
        <v>62</v>
      </c>
      <c r="D81" s="60" t="s">
        <v>67</v>
      </c>
      <c r="E81" s="30">
        <v>42535.585162037038</v>
      </c>
      <c r="F81" s="30">
        <v>42535.586122685185</v>
      </c>
      <c r="G81" s="38">
        <v>1</v>
      </c>
      <c r="H81" s="30" t="s">
        <v>74</v>
      </c>
      <c r="I81" s="30">
        <v>42535.619155092594</v>
      </c>
      <c r="J81" s="60">
        <v>0</v>
      </c>
      <c r="K81" s="60" t="str">
        <f t="shared" si="16"/>
        <v>4009/4010</v>
      </c>
      <c r="L81" s="60" t="str">
        <f>VLOOKUP(A81,'Trips&amp;Operators'!$C$1:$E$9999,3,FALSE)</f>
        <v>REBOLETTI</v>
      </c>
      <c r="M81" s="12">
        <f t="shared" si="17"/>
        <v>3.3032407409336884E-2</v>
      </c>
      <c r="N81" s="13">
        <f t="shared" si="22"/>
        <v>47.566666669445112</v>
      </c>
      <c r="O81" s="13"/>
      <c r="P81" s="13"/>
      <c r="Q81" s="61"/>
      <c r="R81" s="61"/>
      <c r="S81" s="108">
        <f t="shared" si="20"/>
        <v>1</v>
      </c>
      <c r="T81" s="86" t="str">
        <f t="shared" si="21"/>
        <v>Southbound</v>
      </c>
      <c r="U81" s="10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https://search-rtdc-monitor-bjffxe2xuh6vdkpspy63sjmuny.us-east-1.es.amazonaws.com/_plugin/kibana/#/discover/Steve-Slow-Train-Analysis-(2080s-and-2083s)?_g=(refreshInterval:(display:Off,section:0,value:0),time:(from:'2016-06-14 14:01:38-0600',mode:absolute,to:'2016-06-14 14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1" s="73" t="str">
        <f t="shared" si="23"/>
        <v>N</v>
      </c>
      <c r="X81" s="73">
        <f>VALUE(LEFT(A81,3))-VALUE(LEFT(A80,3))</f>
        <v>2</v>
      </c>
      <c r="Y81" s="73">
        <f>RIGHT(D81,LEN(D81)-4)/10000</f>
        <v>23.299399999999999</v>
      </c>
      <c r="Z81" s="73">
        <f>RIGHT(H81,LEN(H81)-4)/10000</f>
        <v>1.47E-2</v>
      </c>
      <c r="AA81" s="73">
        <f t="shared" si="24"/>
        <v>23.284699999999997</v>
      </c>
      <c r="AB81" s="74" t="e">
        <f>VLOOKUP(A81,Enforcements!$C$20:$J$60,8,0)</f>
        <v>#N/A</v>
      </c>
      <c r="AC81" s="74" t="e">
        <f>VLOOKUP(A81,Enforcements!$C$20:$J$60,3,0)</f>
        <v>#N/A</v>
      </c>
    </row>
    <row r="82" spans="1:29" s="2" customFormat="1" x14ac:dyDescent="0.25">
      <c r="A82" s="60" t="s">
        <v>346</v>
      </c>
      <c r="B82" s="60">
        <v>4024</v>
      </c>
      <c r="C82" s="60" t="s">
        <v>62</v>
      </c>
      <c r="D82" s="60" t="s">
        <v>546</v>
      </c>
      <c r="E82" s="30">
        <v>42535.567523148151</v>
      </c>
      <c r="F82" s="30">
        <v>42535.568888888891</v>
      </c>
      <c r="G82" s="38">
        <v>1</v>
      </c>
      <c r="H82" s="30" t="s">
        <v>100</v>
      </c>
      <c r="I82" s="30">
        <v>42535.590856481482</v>
      </c>
      <c r="J82" s="60">
        <v>0</v>
      </c>
      <c r="K82" s="60" t="str">
        <f t="shared" si="16"/>
        <v>4023/4024</v>
      </c>
      <c r="L82" s="60" t="str">
        <f>VLOOKUP(A82,'Trips&amp;Operators'!$C$1:$E$9999,3,FALSE)</f>
        <v>WEBSTER</v>
      </c>
      <c r="M82" s="12">
        <f t="shared" si="17"/>
        <v>2.1967592590954155E-2</v>
      </c>
      <c r="N82" s="13"/>
      <c r="O82" s="13"/>
      <c r="P82" s="13">
        <f>24*60*SUM($M82:$M82)</f>
        <v>31.633333330973983</v>
      </c>
      <c r="Q82" s="61"/>
      <c r="R82" s="61" t="s">
        <v>555</v>
      </c>
      <c r="S82" s="108">
        <f t="shared" si="20"/>
        <v>1</v>
      </c>
      <c r="T82" s="86" t="str">
        <f t="shared" si="21"/>
        <v>NorthBound</v>
      </c>
      <c r="U82" s="10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https://search-rtdc-monitor-bjffxe2xuh6vdkpspy63sjmuny.us-east-1.es.amazonaws.com/_plugin/kibana/#/discover/Steve-Slow-Train-Analysis-(2080s-and-2083s)?_g=(refreshInterval:(display:Off,section:0,value:0),time:(from:'2016-06-14 13:36:14-0600',mode:absolute,to:'2016-06-14 14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2" s="73" t="str">
        <f t="shared" si="23"/>
        <v>Y</v>
      </c>
      <c r="X82" s="73">
        <f>VALUE(LEFT(A82,3))-VALUE(LEFT(A81,3))</f>
        <v>1</v>
      </c>
      <c r="Y82" s="73">
        <f>RIGHT(D82,LEN(D82)-4)/10000</f>
        <v>1.9818</v>
      </c>
      <c r="Z82" s="73">
        <f>RIGHT(H82,LEN(H82)-4)/10000</f>
        <v>23.330400000000001</v>
      </c>
      <c r="AA82" s="73">
        <f t="shared" si="24"/>
        <v>21.348600000000001</v>
      </c>
      <c r="AB82" s="74">
        <f>VLOOKUP(A82,Enforcements!$C$20:$J$60,8,0)</f>
        <v>233491</v>
      </c>
      <c r="AC82" s="74" t="str">
        <f>VLOOKUP(A82,Enforcements!$C$20:$J$60,3,0)</f>
        <v>TRACK WARRANT AUTHORITY</v>
      </c>
    </row>
    <row r="83" spans="1:29" s="2" customFormat="1" x14ac:dyDescent="0.25">
      <c r="A83" s="60" t="s">
        <v>439</v>
      </c>
      <c r="B83" s="60">
        <v>4023</v>
      </c>
      <c r="C83" s="60" t="s">
        <v>62</v>
      </c>
      <c r="D83" s="60" t="s">
        <v>283</v>
      </c>
      <c r="E83" s="30">
        <v>42535.592523148145</v>
      </c>
      <c r="F83" s="30">
        <v>42535.5937037037</v>
      </c>
      <c r="G83" s="38">
        <v>1</v>
      </c>
      <c r="H83" s="30" t="s">
        <v>464</v>
      </c>
      <c r="I83" s="30">
        <v>42535.629062499997</v>
      </c>
      <c r="J83" s="60">
        <v>0</v>
      </c>
      <c r="K83" s="60" t="str">
        <f t="shared" si="16"/>
        <v>4023/4024</v>
      </c>
      <c r="L83" s="60" t="str">
        <f>VLOOKUP(A83,'Trips&amp;Operators'!$C$1:$E$9999,3,FALSE)</f>
        <v>WEBSTER</v>
      </c>
      <c r="M83" s="12">
        <f t="shared" si="17"/>
        <v>3.5358796296350192E-2</v>
      </c>
      <c r="N83" s="13">
        <f t="shared" ref="N83:N91" si="25">24*60*SUM($M83:$M83)</f>
        <v>50.916666666744277</v>
      </c>
      <c r="O83" s="13"/>
      <c r="P83" s="13"/>
      <c r="Q83" s="61"/>
      <c r="R83" s="61"/>
      <c r="S83" s="108">
        <f t="shared" si="20"/>
        <v>1</v>
      </c>
      <c r="T83" s="86" t="str">
        <f t="shared" si="21"/>
        <v>Southbound</v>
      </c>
      <c r="U83" s="10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https://search-rtdc-monitor-bjffxe2xuh6vdkpspy63sjmuny.us-east-1.es.amazonaws.com/_plugin/kibana/#/discover/Steve-Slow-Train-Analysis-(2080s-and-2083s)?_g=(refreshInterval:(display:Off,section:0,value:0),time:(from:'2016-06-14 14:12:14-0600',mode:absolute,to:'2016-06-14 15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3" s="73" t="str">
        <f t="shared" ref="W83:W108" si="26">IF(AA83&lt;23,"Y","N")</f>
        <v>N</v>
      </c>
      <c r="X83" s="73">
        <f>VALUE(LEFT(A83,3))-VALUE(LEFT(A82,3))</f>
        <v>1</v>
      </c>
      <c r="Y83" s="73">
        <f>RIGHT(D83,LEN(D83)-4)/10000</f>
        <v>23.3</v>
      </c>
      <c r="Z83" s="73">
        <f>RIGHT(H83,LEN(H83)-4)/10000</f>
        <v>1.38E-2</v>
      </c>
      <c r="AA83" s="73">
        <f t="shared" ref="AA83:AA108" si="27">ABS(Z83-Y83)</f>
        <v>23.286200000000001</v>
      </c>
      <c r="AB83" s="74" t="e">
        <f>VLOOKUP(A83,Enforcements!$C$20:$J$60,8,0)</f>
        <v>#N/A</v>
      </c>
      <c r="AC83" s="74" t="e">
        <f>VLOOKUP(A83,Enforcements!$C$20:$J$60,3,0)</f>
        <v>#N/A</v>
      </c>
    </row>
    <row r="84" spans="1:29" s="2" customFormat="1" x14ac:dyDescent="0.25">
      <c r="A84" s="60" t="s">
        <v>344</v>
      </c>
      <c r="B84" s="60">
        <v>4020</v>
      </c>
      <c r="C84" s="60" t="s">
        <v>62</v>
      </c>
      <c r="D84" s="60" t="s">
        <v>94</v>
      </c>
      <c r="E84" s="30">
        <v>42535.5703587963</v>
      </c>
      <c r="F84" s="30">
        <v>42535.571469907409</v>
      </c>
      <c r="G84" s="38">
        <v>1</v>
      </c>
      <c r="H84" s="30" t="s">
        <v>545</v>
      </c>
      <c r="I84" s="30">
        <v>42535.59920138889</v>
      </c>
      <c r="J84" s="60">
        <v>2</v>
      </c>
      <c r="K84" s="60" t="str">
        <f t="shared" si="16"/>
        <v>4019/4020</v>
      </c>
      <c r="L84" s="60" t="str">
        <f>VLOOKUP(A84,'Trips&amp;Operators'!$C$1:$E$9999,3,FALSE)</f>
        <v>BEAM</v>
      </c>
      <c r="M84" s="12">
        <f t="shared" si="17"/>
        <v>2.7731481481168885E-2</v>
      </c>
      <c r="N84" s="13">
        <f t="shared" si="25"/>
        <v>39.933333332883194</v>
      </c>
      <c r="O84" s="13"/>
      <c r="P84" s="13"/>
      <c r="Q84" s="61"/>
      <c r="R84" s="61"/>
      <c r="S84" s="108">
        <f t="shared" si="20"/>
        <v>1</v>
      </c>
      <c r="T84" s="86" t="str">
        <f t="shared" si="21"/>
        <v>NorthBound</v>
      </c>
      <c r="U84" s="10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https://search-rtdc-monitor-bjffxe2xuh6vdkpspy63sjmuny.us-east-1.es.amazonaws.com/_plugin/kibana/#/discover/Steve-Slow-Train-Analysis-(2080s-and-2083s)?_g=(refreshInterval:(display:Off,section:0,value:0),time:(from:'2016-06-14 13:40:19-0600',mode:absolute,to:'2016-06-14 14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73" t="str">
        <f t="shared" si="26"/>
        <v>N</v>
      </c>
      <c r="X84" s="73">
        <f>VALUE(LEFT(A84,3))-VALUE(LEFT(A83,3))</f>
        <v>1</v>
      </c>
      <c r="Y84" s="73">
        <f>RIGHT(D84,LEN(D84)-4)/10000</f>
        <v>4.53E-2</v>
      </c>
      <c r="Z84" s="73">
        <f>RIGHT(H84,LEN(H84)-4)/10000</f>
        <v>23.327200000000001</v>
      </c>
      <c r="AA84" s="73">
        <f t="shared" si="27"/>
        <v>23.2819</v>
      </c>
      <c r="AB84" s="74" t="e">
        <f>VLOOKUP(A84,Enforcements!$C$20:$J$60,8,0)</f>
        <v>#N/A</v>
      </c>
      <c r="AC84" s="74" t="e">
        <f>VLOOKUP(A84,Enforcements!$C$20:$J$60,3,0)</f>
        <v>#N/A</v>
      </c>
    </row>
    <row r="85" spans="1:29" s="2" customFormat="1" x14ac:dyDescent="0.25">
      <c r="A85" s="60" t="s">
        <v>347</v>
      </c>
      <c r="B85" s="60">
        <v>4019</v>
      </c>
      <c r="C85" s="60" t="s">
        <v>62</v>
      </c>
      <c r="D85" s="60" t="s">
        <v>124</v>
      </c>
      <c r="E85" s="30">
        <v>42535.606759259259</v>
      </c>
      <c r="F85" s="30">
        <v>42535.607986111114</v>
      </c>
      <c r="G85" s="38">
        <v>1</v>
      </c>
      <c r="H85" s="30" t="s">
        <v>83</v>
      </c>
      <c r="I85" s="30">
        <v>42535.639618055553</v>
      </c>
      <c r="J85" s="60">
        <v>3</v>
      </c>
      <c r="K85" s="60" t="str">
        <f t="shared" si="16"/>
        <v>4019/4020</v>
      </c>
      <c r="L85" s="60" t="str">
        <f>VLOOKUP(A85,'Trips&amp;Operators'!$C$1:$E$9999,3,FALSE)</f>
        <v>BEAM</v>
      </c>
      <c r="M85" s="12">
        <f t="shared" si="17"/>
        <v>3.163194443914108E-2</v>
      </c>
      <c r="N85" s="13">
        <f t="shared" si="25"/>
        <v>45.549999992363155</v>
      </c>
      <c r="O85" s="13"/>
      <c r="P85" s="13"/>
      <c r="Q85" s="61"/>
      <c r="R85" s="61"/>
      <c r="S85" s="108">
        <f t="shared" si="20"/>
        <v>1</v>
      </c>
      <c r="T85" s="86" t="str">
        <f t="shared" si="21"/>
        <v>Southbound</v>
      </c>
      <c r="U85" s="109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https://search-rtdc-monitor-bjffxe2xuh6vdkpspy63sjmuny.us-east-1.es.amazonaws.com/_plugin/kibana/#/discover/Steve-Slow-Train-Analysis-(2080s-and-2083s)?_g=(refreshInterval:(display:Off,section:0,value:0),time:(from:'2016-06-14 14:32:44-0600',mode:absolute,to:'2016-06-14 15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73" t="str">
        <f t="shared" si="26"/>
        <v>N</v>
      </c>
      <c r="X85" s="73">
        <f>VALUE(LEFT(A85,3))-VALUE(LEFT(A84,3))</f>
        <v>1</v>
      </c>
      <c r="Y85" s="73">
        <f>RIGHT(D85,LEN(D85)-4)/10000</f>
        <v>23.297499999999999</v>
      </c>
      <c r="Z85" s="73">
        <f>RIGHT(H85,LEN(H85)-4)/10000</f>
        <v>1.43E-2</v>
      </c>
      <c r="AA85" s="73">
        <f t="shared" si="27"/>
        <v>23.283200000000001</v>
      </c>
      <c r="AB85" s="74">
        <f>VLOOKUP(A85,Enforcements!$C$20:$J$60,8,0)</f>
        <v>191723</v>
      </c>
      <c r="AC85" s="74" t="str">
        <f>VLOOKUP(A85,Enforcements!$C$20:$J$60,3,0)</f>
        <v>SIGNAL</v>
      </c>
    </row>
    <row r="86" spans="1:29" s="2" customFormat="1" x14ac:dyDescent="0.25">
      <c r="A86" s="60" t="s">
        <v>392</v>
      </c>
      <c r="B86" s="60">
        <v>4040</v>
      </c>
      <c r="C86" s="60" t="s">
        <v>62</v>
      </c>
      <c r="D86" s="60" t="s">
        <v>82</v>
      </c>
      <c r="E86" s="30">
        <v>42535.58388888889</v>
      </c>
      <c r="F86" s="30">
        <v>42535.584768518522</v>
      </c>
      <c r="G86" s="38">
        <v>1</v>
      </c>
      <c r="H86" s="30" t="s">
        <v>287</v>
      </c>
      <c r="I86" s="30">
        <v>42535.615879629629</v>
      </c>
      <c r="J86" s="60">
        <v>0</v>
      </c>
      <c r="K86" s="60" t="str">
        <f t="shared" si="16"/>
        <v>4039/4040</v>
      </c>
      <c r="L86" s="60" t="str">
        <f>VLOOKUP(A86,'Trips&amp;Operators'!$C$1:$E$9999,3,FALSE)</f>
        <v>YOUNG</v>
      </c>
      <c r="M86" s="12">
        <f t="shared" si="17"/>
        <v>3.1111111107748002E-2</v>
      </c>
      <c r="N86" s="13">
        <f t="shared" si="25"/>
        <v>44.799999995157123</v>
      </c>
      <c r="O86" s="13"/>
      <c r="P86" s="13"/>
      <c r="Q86" s="61"/>
      <c r="R86" s="61"/>
      <c r="S86" s="108">
        <f t="shared" si="20"/>
        <v>1</v>
      </c>
      <c r="T86" s="86" t="str">
        <f t="shared" si="21"/>
        <v>NorthBound</v>
      </c>
      <c r="U86" s="10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https://search-rtdc-monitor-bjffxe2xuh6vdkpspy63sjmuny.us-east-1.es.amazonaws.com/_plugin/kibana/#/discover/Steve-Slow-Train-Analysis-(2080s-and-2083s)?_g=(refreshInterval:(display:Off,section:0,value:0),time:(from:'2016-06-14 13:59:48-0600',mode:absolute,to:'2016-06-14 14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6" s="73" t="str">
        <f t="shared" si="26"/>
        <v>N</v>
      </c>
      <c r="X86" s="73">
        <f>VALUE(LEFT(A86,3))-VALUE(LEFT(A85,3))</f>
        <v>1</v>
      </c>
      <c r="Y86" s="73">
        <f>RIGHT(D86,LEN(D86)-4)/10000</f>
        <v>4.6600000000000003E-2</v>
      </c>
      <c r="Z86" s="73">
        <f>RIGHT(H86,LEN(H86)-4)/10000</f>
        <v>23.328900000000001</v>
      </c>
      <c r="AA86" s="73">
        <f t="shared" si="27"/>
        <v>23.282299999999999</v>
      </c>
      <c r="AB86" s="74" t="e">
        <f>VLOOKUP(A86,Enforcements!$C$20:$J$60,8,0)</f>
        <v>#N/A</v>
      </c>
      <c r="AC86" s="74" t="e">
        <f>VLOOKUP(A86,Enforcements!$C$20:$J$60,3,0)</f>
        <v>#N/A</v>
      </c>
    </row>
    <row r="87" spans="1:29" s="2" customFormat="1" x14ac:dyDescent="0.25">
      <c r="A87" s="60" t="s">
        <v>442</v>
      </c>
      <c r="B87" s="60">
        <v>4039</v>
      </c>
      <c r="C87" s="60" t="s">
        <v>62</v>
      </c>
      <c r="D87" s="60" t="s">
        <v>124</v>
      </c>
      <c r="E87" s="30">
        <v>42535.619803240741</v>
      </c>
      <c r="F87" s="30">
        <v>42535.62059027778</v>
      </c>
      <c r="G87" s="38">
        <v>1</v>
      </c>
      <c r="H87" s="30" t="s">
        <v>484</v>
      </c>
      <c r="I87" s="30">
        <v>42535.653703703705</v>
      </c>
      <c r="J87" s="60">
        <v>0</v>
      </c>
      <c r="K87" s="60" t="str">
        <f t="shared" si="16"/>
        <v>4039/4040</v>
      </c>
      <c r="L87" s="60" t="str">
        <f>VLOOKUP(A87,'Trips&amp;Operators'!$C$1:$E$9999,3,FALSE)</f>
        <v>YOUNG</v>
      </c>
      <c r="M87" s="12">
        <f t="shared" si="17"/>
        <v>3.3113425924966577E-2</v>
      </c>
      <c r="N87" s="13">
        <f t="shared" si="25"/>
        <v>47.683333331951872</v>
      </c>
      <c r="O87" s="13"/>
      <c r="P87" s="13"/>
      <c r="Q87" s="61"/>
      <c r="R87" s="61"/>
      <c r="S87" s="108">
        <f t="shared" si="20"/>
        <v>1</v>
      </c>
      <c r="T87" s="86" t="str">
        <f t="shared" si="21"/>
        <v>Southbound</v>
      </c>
      <c r="U87" s="109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https://search-rtdc-monitor-bjffxe2xuh6vdkpspy63sjmuny.us-east-1.es.amazonaws.com/_plugin/kibana/#/discover/Steve-Slow-Train-Analysis-(2080s-and-2083s)?_g=(refreshInterval:(display:Off,section:0,value:0),time:(from:'2016-06-14 14:51:31-0600',mode:absolute,to:'2016-06-14 15:42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7" s="73" t="str">
        <f t="shared" si="26"/>
        <v>N</v>
      </c>
      <c r="X87" s="73">
        <f>VALUE(LEFT(A87,3))-VALUE(LEFT(A86,3))</f>
        <v>1</v>
      </c>
      <c r="Y87" s="73">
        <f>RIGHT(D87,LEN(D87)-4)/10000</f>
        <v>23.297499999999999</v>
      </c>
      <c r="Z87" s="73">
        <f>RIGHT(H87,LEN(H87)-4)/10000</f>
        <v>1.5800000000000002E-2</v>
      </c>
      <c r="AA87" s="73">
        <f t="shared" si="27"/>
        <v>23.281700000000001</v>
      </c>
      <c r="AB87" s="74" t="e">
        <f>VLOOKUP(A87,Enforcements!$C$20:$J$60,8,0)</f>
        <v>#N/A</v>
      </c>
      <c r="AC87" s="74" t="e">
        <f>VLOOKUP(A87,Enforcements!$C$20:$J$60,3,0)</f>
        <v>#N/A</v>
      </c>
    </row>
    <row r="88" spans="1:29" s="2" customFormat="1" x14ac:dyDescent="0.25">
      <c r="A88" s="60" t="s">
        <v>348</v>
      </c>
      <c r="B88" s="60">
        <v>4044</v>
      </c>
      <c r="C88" s="60" t="s">
        <v>62</v>
      </c>
      <c r="D88" s="60" t="s">
        <v>64</v>
      </c>
      <c r="E88" s="30">
        <v>42535.590358796297</v>
      </c>
      <c r="F88" s="30">
        <v>42535.591261574074</v>
      </c>
      <c r="G88" s="38">
        <v>1</v>
      </c>
      <c r="H88" s="30" t="s">
        <v>287</v>
      </c>
      <c r="I88" s="30">
        <v>42535.619687500002</v>
      </c>
      <c r="J88" s="60">
        <v>1</v>
      </c>
      <c r="K88" s="60" t="str">
        <f t="shared" si="16"/>
        <v>4043/4044</v>
      </c>
      <c r="L88" s="60" t="str">
        <f>VLOOKUP(A88,'Trips&amp;Operators'!$C$1:$E$9999,3,FALSE)</f>
        <v>COCA</v>
      </c>
      <c r="M88" s="12">
        <f t="shared" si="17"/>
        <v>2.842592592787696E-2</v>
      </c>
      <c r="N88" s="13">
        <f t="shared" si="25"/>
        <v>40.933333336142823</v>
      </c>
      <c r="O88" s="13"/>
      <c r="P88" s="13"/>
      <c r="Q88" s="61"/>
      <c r="R88" s="61"/>
      <c r="S88" s="108">
        <f t="shared" si="20"/>
        <v>1</v>
      </c>
      <c r="T88" s="86" t="str">
        <f t="shared" si="21"/>
        <v>NorthBound</v>
      </c>
      <c r="U88" s="109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https://search-rtdc-monitor-bjffxe2xuh6vdkpspy63sjmuny.us-east-1.es.amazonaws.com/_plugin/kibana/#/discover/Steve-Slow-Train-Analysis-(2080s-and-2083s)?_g=(refreshInterval:(display:Off,section:0,value:0),time:(from:'2016-06-14 14:09:07-0600',mode:absolute,to:'2016-06-14 14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73" t="str">
        <f t="shared" si="26"/>
        <v>N</v>
      </c>
      <c r="X88" s="73">
        <f>VALUE(LEFT(A88,3))-VALUE(LEFT(A87,3))</f>
        <v>1</v>
      </c>
      <c r="Y88" s="73">
        <f>RIGHT(D88,LEN(D88)-4)/10000</f>
        <v>4.5499999999999999E-2</v>
      </c>
      <c r="Z88" s="73">
        <f>RIGHT(H88,LEN(H88)-4)/10000</f>
        <v>23.328900000000001</v>
      </c>
      <c r="AA88" s="73">
        <f t="shared" si="27"/>
        <v>23.2834</v>
      </c>
      <c r="AB88" s="74">
        <f>VLOOKUP(A88,Enforcements!$C$20:$J$60,8,0)</f>
        <v>233491</v>
      </c>
      <c r="AC88" s="74" t="str">
        <f>VLOOKUP(A88,Enforcements!$C$20:$J$60,3,0)</f>
        <v>TRACK WARRANT AUTHORITY</v>
      </c>
    </row>
    <row r="89" spans="1:29" s="2" customFormat="1" x14ac:dyDescent="0.25">
      <c r="A89" s="60" t="s">
        <v>411</v>
      </c>
      <c r="B89" s="60">
        <v>4043</v>
      </c>
      <c r="C89" s="60" t="s">
        <v>62</v>
      </c>
      <c r="D89" s="60" t="s">
        <v>81</v>
      </c>
      <c r="E89" s="30">
        <v>42535.629050925927</v>
      </c>
      <c r="F89" s="30">
        <v>42535.629826388889</v>
      </c>
      <c r="G89" s="38">
        <v>1</v>
      </c>
      <c r="H89" s="30" t="s">
        <v>83</v>
      </c>
      <c r="I89" s="30">
        <v>42535.663506944446</v>
      </c>
      <c r="J89" s="60">
        <v>0</v>
      </c>
      <c r="K89" s="60" t="str">
        <f t="shared" si="16"/>
        <v>4043/4044</v>
      </c>
      <c r="L89" s="60" t="str">
        <f>VLOOKUP(A89,'Trips&amp;Operators'!$C$1:$E$9999,3,FALSE)</f>
        <v>COCA</v>
      </c>
      <c r="M89" s="12">
        <f t="shared" si="17"/>
        <v>3.3680555556202307E-2</v>
      </c>
      <c r="N89" s="13">
        <f t="shared" si="25"/>
        <v>48.500000000931323</v>
      </c>
      <c r="O89" s="13"/>
      <c r="P89" s="13"/>
      <c r="Q89" s="61"/>
      <c r="R89" s="61"/>
      <c r="S89" s="108">
        <f t="shared" si="20"/>
        <v>1</v>
      </c>
      <c r="T89" s="86" t="str">
        <f t="shared" si="21"/>
        <v>Southbound</v>
      </c>
      <c r="U89" s="10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https://search-rtdc-monitor-bjffxe2xuh6vdkpspy63sjmuny.us-east-1.es.amazonaws.com/_plugin/kibana/#/discover/Steve-Slow-Train-Analysis-(2080s-and-2083s)?_g=(refreshInterval:(display:Off,section:0,value:0),time:(from:'2016-06-14 15:04:50-0600',mode:absolute,to:'2016-06-14 15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73" t="str">
        <f t="shared" si="26"/>
        <v>N</v>
      </c>
      <c r="X89" s="73">
        <f>VALUE(LEFT(A89,3))-VALUE(LEFT(A88,3))</f>
        <v>1</v>
      </c>
      <c r="Y89" s="73">
        <f>RIGHT(D89,LEN(D89)-4)/10000</f>
        <v>23.297699999999999</v>
      </c>
      <c r="Z89" s="73">
        <f>RIGHT(H89,LEN(H89)-4)/10000</f>
        <v>1.43E-2</v>
      </c>
      <c r="AA89" s="73">
        <f t="shared" si="27"/>
        <v>23.2834</v>
      </c>
      <c r="AB89" s="74" t="e">
        <f>VLOOKUP(A89,Enforcements!$C$20:$J$60,8,0)</f>
        <v>#N/A</v>
      </c>
      <c r="AC89" s="74" t="e">
        <f>VLOOKUP(A89,Enforcements!$C$20:$J$60,3,0)</f>
        <v>#N/A</v>
      </c>
    </row>
    <row r="90" spans="1:29" s="2" customFormat="1" x14ac:dyDescent="0.25">
      <c r="A90" s="60" t="s">
        <v>447</v>
      </c>
      <c r="B90" s="60">
        <v>4025</v>
      </c>
      <c r="C90" s="60" t="s">
        <v>62</v>
      </c>
      <c r="D90" s="60" t="s">
        <v>94</v>
      </c>
      <c r="E90" s="30">
        <v>42535.601388888892</v>
      </c>
      <c r="F90" s="30">
        <v>42535.602453703701</v>
      </c>
      <c r="G90" s="38">
        <v>1</v>
      </c>
      <c r="H90" s="30" t="s">
        <v>469</v>
      </c>
      <c r="I90" s="30">
        <v>42535.631180555552</v>
      </c>
      <c r="J90" s="60">
        <v>0</v>
      </c>
      <c r="K90" s="60" t="str">
        <f t="shared" si="16"/>
        <v>4025/4026</v>
      </c>
      <c r="L90" s="60" t="str">
        <f>VLOOKUP(A90,'Trips&amp;Operators'!$C$1:$E$9999,3,FALSE)</f>
        <v>STORY</v>
      </c>
      <c r="M90" s="12">
        <f t="shared" si="17"/>
        <v>2.8726851851388346E-2</v>
      </c>
      <c r="N90" s="13">
        <f t="shared" si="25"/>
        <v>41.366666665999219</v>
      </c>
      <c r="O90" s="13"/>
      <c r="P90" s="13"/>
      <c r="Q90" s="61"/>
      <c r="R90" s="61"/>
      <c r="S90" s="108">
        <f t="shared" si="20"/>
        <v>1</v>
      </c>
      <c r="T90" s="86" t="str">
        <f t="shared" si="21"/>
        <v>NorthBound</v>
      </c>
      <c r="U90" s="10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https://search-rtdc-monitor-bjffxe2xuh6vdkpspy63sjmuny.us-east-1.es.amazonaws.com/_plugin/kibana/#/discover/Steve-Slow-Train-Analysis-(2080s-and-2083s)?_g=(refreshInterval:(display:Off,section:0,value:0),time:(from:'2016-06-14 14:25:00-0600',mode:absolute,to:'2016-06-14 15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0" s="73" t="str">
        <f t="shared" si="26"/>
        <v>N</v>
      </c>
      <c r="X90" s="73">
        <f>VALUE(LEFT(A90,3))-VALUE(LEFT(A89,3))</f>
        <v>1</v>
      </c>
      <c r="Y90" s="73">
        <f>RIGHT(D90,LEN(D90)-4)/10000</f>
        <v>4.53E-2</v>
      </c>
      <c r="Z90" s="73">
        <f>RIGHT(H90,LEN(H90)-4)/10000</f>
        <v>23.331199999999999</v>
      </c>
      <c r="AA90" s="73">
        <f t="shared" si="27"/>
        <v>23.285899999999998</v>
      </c>
      <c r="AB90" s="74" t="e">
        <f>VLOOKUP(A90,Enforcements!$C$20:$J$60,8,0)</f>
        <v>#N/A</v>
      </c>
      <c r="AC90" s="74" t="e">
        <f>VLOOKUP(A90,Enforcements!$C$20:$J$60,3,0)</f>
        <v>#N/A</v>
      </c>
    </row>
    <row r="91" spans="1:29" s="2" customFormat="1" x14ac:dyDescent="0.25">
      <c r="A91" s="60" t="s">
        <v>350</v>
      </c>
      <c r="B91" s="60">
        <v>4026</v>
      </c>
      <c r="C91" s="60" t="s">
        <v>62</v>
      </c>
      <c r="D91" s="60" t="s">
        <v>542</v>
      </c>
      <c r="E91" s="30">
        <v>42535.635659722226</v>
      </c>
      <c r="F91" s="30">
        <v>42535.636712962965</v>
      </c>
      <c r="G91" s="38">
        <v>1</v>
      </c>
      <c r="H91" s="30" t="s">
        <v>63</v>
      </c>
      <c r="I91" s="30">
        <v>42535.673206018517</v>
      </c>
      <c r="J91" s="60">
        <v>1</v>
      </c>
      <c r="K91" s="60" t="str">
        <f t="shared" si="16"/>
        <v>4025/4026</v>
      </c>
      <c r="L91" s="60" t="str">
        <f>VLOOKUP(A91,'Trips&amp;Operators'!$C$1:$E$9999,3,FALSE)</f>
        <v>STORY</v>
      </c>
      <c r="M91" s="12">
        <f t="shared" si="17"/>
        <v>3.6493055551545694E-2</v>
      </c>
      <c r="N91" s="13">
        <f t="shared" si="25"/>
        <v>52.5499999942258</v>
      </c>
      <c r="O91" s="13"/>
      <c r="P91" s="13"/>
      <c r="Q91" s="61"/>
      <c r="R91" s="61"/>
      <c r="S91" s="108">
        <f t="shared" si="20"/>
        <v>1</v>
      </c>
      <c r="T91" s="86" t="str">
        <f t="shared" si="21"/>
        <v>Southbound</v>
      </c>
      <c r="U91" s="109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https://search-rtdc-monitor-bjffxe2xuh6vdkpspy63sjmuny.us-east-1.es.amazonaws.com/_plugin/kibana/#/discover/Steve-Slow-Train-Analysis-(2080s-and-2083s)?_g=(refreshInterval:(display:Off,section:0,value:0),time:(from:'2016-06-14 15:14:21-0600',mode:absolute,to:'2016-06-14 16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1" s="73" t="str">
        <f t="shared" si="26"/>
        <v>N</v>
      </c>
      <c r="X91" s="73">
        <f>VALUE(LEFT(A91,3))-VALUE(LEFT(A90,3))</f>
        <v>1</v>
      </c>
      <c r="Y91" s="73">
        <f>RIGHT(D91,LEN(D91)-4)/10000</f>
        <v>23.300699999999999</v>
      </c>
      <c r="Z91" s="73">
        <f>RIGHT(H91,LEN(H91)-4)/10000</f>
        <v>1.4500000000000001E-2</v>
      </c>
      <c r="AA91" s="73">
        <f t="shared" si="27"/>
        <v>23.286199999999997</v>
      </c>
      <c r="AB91" s="74">
        <f>VLOOKUP(A91,Enforcements!$C$20:$J$60,8,0)</f>
        <v>1</v>
      </c>
      <c r="AC91" s="74" t="str">
        <f>VLOOKUP(A91,Enforcements!$C$20:$J$60,3,0)</f>
        <v>TRACK WARRANT AUTHORITY</v>
      </c>
    </row>
    <row r="92" spans="1:29" s="2" customFormat="1" x14ac:dyDescent="0.25">
      <c r="A92" s="60" t="s">
        <v>456</v>
      </c>
      <c r="B92" s="60">
        <v>4016</v>
      </c>
      <c r="C92" s="60" t="s">
        <v>62</v>
      </c>
      <c r="D92" s="60" t="s">
        <v>544</v>
      </c>
      <c r="E92" s="30">
        <v>42535.612581018519</v>
      </c>
      <c r="F92" s="30">
        <v>42535.613530092596</v>
      </c>
      <c r="G92" s="38">
        <v>1</v>
      </c>
      <c r="H92" s="30" t="s">
        <v>477</v>
      </c>
      <c r="I92" s="30">
        <v>42535.614386574074</v>
      </c>
      <c r="J92" s="60">
        <v>1</v>
      </c>
      <c r="K92" s="60" t="str">
        <f t="shared" si="16"/>
        <v>4015/4016</v>
      </c>
      <c r="L92" s="60" t="str">
        <f>VLOOKUP(A92,'Trips&amp;Operators'!$C$1:$E$9999,3,FALSE)</f>
        <v>LOZA</v>
      </c>
      <c r="M92" s="12">
        <f t="shared" si="17"/>
        <v>8.5648147796746343E-4</v>
      </c>
      <c r="N92" s="13"/>
      <c r="O92" s="13"/>
      <c r="P92" s="13">
        <f>24*60*SUM($M92:$M92)</f>
        <v>1.2333333282731473</v>
      </c>
      <c r="Q92" s="61"/>
      <c r="R92" s="61" t="s">
        <v>554</v>
      </c>
      <c r="S92" s="108">
        <f t="shared" si="20"/>
        <v>0.75</v>
      </c>
      <c r="T92" s="86" t="str">
        <f t="shared" si="21"/>
        <v>NorthBound</v>
      </c>
      <c r="U92" s="109">
        <f>COUNTIFS([1]Variables!$M$2:$M$19,IF(T92="NorthBound","&gt;=","&lt;=")&amp;Y92,[1]Variables!$M$2:$M$19,IF(T92="NorthBound","&lt;=","&gt;=")&amp;Z92)</f>
        <v>9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https://search-rtdc-monitor-bjffxe2xuh6vdkpspy63sjmuny.us-east-1.es.amazonaws.com/_plugin/kibana/#/discover/Steve-Slow-Train-Analysis-(2080s-and-2083s)?_g=(refreshInterval:(display:Off,section:0,value:0),time:(from:'2016-06-14 14:41:07-0600',mode:absolute,to:'2016-06-14 14:45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2" s="73" t="str">
        <f t="shared" si="26"/>
        <v>Y</v>
      </c>
      <c r="X92" s="73">
        <f>VALUE(LEFT(A92,3))-VALUE(LEFT(A91,3))</f>
        <v>1</v>
      </c>
      <c r="Y92" s="73">
        <f>RIGHT(D92,LEN(D92)-4)/10000</f>
        <v>3.9113000000000002</v>
      </c>
      <c r="Z92" s="73">
        <f>RIGHT(H92,LEN(H92)-4)/10000</f>
        <v>23.3293</v>
      </c>
      <c r="AA92" s="73">
        <f t="shared" si="27"/>
        <v>19.417999999999999</v>
      </c>
      <c r="AB92" s="74" t="e">
        <f>VLOOKUP(A92,Enforcements!$C$20:$J$60,8,0)</f>
        <v>#N/A</v>
      </c>
      <c r="AC92" s="74" t="e">
        <f>VLOOKUP(A92,Enforcements!$C$20:$J$60,3,0)</f>
        <v>#N/A</v>
      </c>
    </row>
    <row r="93" spans="1:29" s="2" customFormat="1" x14ac:dyDescent="0.25">
      <c r="A93" s="60" t="s">
        <v>443</v>
      </c>
      <c r="B93" s="60">
        <v>4015</v>
      </c>
      <c r="C93" s="60" t="s">
        <v>62</v>
      </c>
      <c r="D93" s="60" t="s">
        <v>535</v>
      </c>
      <c r="E93" s="30">
        <v>42535.65048611111</v>
      </c>
      <c r="F93" s="30">
        <v>42535.651539351849</v>
      </c>
      <c r="G93" s="38">
        <v>1</v>
      </c>
      <c r="H93" s="30" t="s">
        <v>540</v>
      </c>
      <c r="I93" s="30">
        <v>42535.682962962965</v>
      </c>
      <c r="J93" s="60">
        <v>0</v>
      </c>
      <c r="K93" s="60" t="str">
        <f t="shared" si="16"/>
        <v>4015/4016</v>
      </c>
      <c r="L93" s="60" t="str">
        <f>VLOOKUP(A93,'Trips&amp;Operators'!$C$1:$E$9999,3,FALSE)</f>
        <v>LOZA</v>
      </c>
      <c r="M93" s="12">
        <f t="shared" si="17"/>
        <v>3.1423611115314998E-2</v>
      </c>
      <c r="N93" s="13">
        <f t="shared" ref="N93:N101" si="28">24*60*SUM($M93:$M93)</f>
        <v>45.250000006053597</v>
      </c>
      <c r="O93" s="13"/>
      <c r="P93" s="13"/>
      <c r="Q93" s="61"/>
      <c r="R93" s="61"/>
      <c r="S93" s="108">
        <f t="shared" si="20"/>
        <v>1</v>
      </c>
      <c r="T93" s="86" t="str">
        <f t="shared" si="21"/>
        <v>Southbound</v>
      </c>
      <c r="U93" s="10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https://search-rtdc-monitor-bjffxe2xuh6vdkpspy63sjmuny.us-east-1.es.amazonaws.com/_plugin/kibana/#/discover/Steve-Slow-Train-Analysis-(2080s-and-2083s)?_g=(refreshInterval:(display:Off,section:0,value:0),time:(from:'2016-06-14 15:35:42-0600',mode:absolute,to:'2016-06-14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3" s="73" t="str">
        <f t="shared" si="26"/>
        <v>N</v>
      </c>
      <c r="X93" s="73">
        <f>VALUE(LEFT(A93,3))-VALUE(LEFT(A92,3))</f>
        <v>1</v>
      </c>
      <c r="Y93" s="73">
        <f>RIGHT(D93,LEN(D93)-4)/10000</f>
        <v>23.3004</v>
      </c>
      <c r="Z93" s="73">
        <f>RIGHT(H93,LEN(H93)-4)/10000</f>
        <v>0.1216</v>
      </c>
      <c r="AA93" s="73">
        <f t="shared" si="27"/>
        <v>23.178799999999999</v>
      </c>
      <c r="AB93" s="74" t="e">
        <f>VLOOKUP(A93,Enforcements!$C$20:$J$60,8,0)</f>
        <v>#N/A</v>
      </c>
      <c r="AC93" s="74" t="e">
        <f>VLOOKUP(A93,Enforcements!$C$20:$J$60,3,0)</f>
        <v>#N/A</v>
      </c>
    </row>
    <row r="94" spans="1:29" s="2" customFormat="1" x14ac:dyDescent="0.25">
      <c r="A94" s="60" t="s">
        <v>413</v>
      </c>
      <c r="B94" s="60">
        <v>4009</v>
      </c>
      <c r="C94" s="60" t="s">
        <v>62</v>
      </c>
      <c r="D94" s="60" t="s">
        <v>77</v>
      </c>
      <c r="E94" s="30">
        <v>42535.621261574073</v>
      </c>
      <c r="F94" s="30">
        <v>42535.62222222222</v>
      </c>
      <c r="G94" s="38">
        <v>1</v>
      </c>
      <c r="H94" s="30" t="s">
        <v>543</v>
      </c>
      <c r="I94" s="30">
        <v>42535.651041666664</v>
      </c>
      <c r="J94" s="60">
        <v>0</v>
      </c>
      <c r="K94" s="60" t="str">
        <f t="shared" si="16"/>
        <v>4009/4010</v>
      </c>
      <c r="L94" s="60" t="str">
        <f>VLOOKUP(A94,'Trips&amp;Operators'!$C$1:$E$9999,3,FALSE)</f>
        <v>REBOLETTI</v>
      </c>
      <c r="M94" s="12">
        <f t="shared" si="17"/>
        <v>2.8819444443797693E-2</v>
      </c>
      <c r="N94" s="13">
        <f t="shared" si="28"/>
        <v>41.499999999068677</v>
      </c>
      <c r="O94" s="13"/>
      <c r="P94" s="13"/>
      <c r="Q94" s="61"/>
      <c r="R94" s="61"/>
      <c r="S94" s="108">
        <f t="shared" si="20"/>
        <v>1</v>
      </c>
      <c r="T94" s="86" t="str">
        <f t="shared" si="21"/>
        <v>NorthBound</v>
      </c>
      <c r="U94" s="10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https://search-rtdc-monitor-bjffxe2xuh6vdkpspy63sjmuny.us-east-1.es.amazonaws.com/_plugin/kibana/#/discover/Steve-Slow-Train-Analysis-(2080s-and-2083s)?_g=(refreshInterval:(display:Off,section:0,value:0),time:(from:'2016-06-14 14:53:37-0600',mode:absolute,to:'2016-06-14 15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4" s="73" t="str">
        <f t="shared" si="26"/>
        <v>N</v>
      </c>
      <c r="X94" s="73">
        <f>VALUE(LEFT(A94,3))-VALUE(LEFT(A93,3))</f>
        <v>1</v>
      </c>
      <c r="Y94" s="73">
        <f>RIGHT(D94,LEN(D94)-4)/10000</f>
        <v>4.5999999999999999E-2</v>
      </c>
      <c r="Z94" s="73">
        <f>RIGHT(H94,LEN(H94)-4)/10000</f>
        <v>23.328399999999998</v>
      </c>
      <c r="AA94" s="73">
        <f t="shared" si="27"/>
        <v>23.282399999999999</v>
      </c>
      <c r="AB94" s="74" t="e">
        <f>VLOOKUP(A94,Enforcements!$C$20:$J$60,8,0)</f>
        <v>#N/A</v>
      </c>
      <c r="AC94" s="74" t="e">
        <f>VLOOKUP(A94,Enforcements!$C$20:$J$60,3,0)</f>
        <v>#N/A</v>
      </c>
    </row>
    <row r="95" spans="1:29" s="2" customFormat="1" x14ac:dyDescent="0.25">
      <c r="A95" s="60" t="s">
        <v>352</v>
      </c>
      <c r="B95" s="60">
        <v>4010</v>
      </c>
      <c r="C95" s="60" t="s">
        <v>62</v>
      </c>
      <c r="D95" s="60" t="s">
        <v>120</v>
      </c>
      <c r="E95" s="30">
        <v>42535.660578703704</v>
      </c>
      <c r="F95" s="30">
        <v>42535.66170138889</v>
      </c>
      <c r="G95" s="38">
        <v>1</v>
      </c>
      <c r="H95" s="30" t="s">
        <v>72</v>
      </c>
      <c r="I95" s="30">
        <v>42535.691527777781</v>
      </c>
      <c r="J95" s="60">
        <v>1</v>
      </c>
      <c r="K95" s="60" t="str">
        <f t="shared" si="16"/>
        <v>4009/4010</v>
      </c>
      <c r="L95" s="60" t="str">
        <f>VLOOKUP(A95,'Trips&amp;Operators'!$C$1:$E$9999,3,FALSE)</f>
        <v>REBOLETTI</v>
      </c>
      <c r="M95" s="12">
        <f t="shared" si="17"/>
        <v>2.9826388890796807E-2</v>
      </c>
      <c r="N95" s="13">
        <f t="shared" si="28"/>
        <v>42.950000002747402</v>
      </c>
      <c r="O95" s="13"/>
      <c r="P95" s="13"/>
      <c r="Q95" s="61"/>
      <c r="R95" s="61"/>
      <c r="S95" s="108">
        <f t="shared" si="20"/>
        <v>1</v>
      </c>
      <c r="T95" s="86" t="str">
        <f t="shared" si="21"/>
        <v>Southbound</v>
      </c>
      <c r="U95" s="10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https://search-rtdc-monitor-bjffxe2xuh6vdkpspy63sjmuny.us-east-1.es.amazonaws.com/_plugin/kibana/#/discover/Steve-Slow-Train-Analysis-(2080s-and-2083s)?_g=(refreshInterval:(display:Off,section:0,value:0),time:(from:'2016-06-14 15:50:14-0600',mode:absolute,to:'2016-06-14 16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5" s="73" t="str">
        <f t="shared" si="26"/>
        <v>N</v>
      </c>
      <c r="X95" s="73">
        <f>VALUE(LEFT(A95,3))-VALUE(LEFT(A94,3))</f>
        <v>1</v>
      </c>
      <c r="Y95" s="73">
        <f>RIGHT(D95,LEN(D95)-4)/10000</f>
        <v>23.298200000000001</v>
      </c>
      <c r="Z95" s="73">
        <f>RIGHT(H95,LEN(H95)-4)/10000</f>
        <v>1.4999999999999999E-2</v>
      </c>
      <c r="AA95" s="73">
        <f t="shared" si="27"/>
        <v>23.283200000000001</v>
      </c>
      <c r="AB95" s="74">
        <f>VLOOKUP(A95,Enforcements!$C$20:$J$60,8,0)</f>
        <v>1</v>
      </c>
      <c r="AC95" s="74" t="str">
        <f>VLOOKUP(A95,Enforcements!$C$20:$J$60,3,0)</f>
        <v>TRACK WARRANT AUTHORITY</v>
      </c>
    </row>
    <row r="96" spans="1:29" s="2" customFormat="1" x14ac:dyDescent="0.25">
      <c r="A96" s="60" t="s">
        <v>349</v>
      </c>
      <c r="B96" s="60">
        <v>4024</v>
      </c>
      <c r="C96" s="60" t="s">
        <v>62</v>
      </c>
      <c r="D96" s="60" t="s">
        <v>495</v>
      </c>
      <c r="E96" s="30">
        <v>42535.636238425926</v>
      </c>
      <c r="F96" s="30">
        <v>42535.637083333335</v>
      </c>
      <c r="G96" s="38">
        <v>1</v>
      </c>
      <c r="H96" s="30" t="s">
        <v>541</v>
      </c>
      <c r="I96" s="30">
        <v>42535.663715277777</v>
      </c>
      <c r="J96" s="60">
        <v>1</v>
      </c>
      <c r="K96" s="60" t="str">
        <f t="shared" si="16"/>
        <v>4023/4024</v>
      </c>
      <c r="L96" s="60" t="str">
        <f>VLOOKUP(A96,'Trips&amp;Operators'!$C$1:$E$9999,3,FALSE)</f>
        <v>BRABO</v>
      </c>
      <c r="M96" s="12">
        <f t="shared" si="17"/>
        <v>2.6631944441760425E-2</v>
      </c>
      <c r="N96" s="13">
        <f t="shared" si="28"/>
        <v>38.349999996135011</v>
      </c>
      <c r="O96" s="13"/>
      <c r="P96" s="13"/>
      <c r="Q96" s="61"/>
      <c r="R96" s="61"/>
      <c r="S96" s="108">
        <f t="shared" si="20"/>
        <v>1</v>
      </c>
      <c r="T96" s="86" t="str">
        <f t="shared" si="21"/>
        <v>NorthBound</v>
      </c>
      <c r="U96" s="109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https://search-rtdc-monitor-bjffxe2xuh6vdkpspy63sjmuny.us-east-1.es.amazonaws.com/_plugin/kibana/#/discover/Steve-Slow-Train-Analysis-(2080s-and-2083s)?_g=(refreshInterval:(display:Off,section:0,value:0),time:(from:'2016-06-14 15:15:11-0600',mode:absolute,to:'2016-06-14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73" t="str">
        <f t="shared" si="26"/>
        <v>N</v>
      </c>
      <c r="X96" s="73">
        <f>VALUE(LEFT(A96,3))-VALUE(LEFT(A95,3))</f>
        <v>1</v>
      </c>
      <c r="Y96" s="73">
        <f>RIGHT(D96,LEN(D96)-4)/10000</f>
        <v>4.2599999999999999E-2</v>
      </c>
      <c r="Z96" s="73">
        <f>RIGHT(H96,LEN(H96)-4)/10000</f>
        <v>23.3306</v>
      </c>
      <c r="AA96" s="73">
        <f t="shared" si="27"/>
        <v>23.288</v>
      </c>
      <c r="AB96" s="74" t="e">
        <f>VLOOKUP(A96,Enforcements!$C$20:$J$60,8,0)</f>
        <v>#N/A</v>
      </c>
      <c r="AC96" s="74" t="e">
        <f>VLOOKUP(A96,Enforcements!$C$20:$J$60,3,0)</f>
        <v>#N/A</v>
      </c>
    </row>
    <row r="97" spans="1:29" s="2" customFormat="1" x14ac:dyDescent="0.25">
      <c r="A97" s="60" t="s">
        <v>351</v>
      </c>
      <c r="B97" s="60">
        <v>4023</v>
      </c>
      <c r="C97" s="60" t="s">
        <v>62</v>
      </c>
      <c r="D97" s="60" t="s">
        <v>305</v>
      </c>
      <c r="E97" s="30">
        <v>42535.670497685183</v>
      </c>
      <c r="F97" s="30">
        <v>42535.671724537038</v>
      </c>
      <c r="G97" s="38">
        <v>1</v>
      </c>
      <c r="H97" s="30" t="s">
        <v>88</v>
      </c>
      <c r="I97" s="30">
        <v>42535.707291666666</v>
      </c>
      <c r="J97" s="60">
        <v>1</v>
      </c>
      <c r="K97" s="60" t="str">
        <f t="shared" si="16"/>
        <v>4023/4024</v>
      </c>
      <c r="L97" s="60" t="str">
        <f>VLOOKUP(A97,'Trips&amp;Operators'!$C$1:$E$9999,3,FALSE)</f>
        <v>BRABO</v>
      </c>
      <c r="M97" s="12">
        <f t="shared" si="17"/>
        <v>3.5567129627452232E-2</v>
      </c>
      <c r="N97" s="13">
        <f t="shared" si="28"/>
        <v>51.216666663531214</v>
      </c>
      <c r="O97" s="13"/>
      <c r="P97" s="13"/>
      <c r="Q97" s="61"/>
      <c r="R97" s="61"/>
      <c r="S97" s="108">
        <f t="shared" si="20"/>
        <v>1</v>
      </c>
      <c r="T97" s="86" t="str">
        <f t="shared" si="21"/>
        <v>Southbound</v>
      </c>
      <c r="U97" s="10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https://search-rtdc-monitor-bjffxe2xuh6vdkpspy63sjmuny.us-east-1.es.amazonaws.com/_plugin/kibana/#/discover/Steve-Slow-Train-Analysis-(2080s-and-2083s)?_g=(refreshInterval:(display:Off,section:0,value:0),time:(from:'2016-06-14 16:04:31-0600',mode:absolute,to:'2016-06-14 16:59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73" t="str">
        <f t="shared" si="26"/>
        <v>N</v>
      </c>
      <c r="X97" s="73">
        <f>VALUE(LEFT(A97,3))-VALUE(LEFT(A96,3))</f>
        <v>1</v>
      </c>
      <c r="Y97" s="73">
        <f>RIGHT(D97,LEN(D97)-4)/10000</f>
        <v>23.299299999999999</v>
      </c>
      <c r="Z97" s="73">
        <f>RIGHT(H97,LEN(H97)-4)/10000</f>
        <v>1.41E-2</v>
      </c>
      <c r="AA97" s="73">
        <f t="shared" si="27"/>
        <v>23.2852</v>
      </c>
      <c r="AB97" s="74">
        <f>VLOOKUP(A97,Enforcements!$C$20:$J$60,8,0)</f>
        <v>191723</v>
      </c>
      <c r="AC97" s="74" t="str">
        <f>VLOOKUP(A97,Enforcements!$C$20:$J$60,3,0)</f>
        <v>SIGNAL</v>
      </c>
    </row>
    <row r="98" spans="1:29" s="2" customFormat="1" x14ac:dyDescent="0.25">
      <c r="A98" s="60" t="s">
        <v>369</v>
      </c>
      <c r="B98" s="60">
        <v>4020</v>
      </c>
      <c r="C98" s="60" t="s">
        <v>62</v>
      </c>
      <c r="D98" s="60" t="s">
        <v>64</v>
      </c>
      <c r="E98" s="30">
        <v>42535.644513888888</v>
      </c>
      <c r="F98" s="30">
        <v>42535.645162037035</v>
      </c>
      <c r="G98" s="38">
        <v>0</v>
      </c>
      <c r="H98" s="30" t="s">
        <v>522</v>
      </c>
      <c r="I98" s="30">
        <v>42535.671423611115</v>
      </c>
      <c r="J98" s="60">
        <v>0</v>
      </c>
      <c r="K98" s="60" t="str">
        <f t="shared" si="16"/>
        <v>4019/4020</v>
      </c>
      <c r="L98" s="60" t="str">
        <f>VLOOKUP(A98,'Trips&amp;Operators'!$C$1:$E$9999,3,FALSE)</f>
        <v>BEAM</v>
      </c>
      <c r="M98" s="12">
        <f t="shared" si="17"/>
        <v>2.6261574079398997E-2</v>
      </c>
      <c r="N98" s="13">
        <f t="shared" si="28"/>
        <v>37.816666674334556</v>
      </c>
      <c r="O98" s="13"/>
      <c r="P98" s="13"/>
      <c r="Q98" s="61"/>
      <c r="R98" s="61"/>
      <c r="S98" s="108">
        <f t="shared" si="20"/>
        <v>1</v>
      </c>
      <c r="T98" s="86" t="str">
        <f t="shared" si="21"/>
        <v>NorthBound</v>
      </c>
      <c r="U98" s="10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https://search-rtdc-monitor-bjffxe2xuh6vdkpspy63sjmuny.us-east-1.es.amazonaws.com/_plugin/kibana/#/discover/Steve-Slow-Train-Analysis-(2080s-and-2083s)?_g=(refreshInterval:(display:Off,section:0,value:0),time:(from:'2016-06-14 15:27:06-0600',mode:absolute,to:'2016-06-14 16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73" t="str">
        <f t="shared" si="26"/>
        <v>N</v>
      </c>
      <c r="X98" s="73">
        <f>VALUE(LEFT(A98,3))-VALUE(LEFT(A97,3))</f>
        <v>1</v>
      </c>
      <c r="Y98" s="73">
        <f>RIGHT(D98,LEN(D98)-4)/10000</f>
        <v>4.5499999999999999E-2</v>
      </c>
      <c r="Z98" s="73">
        <f>RIGHT(H98,LEN(H98)-4)/10000</f>
        <v>23.332000000000001</v>
      </c>
      <c r="AA98" s="73">
        <f t="shared" si="27"/>
        <v>23.2865</v>
      </c>
      <c r="AB98" s="74" t="e">
        <f>VLOOKUP(A98,Enforcements!$C$20:$J$60,8,0)</f>
        <v>#N/A</v>
      </c>
      <c r="AC98" s="74" t="e">
        <f>VLOOKUP(A98,Enforcements!$C$20:$J$60,3,0)</f>
        <v>#N/A</v>
      </c>
    </row>
    <row r="99" spans="1:29" s="2" customFormat="1" x14ac:dyDescent="0.25">
      <c r="A99" s="60" t="s">
        <v>374</v>
      </c>
      <c r="B99" s="60">
        <v>4019</v>
      </c>
      <c r="C99" s="60" t="s">
        <v>62</v>
      </c>
      <c r="D99" s="60" t="s">
        <v>302</v>
      </c>
      <c r="E99" s="30">
        <v>42535.680763888886</v>
      </c>
      <c r="F99" s="30">
        <v>42535.681446759256</v>
      </c>
      <c r="G99" s="38">
        <v>0</v>
      </c>
      <c r="H99" s="30" t="s">
        <v>88</v>
      </c>
      <c r="I99" s="30">
        <v>42535.712199074071</v>
      </c>
      <c r="J99" s="60">
        <v>0</v>
      </c>
      <c r="K99" s="60" t="str">
        <f t="shared" ref="K99:K130" si="29">IF(ISEVEN(B99),(B99-1)&amp;"/"&amp;B99,B99&amp;"/"&amp;(B99+1))</f>
        <v>4019/4020</v>
      </c>
      <c r="L99" s="60" t="str">
        <f>VLOOKUP(A99,'Trips&amp;Operators'!$C$1:$E$9999,3,FALSE)</f>
        <v>BEAM</v>
      </c>
      <c r="M99" s="12">
        <f t="shared" ref="M99:M130" si="30">I99-F99</f>
        <v>3.0752314814890269E-2</v>
      </c>
      <c r="N99" s="13">
        <f t="shared" si="28"/>
        <v>44.283333333441988</v>
      </c>
      <c r="O99" s="13"/>
      <c r="P99" s="13"/>
      <c r="Q99" s="61"/>
      <c r="R99" s="61"/>
      <c r="S99" s="108">
        <f t="shared" si="20"/>
        <v>1</v>
      </c>
      <c r="T99" s="86" t="str">
        <f t="shared" si="21"/>
        <v>Southbound</v>
      </c>
      <c r="U99" s="10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https://search-rtdc-monitor-bjffxe2xuh6vdkpspy63sjmuny.us-east-1.es.amazonaws.com/_plugin/kibana/#/discover/Steve-Slow-Train-Analysis-(2080s-and-2083s)?_g=(refreshInterval:(display:Off,section:0,value:0),time:(from:'2016-06-14 16:19:18-0600',mode:absolute,to:'2016-06-14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73" t="str">
        <f t="shared" si="26"/>
        <v>N</v>
      </c>
      <c r="X99" s="73">
        <f>VALUE(LEFT(A99,3))-VALUE(LEFT(A98,3))</f>
        <v>1</v>
      </c>
      <c r="Y99" s="73">
        <f>RIGHT(D99,LEN(D99)-4)/10000</f>
        <v>23.299199999999999</v>
      </c>
      <c r="Z99" s="73">
        <f>RIGHT(H99,LEN(H99)-4)/10000</f>
        <v>1.41E-2</v>
      </c>
      <c r="AA99" s="73">
        <f t="shared" si="27"/>
        <v>23.2851</v>
      </c>
      <c r="AB99" s="74" t="e">
        <f>VLOOKUP(A99,Enforcements!$C$20:$J$60,8,0)</f>
        <v>#N/A</v>
      </c>
      <c r="AC99" s="74" t="e">
        <f>VLOOKUP(A99,Enforcements!$C$20:$J$60,3,0)</f>
        <v>#N/A</v>
      </c>
    </row>
    <row r="100" spans="1:29" s="2" customFormat="1" x14ac:dyDescent="0.25">
      <c r="A100" s="60" t="s">
        <v>432</v>
      </c>
      <c r="B100" s="60">
        <v>4040</v>
      </c>
      <c r="C100" s="60" t="s">
        <v>62</v>
      </c>
      <c r="D100" s="60" t="s">
        <v>539</v>
      </c>
      <c r="E100" s="30">
        <v>42535.656238425923</v>
      </c>
      <c r="F100" s="30">
        <v>42535.657187500001</v>
      </c>
      <c r="G100" s="38">
        <v>1</v>
      </c>
      <c r="H100" s="30" t="s">
        <v>536</v>
      </c>
      <c r="I100" s="30">
        <v>42535.68378472222</v>
      </c>
      <c r="J100" s="60">
        <v>0</v>
      </c>
      <c r="K100" s="60" t="str">
        <f t="shared" si="29"/>
        <v>4039/4040</v>
      </c>
      <c r="L100" s="60" t="str">
        <f>VLOOKUP(A100,'Trips&amp;Operators'!$C$1:$E$9999,3,FALSE)</f>
        <v>YOUNG</v>
      </c>
      <c r="M100" s="12">
        <f t="shared" si="30"/>
        <v>2.6597222218697425E-2</v>
      </c>
      <c r="N100" s="13">
        <f t="shared" si="28"/>
        <v>38.299999994924292</v>
      </c>
      <c r="O100" s="13"/>
      <c r="P100" s="13"/>
      <c r="Q100" s="61"/>
      <c r="R100" s="61"/>
      <c r="S100" s="108">
        <f t="shared" si="20"/>
        <v>1</v>
      </c>
      <c r="T100" s="86" t="str">
        <f t="shared" si="21"/>
        <v>NorthBound</v>
      </c>
      <c r="U100" s="10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https://search-rtdc-monitor-bjffxe2xuh6vdkpspy63sjmuny.us-east-1.es.amazonaws.com/_plugin/kibana/#/discover/Steve-Slow-Train-Analysis-(2080s-and-2083s)?_g=(refreshInterval:(display:Off,section:0,value:0),time:(from:'2016-06-14 15:43:59-0600',mode:absolute,to:'2016-06-14 16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0" s="73" t="str">
        <f t="shared" si="26"/>
        <v>N</v>
      </c>
      <c r="X100" s="73">
        <f>VALUE(LEFT(A100,3))-VALUE(LEFT(A99,3))</f>
        <v>1</v>
      </c>
      <c r="Y100" s="73">
        <f>RIGHT(D100,LEN(D100)-4)/10000</f>
        <v>4.8000000000000001E-2</v>
      </c>
      <c r="Z100" s="73">
        <f>RIGHT(H100,LEN(H100)-4)/10000</f>
        <v>23.332899999999999</v>
      </c>
      <c r="AA100" s="73">
        <f t="shared" si="27"/>
        <v>23.2849</v>
      </c>
      <c r="AB100" s="74" t="e">
        <f>VLOOKUP(A100,Enforcements!$C$20:$J$60,8,0)</f>
        <v>#N/A</v>
      </c>
      <c r="AC100" s="74" t="e">
        <f>VLOOKUP(A100,Enforcements!$C$20:$J$60,3,0)</f>
        <v>#N/A</v>
      </c>
    </row>
    <row r="101" spans="1:29" s="2" customFormat="1" x14ac:dyDescent="0.25">
      <c r="A101" s="60" t="s">
        <v>394</v>
      </c>
      <c r="B101" s="60">
        <v>4039</v>
      </c>
      <c r="C101" s="60" t="s">
        <v>62</v>
      </c>
      <c r="D101" s="60" t="s">
        <v>535</v>
      </c>
      <c r="E101" s="30">
        <v>42535.688819444447</v>
      </c>
      <c r="F101" s="30">
        <v>42535.689837962964</v>
      </c>
      <c r="G101" s="38">
        <v>1</v>
      </c>
      <c r="H101" s="30" t="s">
        <v>476</v>
      </c>
      <c r="I101" s="30">
        <v>42535.725891203707</v>
      </c>
      <c r="J101" s="60">
        <v>0</v>
      </c>
      <c r="K101" s="60" t="str">
        <f t="shared" si="29"/>
        <v>4039/4040</v>
      </c>
      <c r="L101" s="60" t="str">
        <f>VLOOKUP(A101,'Trips&amp;Operators'!$C$1:$E$9999,3,FALSE)</f>
        <v>YOUNG</v>
      </c>
      <c r="M101" s="12">
        <f t="shared" si="30"/>
        <v>3.6053240743058268E-2</v>
      </c>
      <c r="N101" s="13">
        <f t="shared" si="28"/>
        <v>51.916666670003906</v>
      </c>
      <c r="O101" s="13"/>
      <c r="P101" s="13"/>
      <c r="Q101" s="61"/>
      <c r="R101" s="61"/>
      <c r="S101" s="108">
        <f t="shared" si="20"/>
        <v>1</v>
      </c>
      <c r="T101" s="86" t="str">
        <f t="shared" si="21"/>
        <v>Southbound</v>
      </c>
      <c r="U101" s="10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https://search-rtdc-monitor-bjffxe2xuh6vdkpspy63sjmuny.us-east-1.es.amazonaws.com/_plugin/kibana/#/discover/Steve-Slow-Train-Analysis-(2080s-and-2083s)?_g=(refreshInterval:(display:Off,section:0,value:0),time:(from:'2016-06-14 16:30:54-0600',mode:absolute,to:'2016-06-14 17:26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1" s="73" t="str">
        <f t="shared" si="26"/>
        <v>N</v>
      </c>
      <c r="X101" s="73">
        <f>VALUE(LEFT(A101,3))-VALUE(LEFT(A100,3))</f>
        <v>1</v>
      </c>
      <c r="Y101" s="73">
        <f>RIGHT(D101,LEN(D101)-4)/10000</f>
        <v>23.3004</v>
      </c>
      <c r="Z101" s="73">
        <f>RIGHT(H101,LEN(H101)-4)/10000</f>
        <v>1.34E-2</v>
      </c>
      <c r="AA101" s="73">
        <f t="shared" si="27"/>
        <v>23.286999999999999</v>
      </c>
      <c r="AB101" s="74" t="e">
        <f>VLOOKUP(A101,Enforcements!$C$20:$J$60,8,0)</f>
        <v>#N/A</v>
      </c>
      <c r="AC101" s="74" t="e">
        <f>VLOOKUP(A101,Enforcements!$C$20:$J$60,3,0)</f>
        <v>#N/A</v>
      </c>
    </row>
    <row r="102" spans="1:29" s="2" customFormat="1" x14ac:dyDescent="0.25">
      <c r="A102" s="60" t="s">
        <v>391</v>
      </c>
      <c r="B102" s="60">
        <v>4044</v>
      </c>
      <c r="C102" s="60" t="s">
        <v>62</v>
      </c>
      <c r="D102" s="60" t="s">
        <v>84</v>
      </c>
      <c r="E102" s="30">
        <v>42535.666273148148</v>
      </c>
      <c r="F102" s="30">
        <v>42535.667488425926</v>
      </c>
      <c r="G102" s="38">
        <v>1</v>
      </c>
      <c r="H102" s="30" t="s">
        <v>538</v>
      </c>
      <c r="I102" s="30">
        <v>42535.668796296297</v>
      </c>
      <c r="J102" s="60">
        <v>0</v>
      </c>
      <c r="K102" s="60" t="str">
        <f t="shared" si="29"/>
        <v>4043/4044</v>
      </c>
      <c r="L102" s="60" t="str">
        <f>VLOOKUP(A102,'Trips&amp;Operators'!$C$1:$E$9999,3,FALSE)</f>
        <v>COCA</v>
      </c>
      <c r="M102" s="12">
        <f t="shared" si="30"/>
        <v>1.3078703705104999E-3</v>
      </c>
      <c r="N102" s="13"/>
      <c r="O102" s="13"/>
      <c r="P102" s="13">
        <f>24*60*SUM($M102:$M103)</f>
        <v>42.683333326131105</v>
      </c>
      <c r="Q102" s="61"/>
      <c r="R102" s="61" t="s">
        <v>559</v>
      </c>
      <c r="S102" s="108">
        <f t="shared" si="20"/>
        <v>0</v>
      </c>
      <c r="T102" s="86" t="str">
        <f t="shared" si="21"/>
        <v>NorthBound</v>
      </c>
      <c r="U102" s="109">
        <f>COUNTIFS([1]Variables!$M$2:$M$19,IF(T102="NorthBound","&gt;=","&lt;=")&amp;Y102,[1]Variables!$M$2:$M$19,IF(T102="NorthBound","&lt;=","&gt;=")&amp;Z102)</f>
        <v>0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https://search-rtdc-monitor-bjffxe2xuh6vdkpspy63sjmuny.us-east-1.es.amazonaws.com/_plugin/kibana/#/discover/Steve-Slow-Train-Analysis-(2080s-and-2083s)?_g=(refreshInterval:(display:Off,section:0,value:0),time:(from:'2016-06-14 15:58:26-0600',mode:absolute,to:'2016-06-14 16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73" t="str">
        <f t="shared" si="26"/>
        <v>Y</v>
      </c>
      <c r="X102" s="73">
        <f>VALUE(LEFT(A102,3))-VALUE(LEFT(A101,3))</f>
        <v>1</v>
      </c>
      <c r="Y102" s="73">
        <f>RIGHT(D102,LEN(D102)-4)/10000</f>
        <v>4.6199999999999998E-2</v>
      </c>
      <c r="Z102" s="73">
        <f>RIGHT(H102,LEN(H102)-4)/10000</f>
        <v>0.24340000000000001</v>
      </c>
      <c r="AA102" s="73">
        <f t="shared" si="27"/>
        <v>0.19720000000000001</v>
      </c>
      <c r="AB102" s="74" t="e">
        <f>VLOOKUP(A102,Enforcements!$C$20:$J$60,8,0)</f>
        <v>#N/A</v>
      </c>
      <c r="AC102" s="74" t="e">
        <f>VLOOKUP(A102,Enforcements!$C$20:$J$60,3,0)</f>
        <v>#N/A</v>
      </c>
    </row>
    <row r="103" spans="1:29" s="2" customFormat="1" x14ac:dyDescent="0.25">
      <c r="A103" s="60" t="s">
        <v>391</v>
      </c>
      <c r="B103" s="60">
        <v>4044</v>
      </c>
      <c r="C103" s="60" t="s">
        <v>62</v>
      </c>
      <c r="D103" s="60" t="s">
        <v>537</v>
      </c>
      <c r="E103" s="30">
        <v>42535.669849537036</v>
      </c>
      <c r="F103" s="30">
        <v>42535.670451388891</v>
      </c>
      <c r="G103" s="38">
        <v>0</v>
      </c>
      <c r="H103" s="30" t="s">
        <v>109</v>
      </c>
      <c r="I103" s="30">
        <v>42535.698784722219</v>
      </c>
      <c r="J103" s="60">
        <v>0</v>
      </c>
      <c r="K103" s="60" t="str">
        <f t="shared" si="29"/>
        <v>4043/4044</v>
      </c>
      <c r="L103" s="60" t="str">
        <f>VLOOKUP(A103,'Trips&amp;Operators'!$C$1:$E$9999,3,FALSE)</f>
        <v>COCA</v>
      </c>
      <c r="M103" s="12">
        <f t="shared" si="30"/>
        <v>2.8333333328191657E-2</v>
      </c>
      <c r="N103" s="13"/>
      <c r="O103" s="13"/>
      <c r="P103" s="13"/>
      <c r="Q103" s="61"/>
      <c r="R103" s="61"/>
      <c r="S103" s="108">
        <f t="shared" si="20"/>
        <v>1</v>
      </c>
      <c r="T103" s="86" t="str">
        <f t="shared" si="21"/>
        <v>NorthBound</v>
      </c>
      <c r="U103" s="109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https://search-rtdc-monitor-bjffxe2xuh6vdkpspy63sjmuny.us-east-1.es.amazonaws.com/_plugin/kibana/#/discover/Steve-Slow-Train-Analysis-(2080s-and-2083s)?_g=(refreshInterval:(display:Off,section:0,value:0),time:(from:'2016-06-14 16:03:35-0600',mode:absolute,to:'2016-06-14 16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3" s="73" t="str">
        <f t="shared" si="26"/>
        <v>Y</v>
      </c>
      <c r="X103" s="73">
        <f>VALUE(LEFT(A103,3))-VALUE(LEFT(A102,3))</f>
        <v>0</v>
      </c>
      <c r="Y103" s="73">
        <f>RIGHT(D103,LEN(D103)-4)/10000</f>
        <v>0.56469999999999998</v>
      </c>
      <c r="Z103" s="73">
        <f>RIGHT(H103,LEN(H103)-4)/10000</f>
        <v>23.330300000000001</v>
      </c>
      <c r="AA103" s="73">
        <f t="shared" si="27"/>
        <v>22.765600000000003</v>
      </c>
      <c r="AB103" s="74" t="e">
        <f>VLOOKUP(A103,Enforcements!$C$20:$J$60,8,0)</f>
        <v>#N/A</v>
      </c>
      <c r="AC103" s="74" t="e">
        <f>VLOOKUP(A103,Enforcements!$C$20:$J$60,3,0)</f>
        <v>#N/A</v>
      </c>
    </row>
    <row r="104" spans="1:29" s="2" customFormat="1" x14ac:dyDescent="0.25">
      <c r="A104" s="60" t="s">
        <v>353</v>
      </c>
      <c r="B104" s="60">
        <v>4043</v>
      </c>
      <c r="C104" s="60" t="s">
        <v>62</v>
      </c>
      <c r="D104" s="60" t="s">
        <v>96</v>
      </c>
      <c r="E104" s="30">
        <v>42535.700624999998</v>
      </c>
      <c r="F104" s="30">
        <v>42535.701458333337</v>
      </c>
      <c r="G104" s="38">
        <v>1</v>
      </c>
      <c r="H104" s="30" t="s">
        <v>534</v>
      </c>
      <c r="I104" s="30">
        <v>42535.732777777775</v>
      </c>
      <c r="J104" s="60">
        <v>1</v>
      </c>
      <c r="K104" s="60" t="str">
        <f t="shared" si="29"/>
        <v>4043/4044</v>
      </c>
      <c r="L104" s="60" t="str">
        <f>VLOOKUP(A104,'Trips&amp;Operators'!$C$1:$E$9999,3,FALSE)</f>
        <v>COCA</v>
      </c>
      <c r="M104" s="12">
        <f t="shared" si="30"/>
        <v>3.1319444438850041E-2</v>
      </c>
      <c r="N104" s="13">
        <f t="shared" ref="N104:N147" si="31">24*60*SUM($M104:$M104)</f>
        <v>45.09999999194406</v>
      </c>
      <c r="O104" s="13"/>
      <c r="P104" s="13"/>
      <c r="Q104" s="61"/>
      <c r="R104" s="61"/>
      <c r="S104" s="108">
        <f t="shared" si="20"/>
        <v>1</v>
      </c>
      <c r="T104" s="86" t="str">
        <f t="shared" si="21"/>
        <v>Southbound</v>
      </c>
      <c r="U104" s="109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https://search-rtdc-monitor-bjffxe2xuh6vdkpspy63sjmuny.us-east-1.es.amazonaws.com/_plugin/kibana/#/discover/Steve-Slow-Train-Analysis-(2080s-and-2083s)?_g=(refreshInterval:(display:Off,section:0,value:0),time:(from:'2016-06-14 16:47:54-0600',mode:absolute,to:'2016-06-14 17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4" s="73" t="str">
        <f t="shared" si="26"/>
        <v>N</v>
      </c>
      <c r="X104" s="73">
        <f>VALUE(LEFT(A104,3))-VALUE(LEFT(A103,3))</f>
        <v>1</v>
      </c>
      <c r="Y104" s="73">
        <f>RIGHT(D104,LEN(D104)-4)/10000</f>
        <v>23.297799999999999</v>
      </c>
      <c r="Z104" s="73">
        <f>RIGHT(H104,LEN(H104)-4)/10000</f>
        <v>1.78E-2</v>
      </c>
      <c r="AA104" s="73">
        <f t="shared" si="27"/>
        <v>23.279999999999998</v>
      </c>
      <c r="AB104" s="74">
        <f>VLOOKUP(A104,Enforcements!$C$20:$J$60,8,0)</f>
        <v>1</v>
      </c>
      <c r="AC104" s="74" t="str">
        <f>VLOOKUP(A104,Enforcements!$C$20:$J$60,3,0)</f>
        <v>TRACK WARRANT AUTHORITY</v>
      </c>
    </row>
    <row r="105" spans="1:29" s="2" customFormat="1" x14ac:dyDescent="0.25">
      <c r="A105" s="60" t="s">
        <v>425</v>
      </c>
      <c r="B105" s="60">
        <v>4025</v>
      </c>
      <c r="C105" s="60" t="s">
        <v>62</v>
      </c>
      <c r="D105" s="60" t="s">
        <v>315</v>
      </c>
      <c r="E105" s="30">
        <v>42535.674664351849</v>
      </c>
      <c r="F105" s="30">
        <v>42535.67560185185</v>
      </c>
      <c r="G105" s="38">
        <v>1</v>
      </c>
      <c r="H105" s="30" t="s">
        <v>536</v>
      </c>
      <c r="I105" s="30">
        <v>42535.704513888886</v>
      </c>
      <c r="J105" s="60">
        <v>0</v>
      </c>
      <c r="K105" s="60" t="str">
        <f t="shared" si="29"/>
        <v>4025/4026</v>
      </c>
      <c r="L105" s="60" t="str">
        <f>VLOOKUP(A105,'Trips&amp;Operators'!$C$1:$E$9999,3,FALSE)</f>
        <v>STORY</v>
      </c>
      <c r="M105" s="12">
        <f t="shared" si="30"/>
        <v>2.8912037036207039E-2</v>
      </c>
      <c r="N105" s="13">
        <f t="shared" si="31"/>
        <v>41.633333332138136</v>
      </c>
      <c r="O105" s="13"/>
      <c r="P105" s="13"/>
      <c r="Q105" s="61"/>
      <c r="R105" s="61"/>
      <c r="S105" s="108">
        <f t="shared" si="20"/>
        <v>1</v>
      </c>
      <c r="T105" s="86" t="str">
        <f t="shared" si="21"/>
        <v>NorthBound</v>
      </c>
      <c r="U105" s="109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https://search-rtdc-monitor-bjffxe2xuh6vdkpspy63sjmuny.us-east-1.es.amazonaws.com/_plugin/kibana/#/discover/Steve-Slow-Train-Analysis-(2080s-and-2083s)?_g=(refreshInterval:(display:Off,section:0,value:0),time:(from:'2016-06-14 16:10:31-0600',mode:absolute,to:'2016-06-14 16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3" t="str">
        <f t="shared" si="26"/>
        <v>N</v>
      </c>
      <c r="X105" s="73">
        <f>VALUE(LEFT(A105,3))-VALUE(LEFT(A104,3))</f>
        <v>1</v>
      </c>
      <c r="Y105" s="73">
        <f>RIGHT(D105,LEN(D105)-4)/10000</f>
        <v>4.4400000000000002E-2</v>
      </c>
      <c r="Z105" s="73">
        <v>23.332899999999999</v>
      </c>
      <c r="AA105" s="73">
        <f t="shared" si="27"/>
        <v>23.288499999999999</v>
      </c>
      <c r="AB105" s="74" t="e">
        <f>VLOOKUP(A105,Enforcements!$C$20:$J$60,8,0)</f>
        <v>#N/A</v>
      </c>
      <c r="AC105" s="74" t="e">
        <f>VLOOKUP(A105,Enforcements!$C$20:$J$60,3,0)</f>
        <v>#N/A</v>
      </c>
    </row>
    <row r="106" spans="1:29" s="2" customFormat="1" x14ac:dyDescent="0.25">
      <c r="A106" s="60" t="s">
        <v>355</v>
      </c>
      <c r="B106" s="60">
        <v>4026</v>
      </c>
      <c r="C106" s="60" t="s">
        <v>62</v>
      </c>
      <c r="D106" s="60" t="s">
        <v>311</v>
      </c>
      <c r="E106" s="30">
        <v>42535.712905092594</v>
      </c>
      <c r="F106" s="30">
        <v>42535.714016203703</v>
      </c>
      <c r="G106" s="38">
        <v>1</v>
      </c>
      <c r="H106" s="30" t="s">
        <v>464</v>
      </c>
      <c r="I106" s="30">
        <v>42535.74417824074</v>
      </c>
      <c r="J106" s="60">
        <v>1</v>
      </c>
      <c r="K106" s="60" t="str">
        <f t="shared" si="29"/>
        <v>4025/4026</v>
      </c>
      <c r="L106" s="60" t="str">
        <f>VLOOKUP(A106,'Trips&amp;Operators'!$C$1:$E$9999,3,FALSE)</f>
        <v>STORY</v>
      </c>
      <c r="M106" s="12">
        <f t="shared" si="30"/>
        <v>3.0162037037371192E-2</v>
      </c>
      <c r="N106" s="13">
        <f t="shared" si="31"/>
        <v>43.433333333814517</v>
      </c>
      <c r="O106" s="13"/>
      <c r="P106" s="13"/>
      <c r="Q106" s="61"/>
      <c r="R106" s="61"/>
      <c r="S106" s="108">
        <f t="shared" si="20"/>
        <v>1</v>
      </c>
      <c r="T106" s="86" t="str">
        <f t="shared" si="21"/>
        <v>Southbound</v>
      </c>
      <c r="U106" s="10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https://search-rtdc-monitor-bjffxe2xuh6vdkpspy63sjmuny.us-east-1.es.amazonaws.com/_plugin/kibana/#/discover/Steve-Slow-Train-Analysis-(2080s-and-2083s)?_g=(refreshInterval:(display:Off,section:0,value:0),time:(from:'2016-06-14 17:05:35-0600',mode:absolute,to:'2016-06-14 17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3" t="str">
        <f t="shared" si="26"/>
        <v>N</v>
      </c>
      <c r="X106" s="73">
        <f>VALUE(LEFT(A106,3))-VALUE(LEFT(A105,3))</f>
        <v>1</v>
      </c>
      <c r="Y106" s="73">
        <f>RIGHT(D106,LEN(D106)-4)/10000</f>
        <v>23.301300000000001</v>
      </c>
      <c r="Z106" s="73">
        <f>RIGHT(H106,LEN(H106)-4)/10000</f>
        <v>1.38E-2</v>
      </c>
      <c r="AA106" s="73">
        <f t="shared" si="27"/>
        <v>23.287500000000001</v>
      </c>
      <c r="AB106" s="74">
        <f>VLOOKUP(A106,Enforcements!$C$20:$J$60,8,0)</f>
        <v>1</v>
      </c>
      <c r="AC106" s="74" t="str">
        <f>VLOOKUP(A106,Enforcements!$C$20:$J$60,3,0)</f>
        <v>TRACK WARRANT AUTHORITY</v>
      </c>
    </row>
    <row r="107" spans="1:29" s="2" customFormat="1" x14ac:dyDescent="0.25">
      <c r="A107" s="60" t="s">
        <v>424</v>
      </c>
      <c r="B107" s="60">
        <v>4007</v>
      </c>
      <c r="C107" s="60" t="s">
        <v>62</v>
      </c>
      <c r="D107" s="60" t="s">
        <v>94</v>
      </c>
      <c r="E107" s="30">
        <v>42535.688935185186</v>
      </c>
      <c r="F107" s="30">
        <v>42535.689953703702</v>
      </c>
      <c r="G107" s="38">
        <v>1</v>
      </c>
      <c r="H107" s="30" t="s">
        <v>80</v>
      </c>
      <c r="I107" s="30">
        <v>42535.719305555554</v>
      </c>
      <c r="J107" s="60">
        <v>0</v>
      </c>
      <c r="K107" s="60" t="str">
        <f t="shared" si="29"/>
        <v>4007/4008</v>
      </c>
      <c r="L107" s="60" t="str">
        <f>VLOOKUP(A107,'Trips&amp;Operators'!$C$1:$E$9999,3,FALSE)</f>
        <v>LOZA</v>
      </c>
      <c r="M107" s="12">
        <f t="shared" si="30"/>
        <v>2.9351851851970423E-2</v>
      </c>
      <c r="N107" s="13">
        <f t="shared" si="31"/>
        <v>42.266666666837409</v>
      </c>
      <c r="O107" s="13"/>
      <c r="P107" s="13"/>
      <c r="Q107" s="61"/>
      <c r="R107" s="61"/>
      <c r="S107" s="108">
        <f t="shared" si="20"/>
        <v>1</v>
      </c>
      <c r="T107" s="86" t="str">
        <f t="shared" si="21"/>
        <v>NorthBound</v>
      </c>
      <c r="U107" s="109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https://search-rtdc-monitor-bjffxe2xuh6vdkpspy63sjmuny.us-east-1.es.amazonaws.com/_plugin/kibana/#/discover/Steve-Slow-Train-Analysis-(2080s-and-2083s)?_g=(refreshInterval:(display:Off,section:0,value:0),time:(from:'2016-06-14 16:31:04-0600',mode:absolute,to:'2016-06-14 17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7" s="73" t="str">
        <f t="shared" si="26"/>
        <v>N</v>
      </c>
      <c r="X107" s="73">
        <f>VALUE(LEFT(A107,3))-VALUE(LEFT(A106,3))</f>
        <v>1</v>
      </c>
      <c r="Y107" s="73">
        <f>RIGHT(D107,LEN(D107)-4)/10000</f>
        <v>4.53E-2</v>
      </c>
      <c r="Z107" s="73">
        <f>RIGHT(H107,LEN(H107)-4)/10000</f>
        <v>23.331399999999999</v>
      </c>
      <c r="AA107" s="73">
        <f t="shared" si="27"/>
        <v>23.286099999999998</v>
      </c>
      <c r="AB107" s="74" t="e">
        <f>VLOOKUP(A107,Enforcements!$C$20:$J$60,8,0)</f>
        <v>#N/A</v>
      </c>
      <c r="AC107" s="74" t="e">
        <f>VLOOKUP(A107,Enforcements!$C$20:$J$60,3,0)</f>
        <v>#N/A</v>
      </c>
    </row>
    <row r="108" spans="1:29" s="2" customFormat="1" x14ac:dyDescent="0.25">
      <c r="A108" s="60" t="s">
        <v>406</v>
      </c>
      <c r="B108" s="60">
        <v>4008</v>
      </c>
      <c r="C108" s="60" t="s">
        <v>62</v>
      </c>
      <c r="D108" s="60" t="s">
        <v>312</v>
      </c>
      <c r="E108" s="30">
        <v>42535.724930555552</v>
      </c>
      <c r="F108" s="30">
        <v>42535.726736111108</v>
      </c>
      <c r="G108" s="38">
        <v>2</v>
      </c>
      <c r="H108" s="30" t="s">
        <v>66</v>
      </c>
      <c r="I108" s="30">
        <v>42535.753842592596</v>
      </c>
      <c r="J108" s="60">
        <v>0</v>
      </c>
      <c r="K108" s="60" t="str">
        <f t="shared" si="29"/>
        <v>4007/4008</v>
      </c>
      <c r="L108" s="60" t="str">
        <f>VLOOKUP(A108,'Trips&amp;Operators'!$C$1:$E$9999,3,FALSE)</f>
        <v>LOZA</v>
      </c>
      <c r="M108" s="12">
        <f t="shared" si="30"/>
        <v>2.7106481487862766E-2</v>
      </c>
      <c r="N108" s="13">
        <f t="shared" si="31"/>
        <v>39.033333342522383</v>
      </c>
      <c r="O108" s="13"/>
      <c r="P108" s="13"/>
      <c r="Q108" s="61"/>
      <c r="R108" s="61"/>
      <c r="S108" s="108">
        <f t="shared" si="20"/>
        <v>1</v>
      </c>
      <c r="T108" s="86" t="str">
        <f t="shared" si="21"/>
        <v>Southbound</v>
      </c>
      <c r="U108" s="109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https://search-rtdc-monitor-bjffxe2xuh6vdkpspy63sjmuny.us-east-1.es.amazonaws.com/_plugin/kibana/#/discover/Steve-Slow-Train-Analysis-(2080s-and-2083s)?_g=(refreshInterval:(display:Off,section:0,value:0),time:(from:'2016-06-14 17:22:54-0600',mode:absolute,to:'2016-06-14 18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8" s="73" t="str">
        <f t="shared" si="26"/>
        <v>N</v>
      </c>
      <c r="X108" s="73">
        <f>VALUE(LEFT(A108,3))-VALUE(LEFT(A107,3))</f>
        <v>1</v>
      </c>
      <c r="Y108" s="73">
        <f>RIGHT(D108,LEN(D108)-4)/10000</f>
        <v>23.2986</v>
      </c>
      <c r="Z108" s="73">
        <f>RIGHT(H108,LEN(H108)-4)/10000</f>
        <v>1.52E-2</v>
      </c>
      <c r="AA108" s="73">
        <f t="shared" si="27"/>
        <v>23.2834</v>
      </c>
      <c r="AB108" s="74" t="e">
        <f>VLOOKUP(A108,Enforcements!$C$20:$J$60,8,0)</f>
        <v>#N/A</v>
      </c>
      <c r="AC108" s="74" t="e">
        <f>VLOOKUP(A108,Enforcements!$C$20:$J$60,3,0)</f>
        <v>#N/A</v>
      </c>
    </row>
    <row r="109" spans="1:29" s="2" customFormat="1" x14ac:dyDescent="0.25">
      <c r="A109" s="60" t="s">
        <v>405</v>
      </c>
      <c r="B109" s="60">
        <v>4010</v>
      </c>
      <c r="C109" s="60" t="s">
        <v>62</v>
      </c>
      <c r="D109" s="60" t="s">
        <v>465</v>
      </c>
      <c r="E109" s="30">
        <v>42535.736562500002</v>
      </c>
      <c r="F109" s="30">
        <v>42535.737939814811</v>
      </c>
      <c r="G109" s="38">
        <v>1</v>
      </c>
      <c r="H109" s="30" t="s">
        <v>466</v>
      </c>
      <c r="I109" s="30">
        <v>42535.77034722222</v>
      </c>
      <c r="J109" s="60">
        <v>0</v>
      </c>
      <c r="K109" s="60" t="str">
        <f t="shared" si="29"/>
        <v>4009/4010</v>
      </c>
      <c r="L109" s="60" t="str">
        <f>VLOOKUP(A109,'Trips&amp;Operators'!$C$1:$E$9999,3,FALSE)</f>
        <v>REBOLETTI</v>
      </c>
      <c r="M109" s="12">
        <f t="shared" si="30"/>
        <v>3.2407407408754807E-2</v>
      </c>
      <c r="N109" s="13">
        <f t="shared" si="31"/>
        <v>46.666666668606922</v>
      </c>
      <c r="O109" s="13"/>
      <c r="P109" s="13"/>
      <c r="Q109" s="61"/>
      <c r="R109" s="61"/>
      <c r="S109" s="108">
        <f t="shared" si="20"/>
        <v>1</v>
      </c>
      <c r="T109" s="86" t="str">
        <f t="shared" si="21"/>
        <v>Southbound</v>
      </c>
      <c r="U109" s="10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https://search-rtdc-monitor-bjffxe2xuh6vdkpspy63sjmuny.us-east-1.es.amazonaws.com/_plugin/kibana/#/discover/Steve-Slow-Train-Analysis-(2080s-and-2083s)?_g=(refreshInterval:(display:Off,section:0,value:0),time:(from:'2016-06-14 17:39:39-0600',mode:absolute,to:'2016-06-14 18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9" s="73" t="str">
        <f t="shared" ref="W109" si="32">IF(AA109&lt;23,"Y","N")</f>
        <v>N</v>
      </c>
      <c r="X109" s="73">
        <f>VALUE(LEFT(A109,3))-VALUE(LEFT(A108,3))</f>
        <v>2</v>
      </c>
      <c r="Y109" s="73">
        <f>RIGHT(D109,LEN(D109)-4)/10000</f>
        <v>23.307600000000001</v>
      </c>
      <c r="Z109" s="73">
        <f>RIGHT(H109,LEN(H109)-4)/10000</f>
        <v>0.12130000000000001</v>
      </c>
      <c r="AA109" s="73">
        <f t="shared" ref="AA109" si="33">ABS(Z109-Y109)</f>
        <v>23.186299999999999</v>
      </c>
      <c r="AB109" s="74" t="e">
        <f>VLOOKUP(A109,Enforcements!$C$20:$J$60,8,0)</f>
        <v>#N/A</v>
      </c>
      <c r="AC109" s="74" t="e">
        <f>VLOOKUP(A109,Enforcements!$C$20:$J$60,3,0)</f>
        <v>#N/A</v>
      </c>
    </row>
    <row r="110" spans="1:29" s="2" customFormat="1" x14ac:dyDescent="0.25">
      <c r="A110" s="60" t="s">
        <v>354</v>
      </c>
      <c r="B110" s="60">
        <v>4024</v>
      </c>
      <c r="C110" s="60" t="s">
        <v>62</v>
      </c>
      <c r="D110" s="60" t="s">
        <v>86</v>
      </c>
      <c r="E110" s="30">
        <v>42535.711331018516</v>
      </c>
      <c r="F110" s="30">
        <v>42535.712280092594</v>
      </c>
      <c r="G110" s="38">
        <v>1</v>
      </c>
      <c r="H110" s="30" t="s">
        <v>282</v>
      </c>
      <c r="I110" s="30">
        <v>42535.741087962961</v>
      </c>
      <c r="J110" s="60">
        <v>1</v>
      </c>
      <c r="K110" s="60" t="str">
        <f t="shared" si="29"/>
        <v>4023/4024</v>
      </c>
      <c r="L110" s="60" t="str">
        <f>VLOOKUP(A110,'Trips&amp;Operators'!$C$1:$E$9999,3,FALSE)</f>
        <v>WEBSTER</v>
      </c>
      <c r="M110" s="12">
        <f t="shared" si="30"/>
        <v>2.880787036701804E-2</v>
      </c>
      <c r="N110" s="13">
        <f t="shared" si="31"/>
        <v>41.483333328505978</v>
      </c>
      <c r="O110" s="13"/>
      <c r="P110" s="13"/>
      <c r="Q110" s="61"/>
      <c r="R110" s="61"/>
      <c r="S110" s="108">
        <f t="shared" si="20"/>
        <v>1</v>
      </c>
      <c r="T110" s="86" t="str">
        <f t="shared" si="21"/>
        <v>NorthBound</v>
      </c>
      <c r="U110" s="10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https://search-rtdc-monitor-bjffxe2xuh6vdkpspy63sjmuny.us-east-1.es.amazonaws.com/_plugin/kibana/#/discover/Steve-Slow-Train-Analysis-(2080s-and-2083s)?_g=(refreshInterval:(display:Off,section:0,value:0),time:(from:'2016-06-14 17:03:19-0600',mode:absolute,to:'2016-06-14 17:48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0" s="73" t="str">
        <f t="shared" ref="W110:W147" si="34">IF(AA110&lt;23,"Y","N")</f>
        <v>N</v>
      </c>
      <c r="X110" s="73">
        <f>VALUE(LEFT(A110,3))-VALUE(LEFT(A109,3))</f>
        <v>1</v>
      </c>
      <c r="Y110" s="73">
        <f>RIGHT(D110,LEN(D110)-4)/10000</f>
        <v>4.5699999999999998E-2</v>
      </c>
      <c r="Z110" s="73">
        <f>RIGHT(H110,LEN(H110)-4)/10000</f>
        <v>23.331700000000001</v>
      </c>
      <c r="AA110" s="73">
        <f t="shared" ref="AA110:AA147" si="35">ABS(Z110-Y110)</f>
        <v>23.286000000000001</v>
      </c>
      <c r="AB110" s="74">
        <f>VLOOKUP(A110,Enforcements!$C$20:$J$60,8,0)</f>
        <v>233491</v>
      </c>
      <c r="AC110" s="74" t="str">
        <f>VLOOKUP(A110,Enforcements!$C$20:$J$60,3,0)</f>
        <v>TRACK WARRANT AUTHORITY</v>
      </c>
    </row>
    <row r="111" spans="1:29" s="2" customFormat="1" x14ac:dyDescent="0.25">
      <c r="A111" s="60" t="s">
        <v>399</v>
      </c>
      <c r="B111" s="60">
        <v>4023</v>
      </c>
      <c r="C111" s="60" t="s">
        <v>62</v>
      </c>
      <c r="D111" s="60" t="s">
        <v>467</v>
      </c>
      <c r="E111" s="30">
        <v>42535.742928240739</v>
      </c>
      <c r="F111" s="30">
        <v>42535.743935185186</v>
      </c>
      <c r="G111" s="38">
        <v>1</v>
      </c>
      <c r="H111" s="30" t="s">
        <v>72</v>
      </c>
      <c r="I111" s="30">
        <v>42535.774930555555</v>
      </c>
      <c r="J111" s="60">
        <v>0</v>
      </c>
      <c r="K111" s="60" t="str">
        <f t="shared" si="29"/>
        <v>4023/4024</v>
      </c>
      <c r="L111" s="60" t="str">
        <f>VLOOKUP(A111,'Trips&amp;Operators'!$C$1:$E$9999,3,FALSE)</f>
        <v>WEBSTER</v>
      </c>
      <c r="M111" s="12">
        <f t="shared" si="30"/>
        <v>3.0995370369055308E-2</v>
      </c>
      <c r="N111" s="13">
        <f t="shared" si="31"/>
        <v>44.633333331439644</v>
      </c>
      <c r="O111" s="13"/>
      <c r="P111" s="13"/>
      <c r="Q111" s="61"/>
      <c r="R111" s="61"/>
      <c r="S111" s="108">
        <f t="shared" si="20"/>
        <v>1</v>
      </c>
      <c r="T111" s="86" t="str">
        <f t="shared" si="21"/>
        <v>Southbound</v>
      </c>
      <c r="U111" s="10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https://search-rtdc-monitor-bjffxe2xuh6vdkpspy63sjmuny.us-east-1.es.amazonaws.com/_plugin/kibana/#/discover/Steve-Slow-Train-Analysis-(2080s-and-2083s)?_g=(refreshInterval:(display:Off,section:0,value:0),time:(from:'2016-06-14 17:48:49-0600',mode:absolute,to:'2016-06-14 18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1" s="73" t="str">
        <f t="shared" si="34"/>
        <v>N</v>
      </c>
      <c r="X111" s="73">
        <f>VALUE(LEFT(A111,3))-VALUE(LEFT(A110,3))</f>
        <v>1</v>
      </c>
      <c r="Y111" s="73">
        <f>RIGHT(D111,LEN(D111)-4)/10000</f>
        <v>23.3017</v>
      </c>
      <c r="Z111" s="73">
        <f>RIGHT(H111,LEN(H111)-4)/10000</f>
        <v>1.4999999999999999E-2</v>
      </c>
      <c r="AA111" s="73">
        <f t="shared" si="35"/>
        <v>23.2867</v>
      </c>
      <c r="AB111" s="74" t="e">
        <f>VLOOKUP(A111,Enforcements!$C$20:$J$60,8,0)</f>
        <v>#N/A</v>
      </c>
      <c r="AC111" s="74" t="e">
        <f>VLOOKUP(A111,Enforcements!$C$20:$J$60,3,0)</f>
        <v>#N/A</v>
      </c>
    </row>
    <row r="112" spans="1:29" s="2" customFormat="1" x14ac:dyDescent="0.25">
      <c r="A112" s="60" t="s">
        <v>370</v>
      </c>
      <c r="B112" s="60">
        <v>4020</v>
      </c>
      <c r="C112" s="60" t="s">
        <v>62</v>
      </c>
      <c r="D112" s="60" t="s">
        <v>468</v>
      </c>
      <c r="E112" s="30">
        <v>42535.717210648145</v>
      </c>
      <c r="F112" s="30">
        <v>42535.717881944445</v>
      </c>
      <c r="G112" s="38">
        <v>0</v>
      </c>
      <c r="H112" s="30" t="s">
        <v>469</v>
      </c>
      <c r="I112" s="30">
        <v>42535.746377314812</v>
      </c>
      <c r="J112" s="60">
        <v>0</v>
      </c>
      <c r="K112" s="60" t="str">
        <f t="shared" si="29"/>
        <v>4019/4020</v>
      </c>
      <c r="L112" s="60" t="str">
        <f>VLOOKUP(A112,'Trips&amp;Operators'!$C$1:$E$9999,3,FALSE)</f>
        <v>LEVERE</v>
      </c>
      <c r="M112" s="12">
        <f t="shared" si="30"/>
        <v>2.8495370366727002E-2</v>
      </c>
      <c r="N112" s="13">
        <f t="shared" si="31"/>
        <v>41.033333328086883</v>
      </c>
      <c r="O112" s="13"/>
      <c r="P112" s="13"/>
      <c r="Q112" s="61"/>
      <c r="R112" s="61"/>
      <c r="S112" s="108">
        <f t="shared" si="20"/>
        <v>1</v>
      </c>
      <c r="T112" s="86" t="str">
        <f t="shared" si="21"/>
        <v>NorthBound</v>
      </c>
      <c r="U112" s="10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https://search-rtdc-monitor-bjffxe2xuh6vdkpspy63sjmuny.us-east-1.es.amazonaws.com/_plugin/kibana/#/discover/Steve-Slow-Train-Analysis-(2080s-and-2083s)?_g=(refreshInterval:(display:Off,section:0,value:0),time:(from:'2016-06-14 17:11:47-0600',mode:absolute,to:'2016-06-14 17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2" s="73" t="str">
        <f t="shared" si="34"/>
        <v>N</v>
      </c>
      <c r="X112" s="73">
        <f t="shared" ref="X112:X147" si="36">VALUE(LEFT(A112,3))-VALUE(LEFT(A111,3))</f>
        <v>1</v>
      </c>
      <c r="Y112" s="73">
        <f>RIGHT(D112,LEN(D112)-4)/10000</f>
        <v>4.3999999999999997E-2</v>
      </c>
      <c r="Z112" s="73">
        <f>RIGHT(H112,LEN(H112)-4)/10000</f>
        <v>23.331199999999999</v>
      </c>
      <c r="AA112" s="73">
        <f t="shared" si="35"/>
        <v>23.287199999999999</v>
      </c>
      <c r="AB112" s="74" t="e">
        <f>VLOOKUP(A112,Enforcements!$C$20:$J$60,8,0)</f>
        <v>#N/A</v>
      </c>
      <c r="AC112" s="74" t="e">
        <f>VLOOKUP(A112,Enforcements!$C$20:$J$60,3,0)</f>
        <v>#N/A</v>
      </c>
    </row>
    <row r="113" spans="1:29" s="2" customFormat="1" x14ac:dyDescent="0.25">
      <c r="A113" s="60" t="s">
        <v>407</v>
      </c>
      <c r="B113" s="60">
        <v>4019</v>
      </c>
      <c r="C113" s="60" t="s">
        <v>62</v>
      </c>
      <c r="D113" s="60" t="s">
        <v>470</v>
      </c>
      <c r="E113" s="30">
        <v>42535.750625000001</v>
      </c>
      <c r="F113" s="30">
        <v>42535.751770833333</v>
      </c>
      <c r="G113" s="38">
        <v>1</v>
      </c>
      <c r="H113" s="30" t="s">
        <v>72</v>
      </c>
      <c r="I113" s="30">
        <v>42535.787557870368</v>
      </c>
      <c r="J113" s="60">
        <v>0</v>
      </c>
      <c r="K113" s="60" t="str">
        <f t="shared" si="29"/>
        <v>4019/4020</v>
      </c>
      <c r="L113" s="60" t="str">
        <f>VLOOKUP(A113,'Trips&amp;Operators'!$C$1:$E$9999,3,FALSE)</f>
        <v>LEVERE</v>
      </c>
      <c r="M113" s="12">
        <f t="shared" si="30"/>
        <v>3.5787037035333924E-2</v>
      </c>
      <c r="N113" s="13">
        <f t="shared" si="31"/>
        <v>51.533333330880851</v>
      </c>
      <c r="O113" s="13"/>
      <c r="P113" s="13"/>
      <c r="Q113" s="61"/>
      <c r="R113" s="61"/>
      <c r="S113" s="108">
        <f t="shared" si="20"/>
        <v>1</v>
      </c>
      <c r="T113" s="86" t="str">
        <f t="shared" si="21"/>
        <v>Southbound</v>
      </c>
      <c r="U113" s="10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https://search-rtdc-monitor-bjffxe2xuh6vdkpspy63sjmuny.us-east-1.es.amazonaws.com/_plugin/kibana/#/discover/Steve-Slow-Train-Analysis-(2080s-and-2083s)?_g=(refreshInterval:(display:Off,section:0,value:0),time:(from:'2016-06-14 17:59:54-0600',mode:absolute,to:'2016-06-14 18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3" s="73" t="str">
        <f t="shared" si="34"/>
        <v>N</v>
      </c>
      <c r="X113" s="73">
        <f t="shared" si="36"/>
        <v>1</v>
      </c>
      <c r="Y113" s="73">
        <f>RIGHT(D113,LEN(D113)-4)/10000</f>
        <v>23.298999999999999</v>
      </c>
      <c r="Z113" s="73">
        <v>1.4999999999999999E-2</v>
      </c>
      <c r="AA113" s="73">
        <f t="shared" si="35"/>
        <v>23.283999999999999</v>
      </c>
      <c r="AB113" s="74" t="e">
        <f>VLOOKUP(A113,Enforcements!$C$20:$J$60,8,0)</f>
        <v>#N/A</v>
      </c>
      <c r="AC113" s="74" t="e">
        <f>VLOOKUP(A113,Enforcements!$C$20:$J$60,3,0)</f>
        <v>#N/A</v>
      </c>
    </row>
    <row r="114" spans="1:29" s="2" customFormat="1" x14ac:dyDescent="0.25">
      <c r="A114" s="60" t="s">
        <v>356</v>
      </c>
      <c r="B114" s="60">
        <v>4040</v>
      </c>
      <c r="C114" s="60" t="s">
        <v>62</v>
      </c>
      <c r="D114" s="60" t="s">
        <v>86</v>
      </c>
      <c r="E114" s="30">
        <v>42535.727152777778</v>
      </c>
      <c r="F114" s="30">
        <v>42535.728796296295</v>
      </c>
      <c r="G114" s="38">
        <v>2</v>
      </c>
      <c r="H114" s="30" t="s">
        <v>308</v>
      </c>
      <c r="I114" s="30">
        <v>42535.756932870368</v>
      </c>
      <c r="J114" s="60">
        <v>1</v>
      </c>
      <c r="K114" s="60" t="str">
        <f t="shared" si="29"/>
        <v>4039/4040</v>
      </c>
      <c r="L114" s="60" t="str">
        <f>VLOOKUP(A114,'Trips&amp;Operators'!$C$1:$E$9999,3,FALSE)</f>
        <v>YOUNG</v>
      </c>
      <c r="M114" s="12">
        <f t="shared" si="30"/>
        <v>2.8136574073869269E-2</v>
      </c>
      <c r="N114" s="13">
        <f t="shared" si="31"/>
        <v>40.516666666371748</v>
      </c>
      <c r="O114" s="13"/>
      <c r="P114" s="13"/>
      <c r="Q114" s="61"/>
      <c r="R114" s="61"/>
      <c r="S114" s="108">
        <f t="shared" si="20"/>
        <v>1</v>
      </c>
      <c r="T114" s="86" t="str">
        <f t="shared" si="21"/>
        <v>NorthBound</v>
      </c>
      <c r="U114" s="10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https://search-rtdc-monitor-bjffxe2xuh6vdkpspy63sjmuny.us-east-1.es.amazonaws.com/_plugin/kibana/#/discover/Steve-Slow-Train-Analysis-(2080s-and-2083s)?_g=(refreshInterval:(display:Off,section:0,value:0),time:(from:'2016-06-14 17:26:06-0600',mode:absolute,to:'2016-06-14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4" s="73" t="str">
        <f t="shared" si="34"/>
        <v>N</v>
      </c>
      <c r="X114" s="73">
        <f t="shared" si="36"/>
        <v>1</v>
      </c>
      <c r="Y114" s="73">
        <f>RIGHT(D114,LEN(D114)-4)/10000</f>
        <v>4.5699999999999998E-2</v>
      </c>
      <c r="Z114" s="73">
        <f t="shared" ref="Z114:Z133" si="37">RIGHT(H114,LEN(H114)-4)/10000</f>
        <v>23.330200000000001</v>
      </c>
      <c r="AA114" s="73">
        <f t="shared" si="35"/>
        <v>23.284500000000001</v>
      </c>
      <c r="AB114" s="74">
        <f>VLOOKUP(A114,Enforcements!$C$20:$J$60,8,0)</f>
        <v>233491</v>
      </c>
      <c r="AC114" s="74" t="str">
        <f>VLOOKUP(A114,Enforcements!$C$20:$J$60,3,0)</f>
        <v>TRACK WARRANT AUTHORITY</v>
      </c>
    </row>
    <row r="115" spans="1:29" s="2" customFormat="1" x14ac:dyDescent="0.25">
      <c r="A115" s="60" t="s">
        <v>380</v>
      </c>
      <c r="B115" s="60">
        <v>4039</v>
      </c>
      <c r="C115" s="60" t="s">
        <v>62</v>
      </c>
      <c r="D115" s="60" t="s">
        <v>67</v>
      </c>
      <c r="E115" s="30">
        <v>42535.76358796296</v>
      </c>
      <c r="F115" s="30">
        <v>42535.767754629633</v>
      </c>
      <c r="G115" s="38">
        <v>5</v>
      </c>
      <c r="H115" s="30" t="s">
        <v>471</v>
      </c>
      <c r="I115" s="30">
        <v>42535.798206018517</v>
      </c>
      <c r="J115" s="60">
        <v>0</v>
      </c>
      <c r="K115" s="60" t="str">
        <f t="shared" si="29"/>
        <v>4039/4040</v>
      </c>
      <c r="L115" s="60" t="str">
        <f>VLOOKUP(A115,'Trips&amp;Operators'!$C$1:$E$9999,3,FALSE)</f>
        <v>YOUNG</v>
      </c>
      <c r="M115" s="12">
        <f t="shared" si="30"/>
        <v>3.0451388884102926E-2</v>
      </c>
      <c r="N115" s="13">
        <f t="shared" si="31"/>
        <v>43.849999993108213</v>
      </c>
      <c r="O115" s="13"/>
      <c r="P115" s="13"/>
      <c r="Q115" s="61"/>
      <c r="R115" s="61"/>
      <c r="S115" s="108">
        <f t="shared" si="20"/>
        <v>1</v>
      </c>
      <c r="T115" s="86" t="str">
        <f t="shared" si="21"/>
        <v>Southbound</v>
      </c>
      <c r="U115" s="10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https://search-rtdc-monitor-bjffxe2xuh6vdkpspy63sjmuny.us-east-1.es.amazonaws.com/_plugin/kibana/#/discover/Steve-Slow-Train-Analysis-(2080s-and-2083s)?_g=(refreshInterval:(display:Off,section:0,value:0),time:(from:'2016-06-14 18:18:34-0600',mode:absolute,to:'2016-06-14 19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5" s="73" t="str">
        <f t="shared" si="34"/>
        <v>N</v>
      </c>
      <c r="X115" s="73">
        <f t="shared" si="36"/>
        <v>1</v>
      </c>
      <c r="Y115" s="73">
        <f>RIGHT(D115,LEN(D115)-4)/10000</f>
        <v>23.299399999999999</v>
      </c>
      <c r="Z115" s="73">
        <f t="shared" si="37"/>
        <v>0.1222</v>
      </c>
      <c r="AA115" s="73">
        <f t="shared" si="35"/>
        <v>23.177199999999999</v>
      </c>
      <c r="AB115" s="74" t="e">
        <f>VLOOKUP(A115,Enforcements!$C$20:$J$60,8,0)</f>
        <v>#N/A</v>
      </c>
      <c r="AC115" s="74" t="e">
        <f>VLOOKUP(A115,Enforcements!$C$20:$J$60,3,0)</f>
        <v>#N/A</v>
      </c>
    </row>
    <row r="116" spans="1:29" s="2" customFormat="1" x14ac:dyDescent="0.25">
      <c r="A116" s="60" t="s">
        <v>358</v>
      </c>
      <c r="B116" s="60">
        <v>4044</v>
      </c>
      <c r="C116" s="60" t="s">
        <v>62</v>
      </c>
      <c r="D116" s="60" t="s">
        <v>472</v>
      </c>
      <c r="E116" s="30">
        <v>42535.736041666663</v>
      </c>
      <c r="F116" s="30">
        <v>42535.738263888888</v>
      </c>
      <c r="G116" s="38">
        <v>3</v>
      </c>
      <c r="H116" s="30" t="s">
        <v>473</v>
      </c>
      <c r="I116" s="30">
        <v>42535.766053240739</v>
      </c>
      <c r="J116" s="60">
        <v>1</v>
      </c>
      <c r="K116" s="60" t="str">
        <f t="shared" si="29"/>
        <v>4043/4044</v>
      </c>
      <c r="L116" s="60" t="str">
        <f>VLOOKUP(A116,'Trips&amp;Operators'!$C$1:$E$9999,3,FALSE)</f>
        <v>DE LA ROSA</v>
      </c>
      <c r="M116" s="12">
        <f t="shared" si="30"/>
        <v>2.7789351850515231E-2</v>
      </c>
      <c r="N116" s="13">
        <f t="shared" si="31"/>
        <v>40.016666664741933</v>
      </c>
      <c r="O116" s="13"/>
      <c r="P116" s="13"/>
      <c r="Q116" s="61"/>
      <c r="R116" s="61"/>
      <c r="S116" s="108">
        <f t="shared" si="20"/>
        <v>1</v>
      </c>
      <c r="T116" s="86" t="str">
        <f t="shared" si="21"/>
        <v>NorthBound</v>
      </c>
      <c r="U116" s="10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https://search-rtdc-monitor-bjffxe2xuh6vdkpspy63sjmuny.us-east-1.es.amazonaws.com/_plugin/kibana/#/discover/Steve-Slow-Train-Analysis-(2080s-and-2083s)?_g=(refreshInterval:(display:Off,section:0,value:0),time:(from:'2016-06-14 17:38:54-0600',mode:absolute,to:'2016-06-14 18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73" t="str">
        <f t="shared" si="34"/>
        <v>N</v>
      </c>
      <c r="X116" s="73">
        <f t="shared" si="36"/>
        <v>1</v>
      </c>
      <c r="Y116" s="73">
        <f>RIGHT(D116,LEN(D116)-4)/10000</f>
        <v>4.8899999999999999E-2</v>
      </c>
      <c r="Z116" s="73">
        <f t="shared" si="37"/>
        <v>23.332999999999998</v>
      </c>
      <c r="AA116" s="73">
        <f t="shared" si="35"/>
        <v>23.284099999999999</v>
      </c>
      <c r="AB116" s="74">
        <f>VLOOKUP(A116,Enforcements!$C$20:$J$60,8,0)</f>
        <v>233491</v>
      </c>
      <c r="AC116" s="74" t="str">
        <f>VLOOKUP(A116,Enforcements!$C$20:$J$60,3,0)</f>
        <v>TRACK WARRANT AUTHORITY</v>
      </c>
    </row>
    <row r="117" spans="1:29" s="2" customFormat="1" x14ac:dyDescent="0.25">
      <c r="A117" s="60" t="s">
        <v>360</v>
      </c>
      <c r="B117" s="60">
        <v>4043</v>
      </c>
      <c r="C117" s="60" t="s">
        <v>62</v>
      </c>
      <c r="D117" s="60" t="s">
        <v>311</v>
      </c>
      <c r="E117" s="30">
        <v>42535.77516203704</v>
      </c>
      <c r="F117" s="30">
        <v>42535.776307870372</v>
      </c>
      <c r="G117" s="38">
        <v>1</v>
      </c>
      <c r="H117" s="30" t="s">
        <v>298</v>
      </c>
      <c r="I117" s="30">
        <v>42535.804826388892</v>
      </c>
      <c r="J117" s="60">
        <v>1</v>
      </c>
      <c r="K117" s="60" t="str">
        <f t="shared" si="29"/>
        <v>4043/4044</v>
      </c>
      <c r="L117" s="60" t="str">
        <f>VLOOKUP(A117,'Trips&amp;Operators'!$C$1:$E$9999,3,FALSE)</f>
        <v>DE LA ROSA</v>
      </c>
      <c r="M117" s="12">
        <f t="shared" si="30"/>
        <v>2.8518518520286307E-2</v>
      </c>
      <c r="N117" s="13">
        <f t="shared" si="31"/>
        <v>41.066666669212282</v>
      </c>
      <c r="O117" s="13"/>
      <c r="P117" s="13"/>
      <c r="Q117" s="61"/>
      <c r="R117" s="61"/>
      <c r="S117" s="108">
        <f t="shared" si="20"/>
        <v>1</v>
      </c>
      <c r="T117" s="86" t="str">
        <f t="shared" si="21"/>
        <v>Southbound</v>
      </c>
      <c r="U117" s="10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https://search-rtdc-monitor-bjffxe2xuh6vdkpspy63sjmuny.us-east-1.es.amazonaws.com/_plugin/kibana/#/discover/Steve-Slow-Train-Analysis-(2080s-and-2083s)?_g=(refreshInterval:(display:Off,section:0,value:0),time:(from:'2016-06-14 18:35:14-0600',mode:absolute,to:'2016-06-14 19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73" t="str">
        <f t="shared" si="34"/>
        <v>N</v>
      </c>
      <c r="X117" s="73">
        <f t="shared" si="36"/>
        <v>1</v>
      </c>
      <c r="Y117" s="73">
        <f>RIGHT(D117,LEN(D117)-4)/10000</f>
        <v>23.301300000000001</v>
      </c>
      <c r="Z117" s="73">
        <f t="shared" si="37"/>
        <v>1.29E-2</v>
      </c>
      <c r="AA117" s="73">
        <f t="shared" si="35"/>
        <v>23.288400000000003</v>
      </c>
      <c r="AB117" s="74">
        <f>VLOOKUP(A117,Enforcements!$C$20:$J$60,8,0)</f>
        <v>1</v>
      </c>
      <c r="AC117" s="74" t="str">
        <f>VLOOKUP(A117,Enforcements!$C$20:$J$60,3,0)</f>
        <v>TRACK WARRANT AUTHORITY</v>
      </c>
    </row>
    <row r="118" spans="1:29" s="2" customFormat="1" x14ac:dyDescent="0.25">
      <c r="A118" s="60" t="s">
        <v>359</v>
      </c>
      <c r="B118" s="60">
        <v>4025</v>
      </c>
      <c r="C118" s="60" t="s">
        <v>62</v>
      </c>
      <c r="D118" s="60" t="s">
        <v>314</v>
      </c>
      <c r="E118" s="30">
        <v>42535.745949074073</v>
      </c>
      <c r="F118" s="30">
        <v>42535.747118055559</v>
      </c>
      <c r="G118" s="38">
        <v>1</v>
      </c>
      <c r="H118" s="30" t="s">
        <v>474</v>
      </c>
      <c r="I118" s="30">
        <v>42535.776956018519</v>
      </c>
      <c r="J118" s="60">
        <v>1</v>
      </c>
      <c r="K118" s="60" t="str">
        <f t="shared" si="29"/>
        <v>4025/4026</v>
      </c>
      <c r="L118" s="60" t="str">
        <f>VLOOKUP(A118,'Trips&amp;Operators'!$C$1:$E$9999,3,FALSE)</f>
        <v>STORY</v>
      </c>
      <c r="M118" s="12">
        <f t="shared" si="30"/>
        <v>2.9837962960300501E-2</v>
      </c>
      <c r="N118" s="13">
        <f t="shared" si="31"/>
        <v>42.966666662832722</v>
      </c>
      <c r="O118" s="13"/>
      <c r="P118" s="13"/>
      <c r="Q118" s="61"/>
      <c r="R118" s="61"/>
      <c r="S118" s="108">
        <f t="shared" si="20"/>
        <v>1</v>
      </c>
      <c r="T118" s="86" t="str">
        <f t="shared" si="21"/>
        <v>NorthBound</v>
      </c>
      <c r="U118" s="10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https://search-rtdc-monitor-bjffxe2xuh6vdkpspy63sjmuny.us-east-1.es.amazonaws.com/_plugin/kibana/#/discover/Steve-Slow-Train-Analysis-(2080s-and-2083s)?_g=(refreshInterval:(display:Off,section:0,value:0),time:(from:'2016-06-14 17:53:10-0600',mode:absolute,to:'2016-06-14 18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8" s="73" t="str">
        <f t="shared" si="34"/>
        <v>N</v>
      </c>
      <c r="X118" s="73">
        <f t="shared" si="36"/>
        <v>1</v>
      </c>
      <c r="Y118" s="73">
        <f>RIGHT(D118,LEN(D118)-4)/10000</f>
        <v>4.4900000000000002E-2</v>
      </c>
      <c r="Z118" s="73">
        <f t="shared" si="37"/>
        <v>23.334</v>
      </c>
      <c r="AA118" s="73">
        <f t="shared" si="35"/>
        <v>23.289100000000001</v>
      </c>
      <c r="AB118" s="74">
        <f>VLOOKUP(A118,Enforcements!$C$20:$J$60,8,0)</f>
        <v>233491</v>
      </c>
      <c r="AC118" s="74" t="str">
        <f>VLOOKUP(A118,Enforcements!$C$20:$J$60,3,0)</f>
        <v>TRACK WARRANT AUTHORITY</v>
      </c>
    </row>
    <row r="119" spans="1:29" s="2" customFormat="1" x14ac:dyDescent="0.25">
      <c r="A119" s="60" t="s">
        <v>361</v>
      </c>
      <c r="B119" s="60">
        <v>4026</v>
      </c>
      <c r="C119" s="60" t="s">
        <v>62</v>
      </c>
      <c r="D119" s="60" t="s">
        <v>475</v>
      </c>
      <c r="E119" s="30">
        <v>42535.784016203703</v>
      </c>
      <c r="F119" s="30">
        <v>42535.785277777781</v>
      </c>
      <c r="G119" s="38">
        <v>1</v>
      </c>
      <c r="H119" s="30" t="s">
        <v>255</v>
      </c>
      <c r="I119" s="30">
        <v>42535.816724537035</v>
      </c>
      <c r="J119" s="60">
        <v>2</v>
      </c>
      <c r="K119" s="60" t="str">
        <f t="shared" si="29"/>
        <v>4025/4026</v>
      </c>
      <c r="L119" s="60" t="str">
        <f>VLOOKUP(A119,'Trips&amp;Operators'!$C$1:$E$9999,3,FALSE)</f>
        <v>STORY</v>
      </c>
      <c r="M119" s="12">
        <f t="shared" si="30"/>
        <v>3.1446759254322387E-2</v>
      </c>
      <c r="N119" s="13">
        <f t="shared" si="31"/>
        <v>45.283333326224238</v>
      </c>
      <c r="O119" s="13"/>
      <c r="P119" s="13"/>
      <c r="Q119" s="61"/>
      <c r="R119" s="61"/>
      <c r="S119" s="108">
        <f t="shared" si="20"/>
        <v>1</v>
      </c>
      <c r="T119" s="86" t="str">
        <f t="shared" si="21"/>
        <v>Southbound</v>
      </c>
      <c r="U119" s="10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https://search-rtdc-monitor-bjffxe2xuh6vdkpspy63sjmuny.us-east-1.es.amazonaws.com/_plugin/kibana/#/discover/Steve-Slow-Train-Analysis-(2080s-and-2083s)?_g=(refreshInterval:(display:Off,section:0,value:0),time:(from:'2016-06-14 18:47:59-0600',mode:absolute,to:'2016-06-14 19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9" s="73" t="str">
        <f t="shared" si="34"/>
        <v>N</v>
      </c>
      <c r="X119" s="73">
        <f t="shared" si="36"/>
        <v>1</v>
      </c>
      <c r="Y119" s="73">
        <f>RIGHT(D119,LEN(D119)-4)/10000</f>
        <v>23.302700000000002</v>
      </c>
      <c r="Z119" s="73">
        <f t="shared" si="37"/>
        <v>1.61E-2</v>
      </c>
      <c r="AA119" s="73">
        <f t="shared" si="35"/>
        <v>23.2866</v>
      </c>
      <c r="AB119" s="74">
        <f>VLOOKUP(A119,Enforcements!$C$20:$J$60,8,0)</f>
        <v>1</v>
      </c>
      <c r="AC119" s="74" t="str">
        <f>VLOOKUP(A119,Enforcements!$C$20:$J$60,3,0)</f>
        <v>TRACK WARRANT AUTHORITY</v>
      </c>
    </row>
    <row r="120" spans="1:29" s="2" customFormat="1" x14ac:dyDescent="0.25">
      <c r="A120" s="60" t="s">
        <v>357</v>
      </c>
      <c r="B120" s="60">
        <v>4007</v>
      </c>
      <c r="C120" s="60" t="s">
        <v>62</v>
      </c>
      <c r="D120" s="60" t="s">
        <v>82</v>
      </c>
      <c r="E120" s="30">
        <v>42535.758125</v>
      </c>
      <c r="F120" s="30">
        <v>42535.759421296294</v>
      </c>
      <c r="G120" s="38">
        <v>1</v>
      </c>
      <c r="H120" s="30" t="s">
        <v>287</v>
      </c>
      <c r="I120" s="30">
        <v>42535.785868055558</v>
      </c>
      <c r="J120" s="60">
        <v>1</v>
      </c>
      <c r="K120" s="60" t="str">
        <f t="shared" si="29"/>
        <v>4007/4008</v>
      </c>
      <c r="L120" s="60" t="str">
        <f>VLOOKUP(A120,'Trips&amp;Operators'!$C$1:$E$9999,3,FALSE)</f>
        <v>ADANE</v>
      </c>
      <c r="M120" s="12">
        <f t="shared" si="30"/>
        <v>2.644675926421769E-2</v>
      </c>
      <c r="N120" s="13">
        <f t="shared" si="31"/>
        <v>38.083333340473473</v>
      </c>
      <c r="O120" s="13"/>
      <c r="P120" s="13"/>
      <c r="Q120" s="61"/>
      <c r="R120" s="61"/>
      <c r="S120" s="108">
        <f t="shared" si="20"/>
        <v>1</v>
      </c>
      <c r="T120" s="86" t="str">
        <f t="shared" si="21"/>
        <v>NorthBound</v>
      </c>
      <c r="U120" s="10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https://search-rtdc-monitor-bjffxe2xuh6vdkpspy63sjmuny.us-east-1.es.amazonaws.com/_plugin/kibana/#/discover/Steve-Slow-Train-Analysis-(2080s-and-2083s)?_g=(refreshInterval:(display:Off,section:0,value:0),time:(from:'2016-06-14 18:10:42-0600',mode:absolute,to:'2016-06-14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0" s="73" t="str">
        <f t="shared" si="34"/>
        <v>N</v>
      </c>
      <c r="X120" s="73">
        <f t="shared" si="36"/>
        <v>1</v>
      </c>
      <c r="Y120" s="73">
        <f>RIGHT(D120,LEN(D120)-4)/10000</f>
        <v>4.6600000000000003E-2</v>
      </c>
      <c r="Z120" s="73">
        <f t="shared" si="37"/>
        <v>23.328900000000001</v>
      </c>
      <c r="AA120" s="73">
        <f t="shared" si="35"/>
        <v>23.282299999999999</v>
      </c>
      <c r="AB120" s="74" t="e">
        <f>VLOOKUP(A120,Enforcements!$C$20:$J$60,8,0)</f>
        <v>#N/A</v>
      </c>
      <c r="AC120" s="74" t="e">
        <f>VLOOKUP(A120,Enforcements!$C$20:$J$60,3,0)</f>
        <v>#N/A</v>
      </c>
    </row>
    <row r="121" spans="1:29" s="2" customFormat="1" x14ac:dyDescent="0.25">
      <c r="A121" s="60" t="s">
        <v>362</v>
      </c>
      <c r="B121" s="60">
        <v>4008</v>
      </c>
      <c r="C121" s="60" t="s">
        <v>62</v>
      </c>
      <c r="D121" s="60" t="s">
        <v>281</v>
      </c>
      <c r="E121" s="30">
        <v>42535.797418981485</v>
      </c>
      <c r="F121" s="30">
        <v>42535.798368055555</v>
      </c>
      <c r="G121" s="38">
        <v>1</v>
      </c>
      <c r="H121" s="30" t="s">
        <v>476</v>
      </c>
      <c r="I121" s="30">
        <v>42535.827453703707</v>
      </c>
      <c r="J121" s="60">
        <v>2</v>
      </c>
      <c r="K121" s="60" t="str">
        <f t="shared" si="29"/>
        <v>4007/4008</v>
      </c>
      <c r="L121" s="60" t="str">
        <f>VLOOKUP(A121,'Trips&amp;Operators'!$C$1:$E$9999,3,FALSE)</f>
        <v>ADANE</v>
      </c>
      <c r="M121" s="12">
        <f t="shared" si="30"/>
        <v>2.9085648151522037E-2</v>
      </c>
      <c r="N121" s="13">
        <f t="shared" si="31"/>
        <v>41.883333338191733</v>
      </c>
      <c r="O121" s="13"/>
      <c r="P121" s="13"/>
      <c r="Q121" s="61"/>
      <c r="R121" s="61"/>
      <c r="S121" s="108">
        <f t="shared" si="20"/>
        <v>1</v>
      </c>
      <c r="T121" s="86" t="str">
        <f t="shared" si="21"/>
        <v>Southbound</v>
      </c>
      <c r="U121" s="10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https://search-rtdc-monitor-bjffxe2xuh6vdkpspy63sjmuny.us-east-1.es.amazonaws.com/_plugin/kibana/#/discover/Steve-Slow-Train-Analysis-(2080s-and-2083s)?_g=(refreshInterval:(display:Off,section:0,value:0),time:(from:'2016-06-14 19:07:17-0600',mode:absolute,to:'2016-06-14 19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1" s="73" t="str">
        <f t="shared" si="34"/>
        <v>N</v>
      </c>
      <c r="X121" s="73">
        <f t="shared" si="36"/>
        <v>1</v>
      </c>
      <c r="Y121" s="73">
        <f>RIGHT(D121,LEN(D121)-4)/10000</f>
        <v>23.2957</v>
      </c>
      <c r="Z121" s="73">
        <f t="shared" si="37"/>
        <v>1.34E-2</v>
      </c>
      <c r="AA121" s="73">
        <f t="shared" si="35"/>
        <v>23.282299999999999</v>
      </c>
      <c r="AB121" s="74" t="e">
        <f>VLOOKUP(A121,Enforcements!$C$20:$J$60,8,0)</f>
        <v>#N/A</v>
      </c>
      <c r="AC121" s="74" t="e">
        <f>VLOOKUP(A121,Enforcements!$C$20:$J$60,3,0)</f>
        <v>#N/A</v>
      </c>
    </row>
    <row r="122" spans="1:29" s="2" customFormat="1" x14ac:dyDescent="0.25">
      <c r="A122" s="60" t="s">
        <v>389</v>
      </c>
      <c r="B122" s="60">
        <v>4016</v>
      </c>
      <c r="C122" s="60" t="s">
        <v>62</v>
      </c>
      <c r="D122" s="60" t="s">
        <v>125</v>
      </c>
      <c r="E122" s="30">
        <v>42535.764664351853</v>
      </c>
      <c r="F122" s="30">
        <v>42535.766875000001</v>
      </c>
      <c r="G122" s="38">
        <v>3</v>
      </c>
      <c r="H122" s="30" t="s">
        <v>477</v>
      </c>
      <c r="I122" s="30">
        <v>42535.796493055554</v>
      </c>
      <c r="J122" s="60">
        <v>0</v>
      </c>
      <c r="K122" s="60" t="str">
        <f t="shared" si="29"/>
        <v>4015/4016</v>
      </c>
      <c r="L122" s="60" t="str">
        <f>VLOOKUP(A122,'Trips&amp;Operators'!$C$1:$E$9999,3,FALSE)</f>
        <v>BARTLETT</v>
      </c>
      <c r="M122" s="12">
        <f t="shared" si="30"/>
        <v>2.9618055552418809E-2</v>
      </c>
      <c r="N122" s="13">
        <f t="shared" si="31"/>
        <v>42.649999995483086</v>
      </c>
      <c r="O122" s="13"/>
      <c r="P122" s="13"/>
      <c r="Q122" s="61"/>
      <c r="R122" s="61"/>
      <c r="S122" s="108">
        <f t="shared" si="20"/>
        <v>1</v>
      </c>
      <c r="T122" s="86" t="str">
        <f t="shared" si="21"/>
        <v>NorthBound</v>
      </c>
      <c r="U122" s="109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https://search-rtdc-monitor-bjffxe2xuh6vdkpspy63sjmuny.us-east-1.es.amazonaws.com/_plugin/kibana/#/discover/Steve-Slow-Train-Analysis-(2080s-and-2083s)?_g=(refreshInterval:(display:Off,section:0,value:0),time:(from:'2016-06-14 18:20:07-0600',mode:absolute,to:'2016-06-14 19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2" s="73" t="str">
        <f t="shared" si="34"/>
        <v>N</v>
      </c>
      <c r="X122" s="73">
        <f t="shared" si="36"/>
        <v>1</v>
      </c>
      <c r="Y122" s="73">
        <f>RIGHT(D122,LEN(D122)-4)/10000</f>
        <v>4.6399999999999997E-2</v>
      </c>
      <c r="Z122" s="73">
        <f t="shared" si="37"/>
        <v>23.3293</v>
      </c>
      <c r="AA122" s="73">
        <f t="shared" si="35"/>
        <v>23.282900000000001</v>
      </c>
      <c r="AB122" s="74" t="e">
        <f>VLOOKUP(A122,Enforcements!$C$20:$J$60,8,0)</f>
        <v>#N/A</v>
      </c>
      <c r="AC122" s="74" t="e">
        <f>VLOOKUP(A122,Enforcements!$C$20:$J$60,3,0)</f>
        <v>#N/A</v>
      </c>
    </row>
    <row r="123" spans="1:29" s="2" customFormat="1" x14ac:dyDescent="0.25">
      <c r="A123" s="60" t="s">
        <v>446</v>
      </c>
      <c r="B123" s="60">
        <v>4015</v>
      </c>
      <c r="C123" s="60" t="s">
        <v>62</v>
      </c>
      <c r="D123" s="60" t="s">
        <v>478</v>
      </c>
      <c r="E123" s="30">
        <v>42535.806261574071</v>
      </c>
      <c r="F123" s="30">
        <v>42535.807164351849</v>
      </c>
      <c r="G123" s="38">
        <v>1</v>
      </c>
      <c r="H123" s="30" t="s">
        <v>89</v>
      </c>
      <c r="I123" s="30">
        <v>42535.837962962964</v>
      </c>
      <c r="J123" s="60">
        <v>0</v>
      </c>
      <c r="K123" s="60" t="str">
        <f t="shared" si="29"/>
        <v>4015/4016</v>
      </c>
      <c r="L123" s="60" t="str">
        <f>VLOOKUP(A123,'Trips&amp;Operators'!$C$1:$E$9999,3,FALSE)</f>
        <v>BARTLETT</v>
      </c>
      <c r="M123" s="12">
        <f t="shared" si="30"/>
        <v>3.0798611114732921E-2</v>
      </c>
      <c r="N123" s="13">
        <f t="shared" si="31"/>
        <v>44.350000005215406</v>
      </c>
      <c r="O123" s="13"/>
      <c r="P123" s="13"/>
      <c r="Q123" s="61"/>
      <c r="R123" s="61"/>
      <c r="S123" s="108">
        <f t="shared" si="20"/>
        <v>1</v>
      </c>
      <c r="T123" s="86" t="str">
        <f t="shared" si="21"/>
        <v>Southbound</v>
      </c>
      <c r="U123" s="10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https://search-rtdc-monitor-bjffxe2xuh6vdkpspy63sjmuny.us-east-1.es.amazonaws.com/_plugin/kibana/#/discover/Steve-Slow-Train-Analysis-(2080s-and-2083s)?_g=(refreshInterval:(display:Off,section:0,value:0),time:(from:'2016-06-14 19:20:01-0600',mode:absolute,to:'2016-06-14 20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3" s="73" t="str">
        <f t="shared" si="34"/>
        <v>N</v>
      </c>
      <c r="X123" s="73">
        <f t="shared" si="36"/>
        <v>1</v>
      </c>
      <c r="Y123" s="73">
        <f>RIGHT(D123,LEN(D123)-4)/10000</f>
        <v>23.2972</v>
      </c>
      <c r="Z123" s="73">
        <f t="shared" si="37"/>
        <v>1.5599999999999999E-2</v>
      </c>
      <c r="AA123" s="73">
        <f t="shared" si="35"/>
        <v>23.281600000000001</v>
      </c>
      <c r="AB123" s="74" t="e">
        <f>VLOOKUP(A123,Enforcements!$C$20:$J$60,8,0)</f>
        <v>#N/A</v>
      </c>
      <c r="AC123" s="74" t="e">
        <f>VLOOKUP(A123,Enforcements!$C$20:$J$60,3,0)</f>
        <v>#N/A</v>
      </c>
    </row>
    <row r="124" spans="1:29" s="2" customFormat="1" x14ac:dyDescent="0.25">
      <c r="A124" s="60" t="s">
        <v>403</v>
      </c>
      <c r="B124" s="60">
        <v>4020</v>
      </c>
      <c r="C124" s="60" t="s">
        <v>62</v>
      </c>
      <c r="D124" s="60" t="s">
        <v>82</v>
      </c>
      <c r="E124" s="30">
        <v>42535.790023148147</v>
      </c>
      <c r="F124" s="30">
        <v>42535.790682870371</v>
      </c>
      <c r="G124" s="38">
        <v>0</v>
      </c>
      <c r="H124" s="30" t="s">
        <v>103</v>
      </c>
      <c r="I124" s="30">
        <v>42535.819120370368</v>
      </c>
      <c r="J124" s="60">
        <v>0</v>
      </c>
      <c r="K124" s="60" t="str">
        <f t="shared" si="29"/>
        <v>4019/4020</v>
      </c>
      <c r="L124" s="60" t="str">
        <f>VLOOKUP(A124,'Trips&amp;Operators'!$C$1:$E$9999,3,FALSE)</f>
        <v>LEVERE</v>
      </c>
      <c r="M124" s="12">
        <f t="shared" si="30"/>
        <v>2.8437499997380655E-2</v>
      </c>
      <c r="N124" s="13">
        <f t="shared" si="31"/>
        <v>40.949999996228144</v>
      </c>
      <c r="O124" s="13"/>
      <c r="P124" s="13"/>
      <c r="Q124" s="61"/>
      <c r="R124" s="61"/>
      <c r="S124" s="108">
        <f t="shared" si="20"/>
        <v>1</v>
      </c>
      <c r="T124" s="86" t="str">
        <f t="shared" si="21"/>
        <v>NorthBound</v>
      </c>
      <c r="U124" s="109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https://search-rtdc-monitor-bjffxe2xuh6vdkpspy63sjmuny.us-east-1.es.amazonaws.com/_plugin/kibana/#/discover/Steve-Slow-Train-Analysis-(2080s-and-2083s)?_g=(refreshInterval:(display:Off,section:0,value:0),time:(from:'2016-06-14 18:56:38-0600',mode:absolute,to:'2016-06-14 19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4" s="73" t="str">
        <f t="shared" si="34"/>
        <v>N</v>
      </c>
      <c r="X124" s="73">
        <f t="shared" si="36"/>
        <v>1</v>
      </c>
      <c r="Y124" s="73">
        <f>RIGHT(D124,LEN(D124)-4)/10000</f>
        <v>4.6600000000000003E-2</v>
      </c>
      <c r="Z124" s="73">
        <f t="shared" si="37"/>
        <v>23.329899999999999</v>
      </c>
      <c r="AA124" s="73">
        <f t="shared" si="35"/>
        <v>23.283299999999997</v>
      </c>
      <c r="AB124" s="74" t="e">
        <f>VLOOKUP(A124,Enforcements!$C$20:$J$60,8,0)</f>
        <v>#N/A</v>
      </c>
      <c r="AC124" s="74" t="e">
        <f>VLOOKUP(A124,Enforcements!$C$20:$J$60,3,0)</f>
        <v>#N/A</v>
      </c>
    </row>
    <row r="125" spans="1:29" s="2" customFormat="1" x14ac:dyDescent="0.25">
      <c r="A125" s="60" t="s">
        <v>363</v>
      </c>
      <c r="B125" s="60">
        <v>4019</v>
      </c>
      <c r="C125" s="60" t="s">
        <v>62</v>
      </c>
      <c r="D125" s="60" t="s">
        <v>124</v>
      </c>
      <c r="E125" s="30">
        <v>42535.822928240741</v>
      </c>
      <c r="F125" s="30">
        <v>42535.823807870373</v>
      </c>
      <c r="G125" s="38">
        <v>1</v>
      </c>
      <c r="H125" s="30" t="s">
        <v>255</v>
      </c>
      <c r="I125" s="30">
        <v>42535.859756944446</v>
      </c>
      <c r="J125" s="60">
        <v>1</v>
      </c>
      <c r="K125" s="60" t="str">
        <f t="shared" si="29"/>
        <v>4019/4020</v>
      </c>
      <c r="L125" s="60" t="str">
        <f>VLOOKUP(A125,'Trips&amp;Operators'!$C$1:$E$9999,3,FALSE)</f>
        <v>LEVERE</v>
      </c>
      <c r="M125" s="12">
        <f t="shared" si="30"/>
        <v>3.5949074073869269E-2</v>
      </c>
      <c r="N125" s="13">
        <f t="shared" si="31"/>
        <v>51.766666666371748</v>
      </c>
      <c r="O125" s="13"/>
      <c r="P125" s="13"/>
      <c r="Q125" s="61"/>
      <c r="R125" s="61"/>
      <c r="S125" s="108">
        <f t="shared" si="20"/>
        <v>1</v>
      </c>
      <c r="T125" s="86" t="str">
        <f t="shared" si="21"/>
        <v>Southbound</v>
      </c>
      <c r="U125" s="109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https://search-rtdc-monitor-bjffxe2xuh6vdkpspy63sjmuny.us-east-1.es.amazonaws.com/_plugin/kibana/#/discover/Steve-Slow-Train-Analysis-(2080s-and-2083s)?_g=(refreshInterval:(display:Off,section:0,value:0),time:(from:'2016-06-14 19:44:01-0600',mode:absolute,to:'2016-06-14 20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5" s="73" t="str">
        <f t="shared" si="34"/>
        <v>N</v>
      </c>
      <c r="X125" s="73">
        <f t="shared" si="36"/>
        <v>1</v>
      </c>
      <c r="Y125" s="73">
        <f>RIGHT(D125,LEN(D125)-4)/10000</f>
        <v>23.297499999999999</v>
      </c>
      <c r="Z125" s="73">
        <f t="shared" si="37"/>
        <v>1.61E-2</v>
      </c>
      <c r="AA125" s="73">
        <f t="shared" si="35"/>
        <v>23.281399999999998</v>
      </c>
      <c r="AB125" s="74" t="e">
        <f>VLOOKUP(A125,Enforcements!$C$20:$J$60,8,0)</f>
        <v>#N/A</v>
      </c>
      <c r="AC125" s="74" t="e">
        <f>VLOOKUP(A125,Enforcements!$C$20:$J$60,3,0)</f>
        <v>#N/A</v>
      </c>
    </row>
    <row r="126" spans="1:29" s="2" customFormat="1" x14ac:dyDescent="0.25">
      <c r="A126" s="60" t="s">
        <v>409</v>
      </c>
      <c r="B126" s="60">
        <v>4044</v>
      </c>
      <c r="C126" s="60" t="s">
        <v>62</v>
      </c>
      <c r="D126" s="60" t="s">
        <v>316</v>
      </c>
      <c r="E126" s="30">
        <v>42535.807557870372</v>
      </c>
      <c r="F126" s="30">
        <v>42535.808715277781</v>
      </c>
      <c r="G126" s="38">
        <v>1</v>
      </c>
      <c r="H126" s="30" t="s">
        <v>479</v>
      </c>
      <c r="I126" s="30">
        <v>42535.838240740741</v>
      </c>
      <c r="J126" s="60">
        <v>0</v>
      </c>
      <c r="K126" s="60" t="str">
        <f t="shared" si="29"/>
        <v>4043/4044</v>
      </c>
      <c r="L126" s="60" t="str">
        <f>VLOOKUP(A126,'Trips&amp;Operators'!$C$1:$E$9999,3,FALSE)</f>
        <v>DE LA ROSA</v>
      </c>
      <c r="M126" s="12">
        <f t="shared" si="30"/>
        <v>2.9525462960009463E-2</v>
      </c>
      <c r="N126" s="13">
        <f t="shared" si="31"/>
        <v>42.516666662413627</v>
      </c>
      <c r="O126" s="13"/>
      <c r="P126" s="13"/>
      <c r="Q126" s="61"/>
      <c r="R126" s="61"/>
      <c r="S126" s="108">
        <f t="shared" si="20"/>
        <v>1</v>
      </c>
      <c r="T126" s="86" t="str">
        <f t="shared" si="21"/>
        <v>NorthBound</v>
      </c>
      <c r="U126" s="109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https://search-rtdc-monitor-bjffxe2xuh6vdkpspy63sjmuny.us-east-1.es.amazonaws.com/_plugin/kibana/#/discover/Steve-Slow-Train-Analysis-(2080s-and-2083s)?_g=(refreshInterval:(display:Off,section:0,value:0),time:(from:'2016-06-14 19:21:53-0600',mode:absolute,to:'2016-06-14 20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6" s="73" t="str">
        <f t="shared" si="34"/>
        <v>N</v>
      </c>
      <c r="X126" s="73">
        <f t="shared" si="36"/>
        <v>1</v>
      </c>
      <c r="Y126" s="73">
        <f>RIGHT(D126,LEN(D126)-4)/10000</f>
        <v>4.3299999999999998E-2</v>
      </c>
      <c r="Z126" s="73">
        <f t="shared" si="37"/>
        <v>23.333600000000001</v>
      </c>
      <c r="AA126" s="73">
        <f t="shared" si="35"/>
        <v>23.290300000000002</v>
      </c>
      <c r="AB126" s="74" t="e">
        <f>VLOOKUP(A126,Enforcements!$C$20:$J$60,8,0)</f>
        <v>#N/A</v>
      </c>
      <c r="AC126" s="74" t="e">
        <f>VLOOKUP(A126,Enforcements!$C$20:$J$60,3,0)</f>
        <v>#N/A</v>
      </c>
    </row>
    <row r="127" spans="1:29" s="2" customFormat="1" x14ac:dyDescent="0.25">
      <c r="A127" s="60" t="s">
        <v>412</v>
      </c>
      <c r="B127" s="60">
        <v>4043</v>
      </c>
      <c r="C127" s="60" t="s">
        <v>62</v>
      </c>
      <c r="D127" s="60" t="s">
        <v>480</v>
      </c>
      <c r="E127" s="30">
        <v>42535.842418981483</v>
      </c>
      <c r="F127" s="30">
        <v>42535.843622685185</v>
      </c>
      <c r="G127" s="38">
        <v>1</v>
      </c>
      <c r="H127" s="30" t="s">
        <v>72</v>
      </c>
      <c r="I127" s="30">
        <v>42535.877766203703</v>
      </c>
      <c r="J127" s="60">
        <v>0</v>
      </c>
      <c r="K127" s="60" t="str">
        <f t="shared" si="29"/>
        <v>4043/4044</v>
      </c>
      <c r="L127" s="60" t="str">
        <f>VLOOKUP(A127,'Trips&amp;Operators'!$C$1:$E$9999,3,FALSE)</f>
        <v>DE LA ROSA</v>
      </c>
      <c r="M127" s="12">
        <f t="shared" si="30"/>
        <v>3.4143518518249039E-2</v>
      </c>
      <c r="N127" s="13">
        <f t="shared" si="31"/>
        <v>49.166666666278616</v>
      </c>
      <c r="O127" s="13"/>
      <c r="P127" s="13"/>
      <c r="Q127" s="61"/>
      <c r="R127" s="61"/>
      <c r="S127" s="108">
        <f t="shared" si="20"/>
        <v>1</v>
      </c>
      <c r="T127" s="86" t="str">
        <f t="shared" si="21"/>
        <v>Southbound</v>
      </c>
      <c r="U127" s="10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https://search-rtdc-monitor-bjffxe2xuh6vdkpspy63sjmuny.us-east-1.es.amazonaws.com/_plugin/kibana/#/discover/Steve-Slow-Train-Analysis-(2080s-and-2083s)?_g=(refreshInterval:(display:Off,section:0,value:0),time:(from:'2016-06-14 20:12:05-0600',mode:absolute,to:'2016-06-14 21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7" s="73" t="str">
        <f t="shared" si="34"/>
        <v>N</v>
      </c>
      <c r="X127" s="73">
        <f t="shared" si="36"/>
        <v>1</v>
      </c>
      <c r="Y127" s="73">
        <f>RIGHT(D127,LEN(D127)-4)/10000</f>
        <v>23.3001</v>
      </c>
      <c r="Z127" s="73">
        <f t="shared" si="37"/>
        <v>1.4999999999999999E-2</v>
      </c>
      <c r="AA127" s="73">
        <f t="shared" si="35"/>
        <v>23.2851</v>
      </c>
      <c r="AB127" s="74" t="e">
        <f>VLOOKUP(A127,Enforcements!$C$20:$J$60,8,0)</f>
        <v>#N/A</v>
      </c>
      <c r="AC127" s="74" t="e">
        <f>VLOOKUP(A127,Enforcements!$C$20:$J$60,3,0)</f>
        <v>#N/A</v>
      </c>
    </row>
    <row r="128" spans="1:29" s="2" customFormat="1" x14ac:dyDescent="0.25">
      <c r="A128" s="60" t="s">
        <v>379</v>
      </c>
      <c r="B128" s="60">
        <v>4007</v>
      </c>
      <c r="C128" s="60" t="s">
        <v>62</v>
      </c>
      <c r="D128" s="60" t="s">
        <v>94</v>
      </c>
      <c r="E128" s="30">
        <v>42535.829965277779</v>
      </c>
      <c r="F128" s="30">
        <v>42535.830868055556</v>
      </c>
      <c r="G128" s="38">
        <v>1</v>
      </c>
      <c r="H128" s="30" t="s">
        <v>103</v>
      </c>
      <c r="I128" s="30">
        <v>42535.858425925922</v>
      </c>
      <c r="J128" s="60">
        <v>0</v>
      </c>
      <c r="K128" s="60" t="str">
        <f t="shared" si="29"/>
        <v>4007/4008</v>
      </c>
      <c r="L128" s="60" t="str">
        <f>VLOOKUP(A128,'Trips&amp;Operators'!$C$1:$E$9999,3,FALSE)</f>
        <v>ADANE</v>
      </c>
      <c r="M128" s="12">
        <f t="shared" si="30"/>
        <v>2.7557870365853887E-2</v>
      </c>
      <c r="N128" s="13">
        <f t="shared" si="31"/>
        <v>39.683333326829597</v>
      </c>
      <c r="O128" s="13"/>
      <c r="P128" s="13"/>
      <c r="Q128" s="61"/>
      <c r="R128" s="61"/>
      <c r="S128" s="108">
        <f t="shared" si="20"/>
        <v>1</v>
      </c>
      <c r="T128" s="86" t="str">
        <f t="shared" si="21"/>
        <v>NorthBound</v>
      </c>
      <c r="U128" s="10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https://search-rtdc-monitor-bjffxe2xuh6vdkpspy63sjmuny.us-east-1.es.amazonaws.com/_plugin/kibana/#/discover/Steve-Slow-Train-Analysis-(2080s-and-2083s)?_g=(refreshInterval:(display:Off,section:0,value:0),time:(from:'2016-06-14 19:54:09-0600',mode:absolute,to:'2016-06-14 20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73" t="str">
        <f t="shared" si="34"/>
        <v>N</v>
      </c>
      <c r="X128" s="73">
        <f t="shared" si="36"/>
        <v>1</v>
      </c>
      <c r="Y128" s="73">
        <f>RIGHT(D128,LEN(D128)-4)/10000</f>
        <v>4.53E-2</v>
      </c>
      <c r="Z128" s="73">
        <f t="shared" si="37"/>
        <v>23.329899999999999</v>
      </c>
      <c r="AA128" s="73">
        <f t="shared" si="35"/>
        <v>23.284599999999998</v>
      </c>
      <c r="AB128" s="74" t="e">
        <f>VLOOKUP(A128,Enforcements!$C$20:$J$60,8,0)</f>
        <v>#N/A</v>
      </c>
      <c r="AC128" s="74" t="e">
        <f>VLOOKUP(A128,Enforcements!$C$20:$J$60,3,0)</f>
        <v>#N/A</v>
      </c>
    </row>
    <row r="129" spans="1:29" s="2" customFormat="1" x14ac:dyDescent="0.25">
      <c r="A129" s="60" t="s">
        <v>400</v>
      </c>
      <c r="B129" s="60">
        <v>4008</v>
      </c>
      <c r="C129" s="60" t="s">
        <v>62</v>
      </c>
      <c r="D129" s="60" t="s">
        <v>96</v>
      </c>
      <c r="E129" s="30">
        <v>42535.869444444441</v>
      </c>
      <c r="F129" s="30">
        <v>42535.870358796295</v>
      </c>
      <c r="G129" s="38">
        <v>1</v>
      </c>
      <c r="H129" s="30" t="s">
        <v>74</v>
      </c>
      <c r="I129" s="30">
        <v>42535.901863425926</v>
      </c>
      <c r="J129" s="60">
        <v>0</v>
      </c>
      <c r="K129" s="60" t="str">
        <f t="shared" si="29"/>
        <v>4007/4008</v>
      </c>
      <c r="L129" s="60" t="str">
        <f>VLOOKUP(A129,'Trips&amp;Operators'!$C$1:$E$9999,3,FALSE)</f>
        <v>ADANE</v>
      </c>
      <c r="M129" s="12">
        <f t="shared" si="30"/>
        <v>3.1504629630944692E-2</v>
      </c>
      <c r="N129" s="13">
        <f t="shared" si="31"/>
        <v>45.366666668560356</v>
      </c>
      <c r="O129" s="13"/>
      <c r="P129" s="13"/>
      <c r="Q129" s="61"/>
      <c r="R129" s="61"/>
      <c r="S129" s="108">
        <f t="shared" si="20"/>
        <v>1</v>
      </c>
      <c r="T129" s="86" t="str">
        <f t="shared" si="21"/>
        <v>Southbound</v>
      </c>
      <c r="U129" s="10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https://search-rtdc-monitor-bjffxe2xuh6vdkpspy63sjmuny.us-east-1.es.amazonaws.com/_plugin/kibana/#/discover/Steve-Slow-Train-Analysis-(2080s-and-2083s)?_g=(refreshInterval:(display:Off,section:0,value:0),time:(from:'2016-06-14 20:51:00-0600',mode:absolute,to:'2016-06-14 21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73" t="str">
        <f t="shared" si="34"/>
        <v>N</v>
      </c>
      <c r="X129" s="73">
        <f t="shared" si="36"/>
        <v>1</v>
      </c>
      <c r="Y129" s="73">
        <f>RIGHT(D129,LEN(D129)-4)/10000</f>
        <v>23.297799999999999</v>
      </c>
      <c r="Z129" s="73">
        <f t="shared" si="37"/>
        <v>1.47E-2</v>
      </c>
      <c r="AA129" s="73">
        <f t="shared" si="35"/>
        <v>23.283099999999997</v>
      </c>
      <c r="AB129" s="74" t="e">
        <f>VLOOKUP(A129,Enforcements!$C$20:$J$60,8,0)</f>
        <v>#N/A</v>
      </c>
      <c r="AC129" s="74" t="e">
        <f>VLOOKUP(A129,Enforcements!$C$20:$J$60,3,0)</f>
        <v>#N/A</v>
      </c>
    </row>
    <row r="130" spans="1:29" s="2" customFormat="1" ht="16.5" customHeight="1" x14ac:dyDescent="0.25">
      <c r="A130" s="60" t="s">
        <v>414</v>
      </c>
      <c r="B130" s="60">
        <v>4016</v>
      </c>
      <c r="C130" s="60" t="s">
        <v>62</v>
      </c>
      <c r="D130" s="60" t="s">
        <v>256</v>
      </c>
      <c r="E130" s="30">
        <v>42535.842858796299</v>
      </c>
      <c r="F130" s="30">
        <v>42535.844490740739</v>
      </c>
      <c r="G130" s="38">
        <v>2</v>
      </c>
      <c r="H130" s="30" t="s">
        <v>481</v>
      </c>
      <c r="I130" s="30">
        <v>42535.880995370368</v>
      </c>
      <c r="J130" s="60">
        <v>0</v>
      </c>
      <c r="K130" s="60" t="str">
        <f t="shared" si="29"/>
        <v>4015/4016</v>
      </c>
      <c r="L130" s="60" t="str">
        <f>VLOOKUP(A130,'Trips&amp;Operators'!$C$1:$E$9999,3,FALSE)</f>
        <v>BARTLETT</v>
      </c>
      <c r="M130" s="12">
        <f t="shared" si="30"/>
        <v>3.6504629628325347E-2</v>
      </c>
      <c r="N130" s="13">
        <f t="shared" si="31"/>
        <v>52.566666664788499</v>
      </c>
      <c r="O130" s="13"/>
      <c r="P130" s="13"/>
      <c r="Q130" s="61"/>
      <c r="R130" s="61"/>
      <c r="S130" s="108">
        <f t="shared" si="20"/>
        <v>1</v>
      </c>
      <c r="T130" s="86" t="str">
        <f t="shared" si="21"/>
        <v>NorthBound</v>
      </c>
      <c r="U130" s="109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https://search-rtdc-monitor-bjffxe2xuh6vdkpspy63sjmuny.us-east-1.es.amazonaws.com/_plugin/kibana/#/discover/Steve-Slow-Train-Analysis-(2080s-and-2083s)?_g=(refreshInterval:(display:Off,section:0,value:0),time:(from:'2016-06-14 20:12:43-0600',mode:absolute,to:'2016-06-14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3" t="str">
        <f t="shared" si="34"/>
        <v>N</v>
      </c>
      <c r="X130" s="73">
        <f t="shared" si="36"/>
        <v>1</v>
      </c>
      <c r="Y130" s="73">
        <f>RIGHT(D130,LEN(D130)-4)/10000</f>
        <v>4.7300000000000002E-2</v>
      </c>
      <c r="Z130" s="73">
        <f t="shared" si="37"/>
        <v>23.3276</v>
      </c>
      <c r="AA130" s="73">
        <f t="shared" si="35"/>
        <v>23.2803</v>
      </c>
      <c r="AB130" s="74" t="e">
        <f>VLOOKUP(A130,Enforcements!$C$20:$J$60,8,0)</f>
        <v>#N/A</v>
      </c>
      <c r="AC130" s="74" t="e">
        <f>VLOOKUP(A130,Enforcements!$C$20:$J$60,3,0)</f>
        <v>#N/A</v>
      </c>
    </row>
    <row r="131" spans="1:29" s="2" customFormat="1" ht="16.5" customHeight="1" x14ac:dyDescent="0.25">
      <c r="A131" s="60" t="s">
        <v>451</v>
      </c>
      <c r="B131" s="60">
        <v>4015</v>
      </c>
      <c r="C131" s="60" t="s">
        <v>62</v>
      </c>
      <c r="D131" s="60" t="s">
        <v>306</v>
      </c>
      <c r="E131" s="30">
        <v>42535.889374999999</v>
      </c>
      <c r="F131" s="30">
        <v>42535.890752314815</v>
      </c>
      <c r="G131" s="38">
        <v>1</v>
      </c>
      <c r="H131" s="30" t="s">
        <v>482</v>
      </c>
      <c r="I131" s="30">
        <v>42535.922592592593</v>
      </c>
      <c r="J131" s="60">
        <v>0</v>
      </c>
      <c r="K131" s="60" t="str">
        <f t="shared" ref="K131:K147" si="38">IF(ISEVEN(B131),(B131-1)&amp;"/"&amp;B131,B131&amp;"/"&amp;(B131+1))</f>
        <v>4015/4016</v>
      </c>
      <c r="L131" s="60" t="str">
        <f>VLOOKUP(A131,'Trips&amp;Operators'!$C$1:$E$9999,3,FALSE)</f>
        <v>BARTLETT</v>
      </c>
      <c r="M131" s="12">
        <f t="shared" ref="M131:M147" si="39">I131-F131</f>
        <v>3.1840277777519077E-2</v>
      </c>
      <c r="N131" s="13">
        <f t="shared" si="31"/>
        <v>45.849999999627471</v>
      </c>
      <c r="O131" s="13"/>
      <c r="P131" s="13"/>
      <c r="Q131" s="61"/>
      <c r="R131" s="61"/>
      <c r="S131" s="108">
        <f t="shared" si="20"/>
        <v>1</v>
      </c>
      <c r="T131" s="86" t="str">
        <f t="shared" si="21"/>
        <v>Southbound</v>
      </c>
      <c r="U131" s="109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https://search-rtdc-monitor-bjffxe2xuh6vdkpspy63sjmuny.us-east-1.es.amazonaws.com/_plugin/kibana/#/discover/Steve-Slow-Train-Analysis-(2080s-and-2083s)?_g=(refreshInterval:(display:Off,section:0,value:0),time:(from:'2016-06-14 21:19:42-0600',mode:absolute,to:'2016-06-14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3" t="str">
        <f t="shared" si="34"/>
        <v>Y</v>
      </c>
      <c r="X131" s="73">
        <f t="shared" si="36"/>
        <v>1</v>
      </c>
      <c r="Y131" s="73">
        <f>RIGHT(D131,LEN(D131)-4)/10000</f>
        <v>23.295500000000001</v>
      </c>
      <c r="Z131" s="73">
        <f t="shared" si="37"/>
        <v>0.316</v>
      </c>
      <c r="AA131" s="73">
        <f t="shared" si="35"/>
        <v>22.979500000000002</v>
      </c>
      <c r="AB131" s="74" t="e">
        <f>VLOOKUP(A131,Enforcements!$C$20:$J$60,8,0)</f>
        <v>#N/A</v>
      </c>
      <c r="AC131" s="74" t="e">
        <f>VLOOKUP(A131,Enforcements!$C$20:$J$60,3,0)</f>
        <v>#N/A</v>
      </c>
    </row>
    <row r="132" spans="1:29" s="2" customFormat="1" x14ac:dyDescent="0.25">
      <c r="A132" s="60" t="s">
        <v>371</v>
      </c>
      <c r="B132" s="60">
        <v>4020</v>
      </c>
      <c r="C132" s="60" t="s">
        <v>62</v>
      </c>
      <c r="D132" s="60" t="s">
        <v>286</v>
      </c>
      <c r="E132" s="30">
        <v>42535.867488425924</v>
      </c>
      <c r="F132" s="30">
        <v>42535.868287037039</v>
      </c>
      <c r="G132" s="38">
        <v>1</v>
      </c>
      <c r="H132" s="30" t="s">
        <v>304</v>
      </c>
      <c r="I132" s="30">
        <v>42535.903414351851</v>
      </c>
      <c r="J132" s="60">
        <v>0</v>
      </c>
      <c r="K132" s="60" t="str">
        <f t="shared" si="38"/>
        <v>4019/4020</v>
      </c>
      <c r="L132" s="60" t="str">
        <f>VLOOKUP(A132,'Trips&amp;Operators'!$C$1:$E$9999,3,FALSE)</f>
        <v>LEVERE</v>
      </c>
      <c r="M132" s="12">
        <f t="shared" si="39"/>
        <v>3.5127314811688848E-2</v>
      </c>
      <c r="N132" s="13">
        <f t="shared" si="31"/>
        <v>50.583333328831941</v>
      </c>
      <c r="O132" s="13"/>
      <c r="P132" s="13"/>
      <c r="Q132" s="61"/>
      <c r="R132" s="61"/>
      <c r="S132" s="108">
        <f t="shared" ref="S132:S147" si="40">SUM(U132:U132)/12</f>
        <v>1</v>
      </c>
      <c r="T132" s="86" t="str">
        <f t="shared" ref="T132:T147" si="41">IF(ISEVEN(LEFT(A132,3)),"Southbound","NorthBound")</f>
        <v>NorthBound</v>
      </c>
      <c r="U132" s="10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https://search-rtdc-monitor-bjffxe2xuh6vdkpspy63sjmuny.us-east-1.es.amazonaws.com/_plugin/kibana/#/discover/Steve-Slow-Train-Analysis-(2080s-and-2083s)?_g=(refreshInterval:(display:Off,section:0,value:0),time:(from:'2016-06-14 20:48:11-0600',mode:absolute,to:'2016-06-14 21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73" t="str">
        <f t="shared" si="34"/>
        <v>N</v>
      </c>
      <c r="X132" s="73">
        <f t="shared" si="36"/>
        <v>1</v>
      </c>
      <c r="Y132" s="73">
        <f>RIGHT(D132,LEN(D132)-4)/10000</f>
        <v>4.4699999999999997E-2</v>
      </c>
      <c r="Z132" s="73">
        <f t="shared" si="37"/>
        <v>23.327000000000002</v>
      </c>
      <c r="AA132" s="73">
        <f t="shared" si="35"/>
        <v>23.282300000000003</v>
      </c>
      <c r="AB132" s="74" t="e">
        <f>VLOOKUP(A132,Enforcements!$C$20:$J$60,8,0)</f>
        <v>#N/A</v>
      </c>
      <c r="AC132" s="74" t="e">
        <f>VLOOKUP(A132,Enforcements!$C$20:$J$60,3,0)</f>
        <v>#N/A</v>
      </c>
    </row>
    <row r="133" spans="1:29" s="2" customFormat="1" x14ac:dyDescent="0.25">
      <c r="A133" s="60" t="s">
        <v>415</v>
      </c>
      <c r="B133" s="60">
        <v>4019</v>
      </c>
      <c r="C133" s="60" t="s">
        <v>62</v>
      </c>
      <c r="D133" s="60" t="s">
        <v>483</v>
      </c>
      <c r="E133" s="30">
        <v>42535.907731481479</v>
      </c>
      <c r="F133" s="30">
        <v>42535.908750000002</v>
      </c>
      <c r="G133" s="38">
        <v>1</v>
      </c>
      <c r="H133" s="30" t="s">
        <v>63</v>
      </c>
      <c r="I133" s="30">
        <v>42535.943912037037</v>
      </c>
      <c r="J133" s="60">
        <v>0</v>
      </c>
      <c r="K133" s="60" t="str">
        <f t="shared" si="38"/>
        <v>4019/4020</v>
      </c>
      <c r="L133" s="60" t="str">
        <f>VLOOKUP(A133,'Trips&amp;Operators'!$C$1:$E$9999,3,FALSE)</f>
        <v>LEVERE</v>
      </c>
      <c r="M133" s="12">
        <f t="shared" si="39"/>
        <v>3.5162037034751847E-2</v>
      </c>
      <c r="N133" s="13">
        <f t="shared" si="31"/>
        <v>50.63333333004266</v>
      </c>
      <c r="O133" s="13"/>
      <c r="P133" s="13"/>
      <c r="Q133" s="61"/>
      <c r="R133" s="61"/>
      <c r="S133" s="108">
        <f t="shared" si="40"/>
        <v>1</v>
      </c>
      <c r="T133" s="86" t="str">
        <f t="shared" si="41"/>
        <v>Southbound</v>
      </c>
      <c r="U133" s="10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https://search-rtdc-monitor-bjffxe2xuh6vdkpspy63sjmuny.us-east-1.es.amazonaws.com/_plugin/kibana/#/discover/Steve-Slow-Train-Analysis-(2080s-and-2083s)?_g=(refreshInterval:(display:Off,section:0,value:0),time:(from:'2016-06-14 21:46:08-0600',mode:absolute,to:'2016-06-14 22:40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73" t="str">
        <f t="shared" si="34"/>
        <v>N</v>
      </c>
      <c r="X133" s="73">
        <f t="shared" si="36"/>
        <v>1</v>
      </c>
      <c r="Y133" s="73">
        <f>RIGHT(D133,LEN(D133)-4)/10000</f>
        <v>23.294899999999998</v>
      </c>
      <c r="Z133" s="73">
        <f t="shared" si="37"/>
        <v>1.4500000000000001E-2</v>
      </c>
      <c r="AA133" s="73">
        <f t="shared" si="35"/>
        <v>23.280399999999997</v>
      </c>
      <c r="AB133" s="74" t="e">
        <f>VLOOKUP(A133,Enforcements!$C$20:$J$60,8,0)</f>
        <v>#N/A</v>
      </c>
      <c r="AC133" s="74" t="e">
        <f>VLOOKUP(A133,Enforcements!$C$20:$J$60,3,0)</f>
        <v>#N/A</v>
      </c>
    </row>
    <row r="134" spans="1:29" s="2" customFormat="1" x14ac:dyDescent="0.25">
      <c r="A134" s="60" t="s">
        <v>398</v>
      </c>
      <c r="B134" s="60">
        <v>4044</v>
      </c>
      <c r="C134" s="60" t="s">
        <v>62</v>
      </c>
      <c r="D134" s="60" t="s">
        <v>94</v>
      </c>
      <c r="E134" s="30">
        <v>42535.892870370371</v>
      </c>
      <c r="F134" s="30">
        <v>42535.893680555557</v>
      </c>
      <c r="G134" s="38">
        <v>1</v>
      </c>
      <c r="H134" s="30" t="s">
        <v>111</v>
      </c>
      <c r="I134" s="30">
        <v>42535.921412037038</v>
      </c>
      <c r="J134" s="60">
        <v>0</v>
      </c>
      <c r="K134" s="60" t="str">
        <f t="shared" si="38"/>
        <v>4043/4044</v>
      </c>
      <c r="L134" s="60" t="str">
        <f>VLOOKUP(A134,'Trips&amp;Operators'!$C$1:$E$9999,3,FALSE)</f>
        <v>GRASTON</v>
      </c>
      <c r="M134" s="12">
        <f t="shared" si="39"/>
        <v>2.7731481481168885E-2</v>
      </c>
      <c r="N134" s="13">
        <f t="shared" si="31"/>
        <v>39.933333332883194</v>
      </c>
      <c r="O134" s="13"/>
      <c r="P134" s="13"/>
      <c r="Q134" s="61"/>
      <c r="R134" s="61"/>
      <c r="S134" s="108">
        <f t="shared" si="40"/>
        <v>1</v>
      </c>
      <c r="T134" s="86" t="str">
        <f t="shared" si="41"/>
        <v>NorthBound</v>
      </c>
      <c r="U134" s="10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https://search-rtdc-monitor-bjffxe2xuh6vdkpspy63sjmuny.us-east-1.es.amazonaws.com/_plugin/kibana/#/discover/Steve-Slow-Train-Analysis-(2080s-and-2083s)?_g=(refreshInterval:(display:Off,section:0,value:0),time:(from:'2016-06-14 21:24:44-0600',mode:absolute,to:'2016-06-14 22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73" t="str">
        <f t="shared" si="34"/>
        <v>N</v>
      </c>
      <c r="X134" s="73">
        <f t="shared" si="36"/>
        <v>1</v>
      </c>
      <c r="Y134" s="73">
        <f>RIGHT(D134,LEN(D134)-4)/10000</f>
        <v>4.53E-2</v>
      </c>
      <c r="Z134" s="73">
        <v>23.33</v>
      </c>
      <c r="AA134" s="73">
        <f t="shared" si="35"/>
        <v>23.284699999999997</v>
      </c>
      <c r="AB134" s="74" t="e">
        <f>VLOOKUP(A134,Enforcements!$C$20:$J$60,8,0)</f>
        <v>#N/A</v>
      </c>
      <c r="AC134" s="74" t="e">
        <f>VLOOKUP(A134,Enforcements!$C$20:$J$60,3,0)</f>
        <v>#N/A</v>
      </c>
    </row>
    <row r="135" spans="1:29" s="2" customFormat="1" x14ac:dyDescent="0.25">
      <c r="A135" s="60" t="s">
        <v>461</v>
      </c>
      <c r="B135" s="60">
        <v>4043</v>
      </c>
      <c r="C135" s="60" t="s">
        <v>62</v>
      </c>
      <c r="D135" s="60" t="s">
        <v>75</v>
      </c>
      <c r="E135" s="30">
        <v>42535.931377314817</v>
      </c>
      <c r="F135" s="30">
        <v>42535.93236111111</v>
      </c>
      <c r="G135" s="38">
        <v>1</v>
      </c>
      <c r="H135" s="30" t="s">
        <v>90</v>
      </c>
      <c r="I135" s="30">
        <v>42535.961539351854</v>
      </c>
      <c r="J135" s="60">
        <v>0</v>
      </c>
      <c r="K135" s="60" t="str">
        <f t="shared" si="38"/>
        <v>4043/4044</v>
      </c>
      <c r="L135" s="60" t="str">
        <f>VLOOKUP(A135,'Trips&amp;Operators'!$C$1:$E$9999,3,FALSE)</f>
        <v>GRASTON</v>
      </c>
      <c r="M135" s="12">
        <f t="shared" si="39"/>
        <v>2.9178240743931383E-2</v>
      </c>
      <c r="N135" s="13">
        <f t="shared" si="31"/>
        <v>42.016666671261191</v>
      </c>
      <c r="O135" s="13"/>
      <c r="P135" s="13"/>
      <c r="Q135" s="61"/>
      <c r="R135" s="61"/>
      <c r="S135" s="108">
        <f t="shared" si="40"/>
        <v>1</v>
      </c>
      <c r="T135" s="86" t="str">
        <f t="shared" si="41"/>
        <v>Southbound</v>
      </c>
      <c r="U135" s="109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https://search-rtdc-monitor-bjffxe2xuh6vdkpspy63sjmuny.us-east-1.es.amazonaws.com/_plugin/kibana/#/discover/Steve-Slow-Train-Analysis-(2080s-and-2083s)?_g=(refreshInterval:(display:Off,section:0,value:0),time:(from:'2016-06-14 22:20:11-0600',mode:absolute,to:'2016-06-14 23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73" t="str">
        <f t="shared" si="34"/>
        <v>N</v>
      </c>
      <c r="X135" s="73">
        <f t="shared" si="36"/>
        <v>1</v>
      </c>
      <c r="Y135" s="73">
        <f>RIGHT(D135,LEN(D135)-4)/10000</f>
        <v>23.299600000000002</v>
      </c>
      <c r="Z135" s="73">
        <f t="shared" ref="Z135:Z147" si="42">RIGHT(H135,LEN(H135)-4)/10000</f>
        <v>1.49E-2</v>
      </c>
      <c r="AA135" s="73">
        <f t="shared" si="35"/>
        <v>23.284700000000001</v>
      </c>
      <c r="AB135" s="74" t="e">
        <f>VLOOKUP(A135,Enforcements!$C$20:$J$60,8,0)</f>
        <v>#N/A</v>
      </c>
      <c r="AC135" s="74" t="e">
        <f>VLOOKUP(A135,Enforcements!$C$20:$J$60,3,0)</f>
        <v>#N/A</v>
      </c>
    </row>
    <row r="136" spans="1:29" s="2" customFormat="1" x14ac:dyDescent="0.25">
      <c r="A136" s="60" t="s">
        <v>416</v>
      </c>
      <c r="B136" s="60">
        <v>4007</v>
      </c>
      <c r="C136" s="60" t="s">
        <v>62</v>
      </c>
      <c r="D136" s="60" t="s">
        <v>64</v>
      </c>
      <c r="E136" s="30">
        <v>42535.912800925929</v>
      </c>
      <c r="F136" s="30">
        <v>42535.913703703707</v>
      </c>
      <c r="G136" s="38">
        <v>1</v>
      </c>
      <c r="H136" s="30" t="s">
        <v>469</v>
      </c>
      <c r="I136" s="30">
        <v>42535.945416666669</v>
      </c>
      <c r="J136" s="60">
        <v>0</v>
      </c>
      <c r="K136" s="60" t="str">
        <f t="shared" si="38"/>
        <v>4007/4008</v>
      </c>
      <c r="L136" s="60" t="str">
        <f>VLOOKUP(A136,'Trips&amp;Operators'!$C$1:$E$9999,3,FALSE)</f>
        <v>ADANE</v>
      </c>
      <c r="M136" s="12">
        <f t="shared" si="39"/>
        <v>3.1712962962046731E-2</v>
      </c>
      <c r="N136" s="13">
        <f t="shared" si="31"/>
        <v>45.666666665347293</v>
      </c>
      <c r="O136" s="13"/>
      <c r="P136" s="13"/>
      <c r="Q136" s="61"/>
      <c r="R136" s="61"/>
      <c r="S136" s="108">
        <f t="shared" si="40"/>
        <v>1</v>
      </c>
      <c r="T136" s="86" t="str">
        <f t="shared" si="41"/>
        <v>NorthBound</v>
      </c>
      <c r="U136" s="10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https://search-rtdc-monitor-bjffxe2xuh6vdkpspy63sjmuny.us-east-1.es.amazonaws.com/_plugin/kibana/#/discover/Steve-Slow-Train-Analysis-(2080s-and-2083s)?_g=(refreshInterval:(display:Off,section:0,value:0),time:(from:'2016-06-14 21:53:26-0600',mode:absolute,to:'2016-06-14 22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6" s="73" t="str">
        <f t="shared" si="34"/>
        <v>N</v>
      </c>
      <c r="X136" s="73">
        <f t="shared" si="36"/>
        <v>1</v>
      </c>
      <c r="Y136" s="73">
        <f>RIGHT(D136,LEN(D136)-4)/10000</f>
        <v>4.5499999999999999E-2</v>
      </c>
      <c r="Z136" s="73">
        <f t="shared" si="42"/>
        <v>23.331199999999999</v>
      </c>
      <c r="AA136" s="73">
        <f t="shared" si="35"/>
        <v>23.285699999999999</v>
      </c>
      <c r="AB136" s="74" t="e">
        <f>VLOOKUP(A136,Enforcements!$C$20:$J$60,8,0)</f>
        <v>#N/A</v>
      </c>
      <c r="AC136" s="74" t="e">
        <f>VLOOKUP(A136,Enforcements!$C$20:$J$60,3,0)</f>
        <v>#N/A</v>
      </c>
    </row>
    <row r="137" spans="1:29" s="2" customFormat="1" x14ac:dyDescent="0.25">
      <c r="A137" s="60" t="s">
        <v>372</v>
      </c>
      <c r="B137" s="60">
        <v>4008</v>
      </c>
      <c r="C137" s="60" t="s">
        <v>62</v>
      </c>
      <c r="D137" s="60" t="s">
        <v>101</v>
      </c>
      <c r="E137" s="30">
        <v>42535.951099537036</v>
      </c>
      <c r="F137" s="30">
        <v>42535.952118055553</v>
      </c>
      <c r="G137" s="38">
        <v>1</v>
      </c>
      <c r="H137" s="30" t="s">
        <v>484</v>
      </c>
      <c r="I137" s="30">
        <v>42535.984629629631</v>
      </c>
      <c r="J137" s="60">
        <v>0</v>
      </c>
      <c r="K137" s="60" t="str">
        <f t="shared" si="38"/>
        <v>4007/4008</v>
      </c>
      <c r="L137" s="60" t="str">
        <f>VLOOKUP(A137,'Trips&amp;Operators'!$C$1:$E$9999,3,FALSE)</f>
        <v>ADANE</v>
      </c>
      <c r="M137" s="12">
        <f t="shared" si="39"/>
        <v>3.2511574077943806E-2</v>
      </c>
      <c r="N137" s="13">
        <f t="shared" si="31"/>
        <v>46.81666667223908</v>
      </c>
      <c r="O137" s="13"/>
      <c r="P137" s="13"/>
      <c r="Q137" s="61"/>
      <c r="R137" s="61"/>
      <c r="S137" s="108">
        <f t="shared" si="40"/>
        <v>1</v>
      </c>
      <c r="T137" s="86" t="str">
        <f t="shared" si="41"/>
        <v>Southbound</v>
      </c>
      <c r="U137" s="10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https://search-rtdc-monitor-bjffxe2xuh6vdkpspy63sjmuny.us-east-1.es.amazonaws.com/_plugin/kibana/#/discover/Steve-Slow-Train-Analysis-(2080s-and-2083s)?_g=(refreshInterval:(display:Off,section:0,value:0),time:(from:'2016-06-14 22:48:35-0600',mode:absolute,to:'2016-06-14 23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7" s="73" t="str">
        <f t="shared" si="34"/>
        <v>N</v>
      </c>
      <c r="X137" s="73">
        <f t="shared" si="36"/>
        <v>1</v>
      </c>
      <c r="Y137" s="73">
        <f>RIGHT(D137,LEN(D137)-4)/10000</f>
        <v>23.2989</v>
      </c>
      <c r="Z137" s="73">
        <f t="shared" si="42"/>
        <v>1.5800000000000002E-2</v>
      </c>
      <c r="AA137" s="73">
        <f t="shared" si="35"/>
        <v>23.283100000000001</v>
      </c>
      <c r="AB137" s="74" t="e">
        <f>VLOOKUP(A137,Enforcements!$C$20:$J$60,8,0)</f>
        <v>#N/A</v>
      </c>
      <c r="AC137" s="74" t="e">
        <f>VLOOKUP(A137,Enforcements!$C$20:$J$60,3,0)</f>
        <v>#N/A</v>
      </c>
    </row>
    <row r="138" spans="1:29" s="2" customFormat="1" x14ac:dyDescent="0.25">
      <c r="A138" s="60" t="s">
        <v>397</v>
      </c>
      <c r="B138" s="60">
        <v>4016</v>
      </c>
      <c r="C138" s="60" t="s">
        <v>62</v>
      </c>
      <c r="D138" s="60" t="s">
        <v>485</v>
      </c>
      <c r="E138" s="30">
        <v>42535.928703703707</v>
      </c>
      <c r="F138" s="30">
        <v>42535.93246527778</v>
      </c>
      <c r="G138" s="38">
        <v>5</v>
      </c>
      <c r="H138" s="30" t="s">
        <v>486</v>
      </c>
      <c r="I138" s="30">
        <v>42535.966331018521</v>
      </c>
      <c r="J138" s="60">
        <v>0</v>
      </c>
      <c r="K138" s="60" t="str">
        <f t="shared" si="38"/>
        <v>4015/4016</v>
      </c>
      <c r="L138" s="60" t="str">
        <f>VLOOKUP(A138,'Trips&amp;Operators'!$C$1:$E$9999,3,FALSE)</f>
        <v>BARTLETT</v>
      </c>
      <c r="M138" s="12">
        <f t="shared" si="39"/>
        <v>3.3865740741021E-2</v>
      </c>
      <c r="N138" s="13">
        <f t="shared" si="31"/>
        <v>48.76666666707024</v>
      </c>
      <c r="O138" s="13"/>
      <c r="P138" s="13"/>
      <c r="Q138" s="61"/>
      <c r="R138" s="61"/>
      <c r="S138" s="108">
        <f t="shared" si="40"/>
        <v>1</v>
      </c>
      <c r="T138" s="86" t="str">
        <f t="shared" si="41"/>
        <v>NorthBound</v>
      </c>
      <c r="U138" s="109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https://search-rtdc-monitor-bjffxe2xuh6vdkpspy63sjmuny.us-east-1.es.amazonaws.com/_plugin/kibana/#/discover/Steve-Slow-Train-Analysis-(2080s-and-2083s)?_g=(refreshInterval:(display:Off,section:0,value:0),time:(from:'2016-06-14 22:16:20-0600',mode:absolute,to:'2016-06-14 23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3" t="str">
        <f t="shared" si="34"/>
        <v>N</v>
      </c>
      <c r="X138" s="73">
        <f t="shared" si="36"/>
        <v>1</v>
      </c>
      <c r="Y138" s="73">
        <f>RIGHT(D138,LEN(D138)-4)/10000</f>
        <v>0.04</v>
      </c>
      <c r="Z138" s="73">
        <f t="shared" si="42"/>
        <v>23.328099999999999</v>
      </c>
      <c r="AA138" s="73">
        <f t="shared" si="35"/>
        <v>23.2881</v>
      </c>
      <c r="AB138" s="74" t="e">
        <f>VLOOKUP(A138,Enforcements!$C$20:$J$60,8,0)</f>
        <v>#N/A</v>
      </c>
      <c r="AC138" s="74" t="e">
        <f>VLOOKUP(A138,Enforcements!$C$20:$J$60,3,0)</f>
        <v>#N/A</v>
      </c>
    </row>
    <row r="139" spans="1:29" s="2" customFormat="1" x14ac:dyDescent="0.25">
      <c r="A139" s="60" t="s">
        <v>396</v>
      </c>
      <c r="B139" s="60">
        <v>4015</v>
      </c>
      <c r="C139" s="60" t="s">
        <v>62</v>
      </c>
      <c r="D139" s="60" t="s">
        <v>478</v>
      </c>
      <c r="E139" s="30">
        <v>42535.972928240742</v>
      </c>
      <c r="F139" s="30">
        <v>42535.973854166667</v>
      </c>
      <c r="G139" s="38">
        <v>1</v>
      </c>
      <c r="H139" s="30" t="s">
        <v>487</v>
      </c>
      <c r="I139" s="30">
        <v>42536.004305555558</v>
      </c>
      <c r="J139" s="60">
        <v>0</v>
      </c>
      <c r="K139" s="60" t="str">
        <f t="shared" si="38"/>
        <v>4015/4016</v>
      </c>
      <c r="L139" s="60" t="str">
        <f>VLOOKUP(A139,'Trips&amp;Operators'!$C$1:$E$9999,3,FALSE)</f>
        <v>BARTLETT</v>
      </c>
      <c r="M139" s="12">
        <f t="shared" si="39"/>
        <v>3.0451388891378883E-2</v>
      </c>
      <c r="N139" s="13">
        <f t="shared" si="31"/>
        <v>43.850000003585592</v>
      </c>
      <c r="O139" s="13"/>
      <c r="P139" s="13"/>
      <c r="Q139" s="61"/>
      <c r="R139" s="61"/>
      <c r="S139" s="108">
        <f t="shared" si="40"/>
        <v>1</v>
      </c>
      <c r="T139" s="86" t="str">
        <f t="shared" si="41"/>
        <v>Southbound</v>
      </c>
      <c r="U139" s="109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https://search-rtdc-monitor-bjffxe2xuh6vdkpspy63sjmuny.us-east-1.es.amazonaws.com/_plugin/kibana/#/discover/Steve-Slow-Train-Analysis-(2080s-and-2083s)?_g=(refreshInterval:(display:Off,section:0,value:0),time:(from:'2016-06-14 23:20:01-0600',mode:absolute,to:'2016-06-15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3" t="str">
        <f t="shared" si="34"/>
        <v>Y</v>
      </c>
      <c r="X139" s="73">
        <f t="shared" si="36"/>
        <v>1</v>
      </c>
      <c r="Y139" s="73">
        <f>RIGHT(D139,LEN(D139)-4)/10000</f>
        <v>23.2972</v>
      </c>
      <c r="Z139" s="73">
        <f t="shared" si="42"/>
        <v>0.31009999999999999</v>
      </c>
      <c r="AA139" s="73">
        <f t="shared" si="35"/>
        <v>22.987100000000002</v>
      </c>
      <c r="AB139" s="74" t="e">
        <f>VLOOKUP(A139,Enforcements!$C$20:$J$60,8,0)</f>
        <v>#N/A</v>
      </c>
      <c r="AC139" s="74" t="e">
        <f>VLOOKUP(A139,Enforcements!$C$20:$J$60,3,0)</f>
        <v>#N/A</v>
      </c>
    </row>
    <row r="140" spans="1:29" s="2" customFormat="1" x14ac:dyDescent="0.25">
      <c r="A140" s="60" t="s">
        <v>457</v>
      </c>
      <c r="B140" s="60">
        <v>4020</v>
      </c>
      <c r="C140" s="60" t="s">
        <v>62</v>
      </c>
      <c r="D140" s="60" t="s">
        <v>77</v>
      </c>
      <c r="E140" s="30">
        <v>42535.949965277781</v>
      </c>
      <c r="F140" s="30">
        <v>42535.950752314813</v>
      </c>
      <c r="G140" s="38">
        <v>1</v>
      </c>
      <c r="H140" s="30" t="s">
        <v>108</v>
      </c>
      <c r="I140" s="30">
        <v>42535.985694444447</v>
      </c>
      <c r="J140" s="60">
        <v>0</v>
      </c>
      <c r="K140" s="60" t="str">
        <f t="shared" si="38"/>
        <v>4019/4020</v>
      </c>
      <c r="L140" s="60" t="str">
        <f>VLOOKUP(A140,'Trips&amp;Operators'!$C$1:$E$9999,3,FALSE)</f>
        <v>LEVERE</v>
      </c>
      <c r="M140" s="12">
        <f t="shared" si="39"/>
        <v>3.4942129634146113E-2</v>
      </c>
      <c r="N140" s="13">
        <f t="shared" si="31"/>
        <v>50.316666673170403</v>
      </c>
      <c r="O140" s="13"/>
      <c r="P140" s="13"/>
      <c r="Q140" s="61"/>
      <c r="R140" s="61"/>
      <c r="S140" s="108">
        <f t="shared" si="40"/>
        <v>1</v>
      </c>
      <c r="T140" s="86" t="str">
        <f t="shared" si="41"/>
        <v>NorthBound</v>
      </c>
      <c r="U140" s="109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https://search-rtdc-monitor-bjffxe2xuh6vdkpspy63sjmuny.us-east-1.es.amazonaws.com/_plugin/kibana/#/discover/Steve-Slow-Train-Analysis-(2080s-and-2083s)?_g=(refreshInterval:(display:Off,section:0,value:0),time:(from:'2016-06-14 22:46:57-0600',mode:absolute,to:'2016-06-14 23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73" t="str">
        <f t="shared" si="34"/>
        <v>N</v>
      </c>
      <c r="X140" s="73">
        <f t="shared" si="36"/>
        <v>1</v>
      </c>
      <c r="Y140" s="73">
        <f>RIGHT(D140,LEN(D140)-4)/10000</f>
        <v>4.5999999999999999E-2</v>
      </c>
      <c r="Z140" s="73">
        <f t="shared" si="42"/>
        <v>23.329799999999999</v>
      </c>
      <c r="AA140" s="73">
        <f t="shared" si="35"/>
        <v>23.283799999999999</v>
      </c>
      <c r="AB140" s="74" t="e">
        <f>VLOOKUP(A140,Enforcements!$C$20:$J$60,8,0)</f>
        <v>#N/A</v>
      </c>
      <c r="AC140" s="74" t="e">
        <f>VLOOKUP(A140,Enforcements!$C$20:$J$60,3,0)</f>
        <v>#N/A</v>
      </c>
    </row>
    <row r="141" spans="1:29" s="2" customFormat="1" x14ac:dyDescent="0.25">
      <c r="A141" s="60" t="s">
        <v>417</v>
      </c>
      <c r="B141" s="60">
        <v>4019</v>
      </c>
      <c r="C141" s="60" t="s">
        <v>62</v>
      </c>
      <c r="D141" s="60" t="s">
        <v>112</v>
      </c>
      <c r="E141" s="30">
        <v>42535.991423611114</v>
      </c>
      <c r="F141" s="30">
        <v>42535.992361111108</v>
      </c>
      <c r="G141" s="38">
        <v>1</v>
      </c>
      <c r="H141" s="30" t="s">
        <v>76</v>
      </c>
      <c r="I141" s="30">
        <v>42536.047592592593</v>
      </c>
      <c r="J141" s="60">
        <v>0</v>
      </c>
      <c r="K141" s="60" t="str">
        <f t="shared" si="38"/>
        <v>4019/4020</v>
      </c>
      <c r="L141" s="60" t="str">
        <f>VLOOKUP(A141,'Trips&amp;Operators'!$C$1:$E$9999,3,FALSE)</f>
        <v>LEVERE</v>
      </c>
      <c r="M141" s="12">
        <f t="shared" si="39"/>
        <v>5.5231481484952383E-2</v>
      </c>
      <c r="N141" s="13">
        <f t="shared" si="31"/>
        <v>79.533333338331431</v>
      </c>
      <c r="O141" s="13"/>
      <c r="P141" s="13"/>
      <c r="Q141" s="61"/>
      <c r="R141" s="61"/>
      <c r="S141" s="108">
        <f t="shared" si="40"/>
        <v>1</v>
      </c>
      <c r="T141" s="86" t="str">
        <f t="shared" si="41"/>
        <v>Southbound</v>
      </c>
      <c r="U141" s="109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https://search-rtdc-monitor-bjffxe2xuh6vdkpspy63sjmuny.us-east-1.es.amazonaws.com/_plugin/kibana/#/discover/Steve-Slow-Train-Analysis-(2080s-and-2083s)?_g=(refreshInterval:(display:Off,section:0,value:0),time:(from:'2016-06-14 23:46:39-0600',mode:absolute,to:'2016-06-15 01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73" t="str">
        <f t="shared" si="34"/>
        <v>N</v>
      </c>
      <c r="X141" s="73">
        <f t="shared" si="36"/>
        <v>1</v>
      </c>
      <c r="Y141" s="73">
        <f>RIGHT(D141,LEN(D141)-4)/10000</f>
        <v>23.297599999999999</v>
      </c>
      <c r="Z141" s="73">
        <f t="shared" si="42"/>
        <v>1.6E-2</v>
      </c>
      <c r="AA141" s="73">
        <f t="shared" si="35"/>
        <v>23.281600000000001</v>
      </c>
      <c r="AB141" s="74" t="e">
        <f>VLOOKUP(A141,Enforcements!$C$20:$J$60,8,0)</f>
        <v>#N/A</v>
      </c>
      <c r="AC141" s="74" t="e">
        <f>VLOOKUP(A141,Enforcements!$C$20:$J$60,3,0)</f>
        <v>#N/A</v>
      </c>
    </row>
    <row r="142" spans="1:29" s="2" customFormat="1" x14ac:dyDescent="0.25">
      <c r="A142" s="60" t="s">
        <v>452</v>
      </c>
      <c r="B142" s="60">
        <v>4044</v>
      </c>
      <c r="C142" s="60" t="s">
        <v>62</v>
      </c>
      <c r="D142" s="60" t="s">
        <v>488</v>
      </c>
      <c r="E142" s="30">
        <v>42535.974502314813</v>
      </c>
      <c r="F142" s="30">
        <v>42535.975439814814</v>
      </c>
      <c r="G142" s="38">
        <v>1</v>
      </c>
      <c r="H142" s="30" t="s">
        <v>489</v>
      </c>
      <c r="I142" s="30">
        <v>42536.005578703705</v>
      </c>
      <c r="J142" s="60">
        <v>0</v>
      </c>
      <c r="K142" s="60" t="str">
        <f t="shared" si="38"/>
        <v>4043/4044</v>
      </c>
      <c r="L142" s="60" t="str">
        <f>VLOOKUP(A142,'Trips&amp;Operators'!$C$1:$E$9999,3,FALSE)</f>
        <v>GRASTON</v>
      </c>
      <c r="M142" s="12">
        <f t="shared" si="39"/>
        <v>3.0138888891087845E-2</v>
      </c>
      <c r="N142" s="13">
        <f t="shared" si="31"/>
        <v>43.400000003166497</v>
      </c>
      <c r="O142" s="13"/>
      <c r="P142" s="13"/>
      <c r="Q142" s="61"/>
      <c r="R142" s="61"/>
      <c r="S142" s="108">
        <f t="shared" si="40"/>
        <v>1</v>
      </c>
      <c r="T142" s="86" t="str">
        <f t="shared" si="41"/>
        <v>NorthBound</v>
      </c>
      <c r="U142" s="10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https://search-rtdc-monitor-bjffxe2xuh6vdkpspy63sjmuny.us-east-1.es.amazonaws.com/_plugin/kibana/#/discover/Steve-Slow-Train-Analysis-(2080s-and-2083s)?_g=(refreshInterval:(display:Off,section:0,value:0),time:(from:'2016-06-14 23:22:17-0600',mode:absolute,to:'2016-06-15 00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73" t="str">
        <f t="shared" si="34"/>
        <v>N</v>
      </c>
      <c r="X142" s="73">
        <f t="shared" si="36"/>
        <v>1</v>
      </c>
      <c r="Y142" s="73">
        <f>RIGHT(D142,LEN(D142)-4)/10000</f>
        <v>5.0900000000000001E-2</v>
      </c>
      <c r="Z142" s="73">
        <f t="shared" si="42"/>
        <v>23.328499999999998</v>
      </c>
      <c r="AA142" s="73">
        <f t="shared" si="35"/>
        <v>23.2776</v>
      </c>
      <c r="AB142" s="74" t="e">
        <f>VLOOKUP(A142,Enforcements!$C$20:$J$60,8,0)</f>
        <v>#N/A</v>
      </c>
      <c r="AC142" s="74" t="e">
        <f>VLOOKUP(A142,Enforcements!$C$20:$J$60,3,0)</f>
        <v>#N/A</v>
      </c>
    </row>
    <row r="143" spans="1:29" s="2" customFormat="1" x14ac:dyDescent="0.25">
      <c r="A143" s="60" t="s">
        <v>364</v>
      </c>
      <c r="B143" s="60">
        <v>4043</v>
      </c>
      <c r="C143" s="60" t="s">
        <v>62</v>
      </c>
      <c r="D143" s="60" t="s">
        <v>107</v>
      </c>
      <c r="E143" s="30">
        <v>42536.015740740739</v>
      </c>
      <c r="F143" s="30">
        <v>42536.016562500001</v>
      </c>
      <c r="G143" s="38">
        <v>1</v>
      </c>
      <c r="H143" s="30" t="s">
        <v>76</v>
      </c>
      <c r="I143" s="30">
        <v>42536.050347222219</v>
      </c>
      <c r="J143" s="60">
        <v>1</v>
      </c>
      <c r="K143" s="60" t="str">
        <f t="shared" si="38"/>
        <v>4043/4044</v>
      </c>
      <c r="L143" s="60" t="str">
        <f>VLOOKUP(A143,'Trips&amp;Operators'!$C$1:$E$9999,3,FALSE)</f>
        <v>GRASTON</v>
      </c>
      <c r="M143" s="12">
        <f t="shared" si="39"/>
        <v>3.3784722218115348E-2</v>
      </c>
      <c r="N143" s="13">
        <f t="shared" si="31"/>
        <v>48.649999994086102</v>
      </c>
      <c r="O143" s="13"/>
      <c r="P143" s="13"/>
      <c r="Q143" s="61"/>
      <c r="R143" s="61"/>
      <c r="S143" s="108">
        <f t="shared" si="40"/>
        <v>1</v>
      </c>
      <c r="T143" s="86" t="str">
        <f t="shared" si="41"/>
        <v>Southbound</v>
      </c>
      <c r="U143" s="109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https://search-rtdc-monitor-bjffxe2xuh6vdkpspy63sjmuny.us-east-1.es.amazonaws.com/_plugin/kibana/#/discover/Steve-Slow-Train-Analysis-(2080s-and-2083s)?_g=(refreshInterval:(display:Off,section:0,value:0),time:(from:'2016-06-15 00:21:40-0600',mode:absolute,to:'2016-06-15 01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73" t="str">
        <f t="shared" si="34"/>
        <v>N</v>
      </c>
      <c r="X143" s="73">
        <f t="shared" si="36"/>
        <v>1</v>
      </c>
      <c r="Y143" s="73">
        <f>RIGHT(D143,LEN(D143)-4)/10000</f>
        <v>23.298300000000001</v>
      </c>
      <c r="Z143" s="73">
        <f t="shared" si="42"/>
        <v>1.6E-2</v>
      </c>
      <c r="AA143" s="73">
        <f t="shared" si="35"/>
        <v>23.282300000000003</v>
      </c>
      <c r="AB143" s="74">
        <f>VLOOKUP(A143,Enforcements!$C$20:$J$60,8,0)</f>
        <v>1</v>
      </c>
      <c r="AC143" s="74" t="str">
        <f>VLOOKUP(A143,Enforcements!$C$20:$J$60,3,0)</f>
        <v>TRACK WARRANT AUTHORITY</v>
      </c>
    </row>
    <row r="144" spans="1:29" s="2" customFormat="1" x14ac:dyDescent="0.25">
      <c r="A144" s="60" t="s">
        <v>459</v>
      </c>
      <c r="B144" s="60">
        <v>4007</v>
      </c>
      <c r="C144" s="60" t="s">
        <v>62</v>
      </c>
      <c r="D144" s="60" t="s">
        <v>490</v>
      </c>
      <c r="E144" s="30">
        <v>42535.997233796297</v>
      </c>
      <c r="F144" s="30">
        <v>42535.998229166667</v>
      </c>
      <c r="G144" s="38">
        <v>1</v>
      </c>
      <c r="H144" s="30" t="s">
        <v>491</v>
      </c>
      <c r="I144" s="30">
        <v>42536.043553240743</v>
      </c>
      <c r="J144" s="60">
        <v>0</v>
      </c>
      <c r="K144" s="60" t="str">
        <f t="shared" si="38"/>
        <v>4007/4008</v>
      </c>
      <c r="L144" s="60" t="str">
        <f>VLOOKUP(A144,'Trips&amp;Operators'!$C$1:$E$9999,3,FALSE)</f>
        <v>ADANE</v>
      </c>
      <c r="M144" s="12">
        <f t="shared" si="39"/>
        <v>4.5324074075324461E-2</v>
      </c>
      <c r="N144" s="13">
        <f t="shared" si="31"/>
        <v>65.266666668467224</v>
      </c>
      <c r="O144" s="13"/>
      <c r="P144" s="13"/>
      <c r="Q144" s="61"/>
      <c r="R144" s="61"/>
      <c r="S144" s="108">
        <f t="shared" si="40"/>
        <v>1</v>
      </c>
      <c r="T144" s="86" t="str">
        <f t="shared" si="41"/>
        <v>NorthBound</v>
      </c>
      <c r="U144" s="10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https://search-rtdc-monitor-bjffxe2xuh6vdkpspy63sjmuny.us-east-1.es.amazonaws.com/_plugin/kibana/#/discover/Steve-Slow-Train-Analysis-(2080s-and-2083s)?_g=(refreshInterval:(display:Off,section:0,value:0),time:(from:'2016-06-14 23:55:01-0600',mode:absolute,to:'2016-06-15 01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4" s="73" t="str">
        <f t="shared" si="34"/>
        <v>N</v>
      </c>
      <c r="X144" s="73">
        <f t="shared" si="36"/>
        <v>1</v>
      </c>
      <c r="Y144" s="73">
        <f>RIGHT(D144,LEN(D144)-4)/10000</f>
        <v>4.7100000000000003E-2</v>
      </c>
      <c r="Z144" s="73">
        <f t="shared" si="42"/>
        <v>23.3308</v>
      </c>
      <c r="AA144" s="73">
        <f t="shared" si="35"/>
        <v>23.2837</v>
      </c>
      <c r="AB144" s="74" t="e">
        <f>VLOOKUP(A144,Enforcements!$C$20:$J$60,8,0)</f>
        <v>#N/A</v>
      </c>
      <c r="AC144" s="74" t="e">
        <f>VLOOKUP(A144,Enforcements!$C$20:$J$60,3,0)</f>
        <v>#N/A</v>
      </c>
    </row>
    <row r="145" spans="1:29" s="2" customFormat="1" x14ac:dyDescent="0.25">
      <c r="A145" s="60" t="s">
        <v>365</v>
      </c>
      <c r="B145" s="60">
        <v>4008</v>
      </c>
      <c r="C145" s="60" t="s">
        <v>62</v>
      </c>
      <c r="D145" s="60" t="s">
        <v>101</v>
      </c>
      <c r="E145" s="30">
        <v>42536.045138888891</v>
      </c>
      <c r="F145" s="30">
        <v>42536.046064814815</v>
      </c>
      <c r="G145" s="38">
        <v>1</v>
      </c>
      <c r="H145" s="30" t="s">
        <v>72</v>
      </c>
      <c r="I145" s="30">
        <v>42536.072442129633</v>
      </c>
      <c r="J145" s="60">
        <v>1</v>
      </c>
      <c r="K145" s="60" t="str">
        <f t="shared" si="38"/>
        <v>4007/4008</v>
      </c>
      <c r="L145" s="60" t="str">
        <f>VLOOKUP(A145,'Trips&amp;Operators'!$C$1:$E$9999,3,FALSE)</f>
        <v>ADANE</v>
      </c>
      <c r="M145" s="12">
        <f t="shared" si="39"/>
        <v>2.6377314818091691E-2</v>
      </c>
      <c r="N145" s="13">
        <f t="shared" si="31"/>
        <v>37.983333338052034</v>
      </c>
      <c r="O145" s="13"/>
      <c r="P145" s="13"/>
      <c r="Q145" s="61"/>
      <c r="R145" s="61"/>
      <c r="S145" s="108">
        <f t="shared" si="40"/>
        <v>1</v>
      </c>
      <c r="T145" s="86" t="str">
        <f t="shared" si="41"/>
        <v>Southbound</v>
      </c>
      <c r="U145" s="109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https://search-rtdc-monitor-bjffxe2xuh6vdkpspy63sjmuny.us-east-1.es.amazonaws.com/_plugin/kibana/#/discover/Steve-Slow-Train-Analysis-(2080s-and-2083s)?_g=(refreshInterval:(display:Off,section:0,value:0),time:(from:'2016-06-15 01:04:00-0600',mode:absolute,to:'2016-06-15 01:45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5" s="73" t="str">
        <f t="shared" si="34"/>
        <v>N</v>
      </c>
      <c r="X145" s="73">
        <f t="shared" si="36"/>
        <v>1</v>
      </c>
      <c r="Y145" s="73">
        <f>RIGHT(D145,LEN(D145)-4)/10000</f>
        <v>23.2989</v>
      </c>
      <c r="Z145" s="73">
        <f t="shared" si="42"/>
        <v>1.4999999999999999E-2</v>
      </c>
      <c r="AA145" s="73">
        <f t="shared" si="35"/>
        <v>23.283899999999999</v>
      </c>
      <c r="AB145" s="74" t="e">
        <f>VLOOKUP(A145,Enforcements!$C$20:$J$60,8,0)</f>
        <v>#N/A</v>
      </c>
      <c r="AC145" s="74" t="e">
        <f>VLOOKUP(A145,Enforcements!$C$20:$J$60,3,0)</f>
        <v>#N/A</v>
      </c>
    </row>
    <row r="146" spans="1:29" s="2" customFormat="1" x14ac:dyDescent="0.25">
      <c r="A146" s="60" t="s">
        <v>395</v>
      </c>
      <c r="B146" s="60">
        <v>4016</v>
      </c>
      <c r="C146" s="60" t="s">
        <v>62</v>
      </c>
      <c r="D146" s="60" t="s">
        <v>492</v>
      </c>
      <c r="E146" s="30">
        <v>42536.011550925927</v>
      </c>
      <c r="F146" s="30">
        <v>42536.015208333331</v>
      </c>
      <c r="G146" s="38">
        <v>5</v>
      </c>
      <c r="H146" s="30" t="s">
        <v>469</v>
      </c>
      <c r="I146" s="30">
        <v>42536.050659722219</v>
      </c>
      <c r="J146" s="60">
        <v>0</v>
      </c>
      <c r="K146" s="60" t="str">
        <f t="shared" si="38"/>
        <v>4015/4016</v>
      </c>
      <c r="L146" s="60" t="str">
        <f>VLOOKUP(A146,'Trips&amp;Operators'!$C$1:$E$9999,3,FALSE)</f>
        <v>BARTLETT</v>
      </c>
      <c r="M146" s="12">
        <f t="shared" si="39"/>
        <v>3.5451388888759539E-2</v>
      </c>
      <c r="N146" s="13">
        <f t="shared" si="31"/>
        <v>51.049999999813735</v>
      </c>
      <c r="O146" s="13"/>
      <c r="P146" s="13"/>
      <c r="Q146" s="61"/>
      <c r="R146" s="61"/>
      <c r="S146" s="108">
        <f t="shared" si="40"/>
        <v>1</v>
      </c>
      <c r="T146" s="86" t="str">
        <f t="shared" si="41"/>
        <v>NorthBound</v>
      </c>
      <c r="U146" s="109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https://search-rtdc-monitor-bjffxe2xuh6vdkpspy63sjmuny.us-east-1.es.amazonaws.com/_plugin/kibana/#/discover/Steve-Slow-Train-Analysis-(2080s-and-2083s)?_g=(refreshInterval:(display:Off,section:0,value:0),time:(from:'2016-06-15 00:15:38-0600',mode:absolute,to:'2016-06-15 01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6" s="73" t="str">
        <f t="shared" si="34"/>
        <v>N</v>
      </c>
      <c r="X146" s="73">
        <f t="shared" si="36"/>
        <v>1</v>
      </c>
      <c r="Y146" s="73">
        <f>RIGHT(D146,LEN(D146)-4)/10000</f>
        <v>4.1799999999999997E-2</v>
      </c>
      <c r="Z146" s="73">
        <f t="shared" si="42"/>
        <v>23.331199999999999</v>
      </c>
      <c r="AA146" s="73">
        <f t="shared" si="35"/>
        <v>23.289400000000001</v>
      </c>
      <c r="AB146" s="74" t="e">
        <f>VLOOKUP(A146,Enforcements!$C$20:$J$60,8,0)</f>
        <v>#N/A</v>
      </c>
      <c r="AC146" s="74" t="e">
        <f>VLOOKUP(A146,Enforcements!$C$20:$J$60,3,0)</f>
        <v>#N/A</v>
      </c>
    </row>
    <row r="147" spans="1:29" s="2" customFormat="1" x14ac:dyDescent="0.25">
      <c r="A147" s="60" t="s">
        <v>373</v>
      </c>
      <c r="B147" s="60">
        <v>4015</v>
      </c>
      <c r="C147" s="60" t="s">
        <v>62</v>
      </c>
      <c r="D147" s="60" t="s">
        <v>305</v>
      </c>
      <c r="E147" s="30">
        <v>42536.055138888885</v>
      </c>
      <c r="F147" s="30">
        <v>42536.056030092594</v>
      </c>
      <c r="G147" s="38">
        <v>1</v>
      </c>
      <c r="H147" s="30" t="s">
        <v>280</v>
      </c>
      <c r="I147" s="30">
        <v>42536.086805555555</v>
      </c>
      <c r="J147" s="60">
        <v>0</v>
      </c>
      <c r="K147" s="60" t="str">
        <f t="shared" si="38"/>
        <v>4015/4016</v>
      </c>
      <c r="L147" s="60" t="str">
        <f>VLOOKUP(A147,'Trips&amp;Operators'!$C$1:$E$9999,3,FALSE)</f>
        <v>BARTLETT</v>
      </c>
      <c r="M147" s="12">
        <f t="shared" si="39"/>
        <v>3.0775462961173616E-2</v>
      </c>
      <c r="N147" s="13">
        <f t="shared" si="31"/>
        <v>44.316666664090008</v>
      </c>
      <c r="O147" s="13"/>
      <c r="P147" s="13"/>
      <c r="Q147" s="61"/>
      <c r="R147" s="61"/>
      <c r="S147" s="108">
        <f t="shared" si="40"/>
        <v>1</v>
      </c>
      <c r="T147" s="86" t="str">
        <f t="shared" si="41"/>
        <v>Southbound</v>
      </c>
      <c r="U147" s="109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https://search-rtdc-monitor-bjffxe2xuh6vdkpspy63sjmuny.us-east-1.es.amazonaws.com/_plugin/kibana/#/discover/Steve-Slow-Train-Analysis-(2080s-and-2083s)?_g=(refreshInterval:(display:Off,section:0,value:0),time:(from:'2016-06-15 01:18:24-0600',mode:absolute,to:'2016-06-15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7" s="73" t="str">
        <f t="shared" si="34"/>
        <v>N</v>
      </c>
      <c r="X147" s="73">
        <f t="shared" si="36"/>
        <v>1</v>
      </c>
      <c r="Y147" s="73">
        <f>RIGHT(D147,LEN(D147)-4)/10000</f>
        <v>23.299299999999999</v>
      </c>
      <c r="Z147" s="73">
        <f t="shared" si="42"/>
        <v>1.6899999999999998E-2</v>
      </c>
      <c r="AA147" s="73">
        <f t="shared" si="35"/>
        <v>23.282399999999999</v>
      </c>
      <c r="AB147" s="74" t="e">
        <f>VLOOKUP(A147,Enforcements!$C$20:$J$60,8,0)</f>
        <v>#N/A</v>
      </c>
      <c r="AC147" s="74" t="e">
        <f>VLOOKUP(A147,Enforcements!$C$20:$J$60,3,0)</f>
        <v>#N/A</v>
      </c>
    </row>
    <row r="148" spans="1:29" s="2" customFormat="1" x14ac:dyDescent="0.25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V148" s="73"/>
      <c r="W148" s="73"/>
      <c r="X148" s="73"/>
      <c r="Y148" s="73"/>
      <c r="Z148" s="73"/>
      <c r="AA148" s="73"/>
      <c r="AB148" s="74"/>
      <c r="AC148" s="74"/>
    </row>
    <row r="149" spans="1:29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V149" s="68"/>
      <c r="W149" s="68"/>
      <c r="X149" s="68"/>
      <c r="Y149" s="68"/>
      <c r="Z149" s="68"/>
      <c r="AA149" s="68"/>
      <c r="AB149" s="69"/>
      <c r="AC149" s="69"/>
    </row>
    <row r="150" spans="1:29" s="2" customFormat="1" ht="15.75" thickBot="1" x14ac:dyDescent="0.3">
      <c r="E150" s="31"/>
      <c r="F150" s="31"/>
      <c r="G150" s="39"/>
      <c r="H150" s="31"/>
      <c r="I150" s="95">
        <f>Variables!A2</f>
        <v>42535</v>
      </c>
      <c r="J150" s="96"/>
      <c r="K150" s="75"/>
      <c r="L150" s="75"/>
      <c r="M150" s="97" t="s">
        <v>8</v>
      </c>
      <c r="N150" s="98"/>
      <c r="O150" s="99"/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100" t="s">
        <v>10</v>
      </c>
      <c r="J151" s="101"/>
      <c r="K151" s="35"/>
      <c r="L151" s="58"/>
      <c r="M151" s="9" t="s">
        <v>11</v>
      </c>
      <c r="N151" s="6" t="s">
        <v>12</v>
      </c>
      <c r="O151" s="7" t="s">
        <v>13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COUNT(N3:P147)</f>
        <v>142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COUNT(N3:N147)</f>
        <v>134</v>
      </c>
      <c r="K153" s="3"/>
      <c r="L153" s="3"/>
      <c r="M153" s="70">
        <f>AVERAGE(N3:N147)</f>
        <v>44.295646765715887</v>
      </c>
      <c r="N153" s="6">
        <f>MIN(N3:N147)</f>
        <v>36.400000001303852</v>
      </c>
      <c r="O153" s="7">
        <f>MAX(N3:N147)</f>
        <v>79.533333338331431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COUNT(O3:O147)</f>
        <v>0</v>
      </c>
      <c r="K154" s="3"/>
      <c r="L154" s="3"/>
      <c r="M154" s="70">
        <f>IFERROR(AVERAGE(O3:O147),0)</f>
        <v>0</v>
      </c>
      <c r="N154" s="6">
        <f>MIN(O3:O147)</f>
        <v>0</v>
      </c>
      <c r="O154" s="7">
        <f>MAX(O3:O147)</f>
        <v>0</v>
      </c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COUNT(P3:P147)</f>
        <v>8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COUNT(N3:O147)</f>
        <v>134</v>
      </c>
      <c r="K156" s="3"/>
      <c r="L156" s="3"/>
      <c r="M156" s="70">
        <f>AVERAGE(N3:P147)</f>
        <v>43.095892018443429</v>
      </c>
      <c r="N156" s="6">
        <f>MIN(N3:O147)</f>
        <v>36.400000001303852</v>
      </c>
      <c r="O156" s="7">
        <f>MAX(N3:O147)</f>
        <v>79.533333338331431</v>
      </c>
      <c r="P156" s="5"/>
      <c r="V156" s="56"/>
      <c r="W156" s="56"/>
      <c r="X156" s="56"/>
      <c r="Y156" s="56"/>
      <c r="Z156" s="56"/>
      <c r="AA156" s="56"/>
      <c r="AB156" s="57"/>
      <c r="AC156" s="57"/>
    </row>
    <row r="157" spans="1:29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0.94366197183098588</v>
      </c>
      <c r="K157" s="8"/>
      <c r="L157" s="8"/>
      <c r="M157" s="1"/>
      <c r="N157" s="4"/>
      <c r="O157" s="4"/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5" spans="2:29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9"/>
      <c r="U165" s="59"/>
      <c r="V165" s="54"/>
      <c r="W165" s="54"/>
      <c r="X165" s="54"/>
      <c r="Y165" s="54"/>
      <c r="Z165" s="54"/>
      <c r="AA165" s="54"/>
      <c r="AB165" s="55"/>
      <c r="AC165" s="55"/>
    </row>
  </sheetData>
  <autoFilter ref="A2:AC147">
    <sortState ref="A3:AA147">
      <sortCondition ref="A2:A147"/>
    </sortState>
  </autoFilter>
  <sortState ref="A3:R147">
    <sortCondition ref="A3:A147"/>
    <sortCondition ref="F3:F147"/>
  </sortState>
  <mergeCells count="4">
    <mergeCell ref="I150:J150"/>
    <mergeCell ref="M150:O150"/>
    <mergeCell ref="I151:J151"/>
    <mergeCell ref="A1:P1"/>
  </mergeCells>
  <conditionalFormatting sqref="W1:W2 W3:X1048576">
    <cfRule type="cellIs" dxfId="55" priority="39" operator="equal">
      <formula>"Y"</formula>
    </cfRule>
  </conditionalFormatting>
  <conditionalFormatting sqref="X3:X1048576">
    <cfRule type="cellIs" dxfId="54" priority="22" operator="greaterThan">
      <formula>1</formula>
    </cfRule>
  </conditionalFormatting>
  <conditionalFormatting sqref="X2:X1048576">
    <cfRule type="cellIs" dxfId="53" priority="19" operator="equal">
      <formula>0</formula>
    </cfRule>
  </conditionalFormatting>
  <conditionalFormatting sqref="A3:R148">
    <cfRule type="expression" dxfId="52" priority="14">
      <formula>$P3&gt;0</formula>
    </cfRule>
    <cfRule type="expression" dxfId="51" priority="15">
      <formula>$O3&gt;0</formula>
    </cfRule>
  </conditionalFormatting>
  <conditionalFormatting sqref="S3:S147">
    <cfRule type="expression" dxfId="8" priority="3">
      <formula>$O3&gt;0</formula>
    </cfRule>
  </conditionalFormatting>
  <conditionalFormatting sqref="S3:S147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  <x14:conditionalFormatting xmlns:xm="http://schemas.microsoft.com/office/excel/2006/main">
          <x14:cfRule type="expression" priority="1" id="{E60C360E-5692-46F0-9A9F-4855545D190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zoomScale="85" zoomScaleNormal="85" workbookViewId="0">
      <selection activeCell="N26" sqref="N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85</v>
      </c>
    </row>
    <row r="3" spans="1:17" s="2" customFormat="1" x14ac:dyDescent="0.25">
      <c r="A3" s="23">
        <v>42535.289953703701</v>
      </c>
      <c r="B3" s="22" t="s">
        <v>291</v>
      </c>
      <c r="C3" s="22" t="s">
        <v>337</v>
      </c>
      <c r="D3" s="22" t="s">
        <v>52</v>
      </c>
      <c r="E3" s="22" t="s">
        <v>91</v>
      </c>
      <c r="F3" s="22">
        <v>0</v>
      </c>
      <c r="G3" s="22">
        <v>217</v>
      </c>
      <c r="H3" s="22">
        <v>61903</v>
      </c>
      <c r="I3" s="22" t="s">
        <v>92</v>
      </c>
      <c r="J3" s="22">
        <v>63068</v>
      </c>
      <c r="K3" s="21" t="s">
        <v>55</v>
      </c>
      <c r="L3" s="21" t="str">
        <f>VLOOKUP(C3,'Trips&amp;Operators'!$C$1:$E$9999,3,FALSE)</f>
        <v>SPECTOR</v>
      </c>
      <c r="M3" s="20" t="s">
        <v>68</v>
      </c>
      <c r="N3" s="21" t="s">
        <v>290</v>
      </c>
      <c r="P3" s="79" t="str">
        <f>VLOOKUP(C3,'Train Runs'!$A$3:$V$257,20,0)</f>
        <v>NorthBound</v>
      </c>
      <c r="Q3" s="19" t="str">
        <f t="shared" ref="Q3:Q19" si="0">MID(B3,13,4)</f>
        <v>4025</v>
      </c>
    </row>
    <row r="4" spans="1:17" s="2" customFormat="1" x14ac:dyDescent="0.25">
      <c r="A4" s="23">
        <v>42535.331516203703</v>
      </c>
      <c r="B4" s="22" t="s">
        <v>155</v>
      </c>
      <c r="C4" s="22" t="s">
        <v>324</v>
      </c>
      <c r="D4" s="22" t="s">
        <v>52</v>
      </c>
      <c r="E4" s="22" t="s">
        <v>91</v>
      </c>
      <c r="F4" s="22">
        <v>0</v>
      </c>
      <c r="G4" s="22">
        <v>244</v>
      </c>
      <c r="H4" s="22">
        <v>62113</v>
      </c>
      <c r="I4" s="22" t="s">
        <v>92</v>
      </c>
      <c r="J4" s="22">
        <v>63068</v>
      </c>
      <c r="K4" s="21" t="s">
        <v>55</v>
      </c>
      <c r="L4" s="21" t="str">
        <f>VLOOKUP(C4,'Trips&amp;Operators'!$C$1:$E$9999,3,FALSE)</f>
        <v>BRANNON</v>
      </c>
      <c r="M4" s="20" t="s">
        <v>68</v>
      </c>
      <c r="N4" s="21" t="s">
        <v>290</v>
      </c>
      <c r="P4" s="79" t="str">
        <f>VLOOKUP(C4,'Train Runs'!$A$3:$V$257,20,0)</f>
        <v>NorthBound</v>
      </c>
      <c r="Q4" s="19" t="str">
        <f t="shared" si="0"/>
        <v>4014</v>
      </c>
    </row>
    <row r="5" spans="1:17" s="2" customFormat="1" x14ac:dyDescent="0.25">
      <c r="A5" s="23">
        <v>42535.467731481483</v>
      </c>
      <c r="B5" s="22" t="s">
        <v>105</v>
      </c>
      <c r="C5" s="22" t="s">
        <v>344</v>
      </c>
      <c r="D5" s="22" t="s">
        <v>52</v>
      </c>
      <c r="E5" s="22" t="s">
        <v>91</v>
      </c>
      <c r="F5" s="22">
        <v>0</v>
      </c>
      <c r="G5" s="22">
        <v>384</v>
      </c>
      <c r="H5" s="22">
        <v>60149</v>
      </c>
      <c r="I5" s="22" t="s">
        <v>92</v>
      </c>
      <c r="J5" s="22">
        <v>63068</v>
      </c>
      <c r="K5" s="21" t="s">
        <v>55</v>
      </c>
      <c r="L5" s="21" t="str">
        <f>VLOOKUP(C5,'Trips&amp;Operators'!$C$1:$E$9999,3,FALSE)</f>
        <v>BEAM</v>
      </c>
      <c r="M5" s="20" t="s">
        <v>68</v>
      </c>
      <c r="N5" s="21" t="s">
        <v>290</v>
      </c>
      <c r="P5" s="79" t="str">
        <f>VLOOKUP(C5,'Train Runs'!$A$3:$V$257,20,0)</f>
        <v>NorthBound</v>
      </c>
      <c r="Q5" s="19" t="str">
        <f t="shared" si="0"/>
        <v>4020</v>
      </c>
    </row>
    <row r="6" spans="1:17" s="2" customFormat="1" x14ac:dyDescent="0.25">
      <c r="A6" s="23">
        <v>42535.58184027778</v>
      </c>
      <c r="B6" s="22" t="s">
        <v>266</v>
      </c>
      <c r="C6" s="22" t="s">
        <v>327</v>
      </c>
      <c r="D6" s="22" t="s">
        <v>52</v>
      </c>
      <c r="E6" s="22" t="s">
        <v>91</v>
      </c>
      <c r="F6" s="22">
        <v>0</v>
      </c>
      <c r="G6" s="22">
        <v>439</v>
      </c>
      <c r="H6" s="22">
        <v>60359</v>
      </c>
      <c r="I6" s="22" t="s">
        <v>92</v>
      </c>
      <c r="J6" s="22">
        <v>63068</v>
      </c>
      <c r="K6" s="21" t="s">
        <v>55</v>
      </c>
      <c r="L6" s="21" t="str">
        <f>VLOOKUP(C6,'Trips&amp;Operators'!$C$1:$E$9999,3,FALSE)</f>
        <v>ROCHA</v>
      </c>
      <c r="M6" s="20" t="s">
        <v>68</v>
      </c>
      <c r="N6" s="21" t="s">
        <v>290</v>
      </c>
      <c r="P6" s="79" t="str">
        <f>VLOOKUP(C6,'Train Runs'!$A$3:$V$257,20,0)</f>
        <v>NorthBound</v>
      </c>
      <c r="Q6" s="19" t="str">
        <f t="shared" si="0"/>
        <v>4016</v>
      </c>
    </row>
    <row r="7" spans="1:17" s="2" customFormat="1" x14ac:dyDescent="0.25">
      <c r="A7" s="23">
        <v>42535.646736111114</v>
      </c>
      <c r="B7" s="22" t="s">
        <v>104</v>
      </c>
      <c r="C7" s="22" t="s">
        <v>363</v>
      </c>
      <c r="D7" s="22" t="s">
        <v>52</v>
      </c>
      <c r="E7" s="22" t="s">
        <v>91</v>
      </c>
      <c r="F7" s="22">
        <v>0</v>
      </c>
      <c r="G7" s="22">
        <v>59</v>
      </c>
      <c r="H7" s="22">
        <v>63546</v>
      </c>
      <c r="I7" s="22" t="s">
        <v>92</v>
      </c>
      <c r="J7" s="22">
        <v>63309</v>
      </c>
      <c r="K7" s="21" t="s">
        <v>56</v>
      </c>
      <c r="L7" s="21" t="str">
        <f>VLOOKUP(C7,'Trips&amp;Operators'!$C$1:$E$9999,3,FALSE)</f>
        <v>LEVERE</v>
      </c>
      <c r="M7" s="20" t="s">
        <v>68</v>
      </c>
      <c r="N7" s="21" t="s">
        <v>290</v>
      </c>
      <c r="P7" s="79" t="str">
        <f>VLOOKUP(C7,'Train Runs'!$A$3:$V$257,20,0)</f>
        <v>Southbound</v>
      </c>
      <c r="Q7" s="19" t="str">
        <f t="shared" si="0"/>
        <v>4019</v>
      </c>
    </row>
    <row r="8" spans="1:17" s="2" customFormat="1" x14ac:dyDescent="0.25">
      <c r="A8" s="23">
        <v>42535.848541666666</v>
      </c>
      <c r="B8" s="22" t="s">
        <v>131</v>
      </c>
      <c r="C8" s="22" t="s">
        <v>349</v>
      </c>
      <c r="D8" s="22" t="s">
        <v>52</v>
      </c>
      <c r="E8" s="22" t="s">
        <v>91</v>
      </c>
      <c r="F8" s="22">
        <v>150</v>
      </c>
      <c r="G8" s="22">
        <v>449</v>
      </c>
      <c r="H8" s="22">
        <v>60542</v>
      </c>
      <c r="I8" s="22" t="s">
        <v>92</v>
      </c>
      <c r="J8" s="22">
        <v>63068</v>
      </c>
      <c r="K8" s="21" t="s">
        <v>55</v>
      </c>
      <c r="L8" s="21" t="str">
        <f>VLOOKUP(C8,'Trips&amp;Operators'!$C$1:$E$9999,3,FALSE)</f>
        <v>BRABO</v>
      </c>
      <c r="M8" s="20" t="s">
        <v>68</v>
      </c>
      <c r="N8" s="21"/>
      <c r="P8" s="79" t="str">
        <f>VLOOKUP(C8,'Train Runs'!$A$3:$V$257,20,0)</f>
        <v>NorthBound</v>
      </c>
      <c r="Q8" s="19" t="str">
        <f t="shared" si="0"/>
        <v>4024</v>
      </c>
    </row>
    <row r="9" spans="1:17" s="2" customFormat="1" x14ac:dyDescent="0.25">
      <c r="A9" s="23">
        <v>42535.513564814813</v>
      </c>
      <c r="B9" s="22" t="s">
        <v>95</v>
      </c>
      <c r="C9" s="22" t="s">
        <v>338</v>
      </c>
      <c r="D9" s="22" t="s">
        <v>52</v>
      </c>
      <c r="E9" s="22" t="s">
        <v>60</v>
      </c>
      <c r="F9" s="22">
        <v>150</v>
      </c>
      <c r="G9" s="22">
        <v>166</v>
      </c>
      <c r="H9" s="22">
        <v>4737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COCA</v>
      </c>
      <c r="M9" s="20" t="s">
        <v>68</v>
      </c>
      <c r="N9" s="21"/>
      <c r="P9" s="79" t="str">
        <f>VLOOKUP(C9,'Train Runs'!$A$3:$V$257,20,0)</f>
        <v>Southbound</v>
      </c>
      <c r="Q9" s="19" t="str">
        <f t="shared" si="0"/>
        <v>4043</v>
      </c>
    </row>
    <row r="10" spans="1:17" s="2" customFormat="1" x14ac:dyDescent="0.25">
      <c r="A10" s="23">
        <v>42535.540509259263</v>
      </c>
      <c r="B10" s="22" t="s">
        <v>104</v>
      </c>
      <c r="C10" s="22" t="s">
        <v>342</v>
      </c>
      <c r="D10" s="22" t="s">
        <v>57</v>
      </c>
      <c r="E10" s="22" t="s">
        <v>60</v>
      </c>
      <c r="F10" s="22">
        <v>350</v>
      </c>
      <c r="G10" s="22">
        <v>402</v>
      </c>
      <c r="H10" s="22">
        <v>224880</v>
      </c>
      <c r="I10" s="22" t="s">
        <v>61</v>
      </c>
      <c r="J10" s="22">
        <v>232107</v>
      </c>
      <c r="K10" s="21" t="s">
        <v>56</v>
      </c>
      <c r="L10" s="21" t="str">
        <f>VLOOKUP(C10,'Trips&amp;Operators'!$C$1:$E$9999,3,FALSE)</f>
        <v>BEAM</v>
      </c>
      <c r="M10" s="20" t="s">
        <v>68</v>
      </c>
      <c r="N10" s="21"/>
      <c r="P10" s="79" t="str">
        <f>VLOOKUP(C10,'Train Runs'!$A$3:$V$257,20,0)</f>
        <v>Southbound</v>
      </c>
      <c r="Q10" s="19" t="str">
        <f t="shared" si="0"/>
        <v>4019</v>
      </c>
    </row>
    <row r="11" spans="1:17" s="2" customFormat="1" x14ac:dyDescent="0.25">
      <c r="A11" s="23">
        <v>42535.573981481481</v>
      </c>
      <c r="B11" s="22" t="s">
        <v>297</v>
      </c>
      <c r="C11" s="22" t="s">
        <v>343</v>
      </c>
      <c r="D11" s="22" t="s">
        <v>52</v>
      </c>
      <c r="E11" s="22" t="s">
        <v>60</v>
      </c>
      <c r="F11" s="22">
        <v>200</v>
      </c>
      <c r="G11" s="22">
        <v>234</v>
      </c>
      <c r="H11" s="22">
        <v>30648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YOUNG</v>
      </c>
      <c r="M11" s="20" t="s">
        <v>68</v>
      </c>
      <c r="N11" s="21"/>
      <c r="P11" s="79" t="str">
        <f>VLOOKUP(C11,'Train Runs'!$A$3:$V$257,20,0)</f>
        <v>Southbound</v>
      </c>
      <c r="Q11" s="19" t="str">
        <f t="shared" si="0"/>
        <v>4039</v>
      </c>
    </row>
    <row r="12" spans="1:17" s="2" customFormat="1" x14ac:dyDescent="0.25">
      <c r="A12" s="23">
        <v>42535.576724537037</v>
      </c>
      <c r="B12" s="22" t="s">
        <v>105</v>
      </c>
      <c r="C12" s="22" t="s">
        <v>344</v>
      </c>
      <c r="D12" s="22" t="s">
        <v>52</v>
      </c>
      <c r="E12" s="22" t="s">
        <v>60</v>
      </c>
      <c r="F12" s="22">
        <v>300</v>
      </c>
      <c r="G12" s="22">
        <v>274</v>
      </c>
      <c r="H12" s="22">
        <v>19934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BEAM</v>
      </c>
      <c r="M12" s="20" t="s">
        <v>68</v>
      </c>
      <c r="N12" s="21"/>
      <c r="P12" s="79" t="str">
        <f>VLOOKUP(C12,'Train Runs'!$A$3:$V$257,20,0)</f>
        <v>NorthBound</v>
      </c>
      <c r="Q12" s="19" t="str">
        <f t="shared" si="0"/>
        <v>4020</v>
      </c>
    </row>
    <row r="13" spans="1:17" s="2" customFormat="1" x14ac:dyDescent="0.25">
      <c r="A13" s="23">
        <v>42535.584641203706</v>
      </c>
      <c r="B13" s="22" t="s">
        <v>95</v>
      </c>
      <c r="C13" s="22" t="s">
        <v>345</v>
      </c>
      <c r="D13" s="22" t="s">
        <v>52</v>
      </c>
      <c r="E13" s="22" t="s">
        <v>60</v>
      </c>
      <c r="F13" s="22">
        <v>450</v>
      </c>
      <c r="G13" s="22">
        <v>447</v>
      </c>
      <c r="H13" s="22">
        <v>17177</v>
      </c>
      <c r="I13" s="22" t="s">
        <v>61</v>
      </c>
      <c r="J13" s="22">
        <v>15167</v>
      </c>
      <c r="K13" s="21" t="s">
        <v>56</v>
      </c>
      <c r="L13" s="21" t="str">
        <f>VLOOKUP(C13,'Trips&amp;Operators'!$C$1:$E$9999,3,FALSE)</f>
        <v>COCA</v>
      </c>
      <c r="M13" s="20" t="s">
        <v>68</v>
      </c>
      <c r="N13" s="21"/>
      <c r="P13" s="79" t="str">
        <f>VLOOKUP(C13,'Train Runs'!$A$3:$V$257,20,0)</f>
        <v>Southbound</v>
      </c>
      <c r="Q13" s="19" t="str">
        <f t="shared" si="0"/>
        <v>4043</v>
      </c>
    </row>
    <row r="14" spans="1:17" s="2" customFormat="1" x14ac:dyDescent="0.25">
      <c r="A14" s="23">
        <v>42535.763738425929</v>
      </c>
      <c r="B14" s="22" t="s">
        <v>140</v>
      </c>
      <c r="C14" s="22" t="s">
        <v>357</v>
      </c>
      <c r="D14" s="22" t="s">
        <v>52</v>
      </c>
      <c r="E14" s="22" t="s">
        <v>60</v>
      </c>
      <c r="F14" s="22">
        <v>400</v>
      </c>
      <c r="G14" s="22">
        <v>542</v>
      </c>
      <c r="H14" s="22">
        <v>15837</v>
      </c>
      <c r="I14" s="22" t="s">
        <v>61</v>
      </c>
      <c r="J14" s="22">
        <v>17867</v>
      </c>
      <c r="K14" s="21" t="s">
        <v>55</v>
      </c>
      <c r="L14" s="21" t="str">
        <f>VLOOKUP(C14,'Trips&amp;Operators'!$C$1:$E$9999,3,FALSE)</f>
        <v>ADANE</v>
      </c>
      <c r="M14" s="20" t="s">
        <v>68</v>
      </c>
      <c r="N14" s="21"/>
      <c r="P14" s="79" t="str">
        <f>VLOOKUP(C14,'Train Runs'!$A$3:$V$257,20,0)</f>
        <v>NorthBound</v>
      </c>
      <c r="Q14" s="19" t="str">
        <f t="shared" si="0"/>
        <v>4007</v>
      </c>
    </row>
    <row r="15" spans="1:17" s="2" customFormat="1" x14ac:dyDescent="0.25">
      <c r="A15" s="23">
        <v>42535.81449074074</v>
      </c>
      <c r="B15" s="22" t="s">
        <v>293</v>
      </c>
      <c r="C15" s="22" t="s">
        <v>361</v>
      </c>
      <c r="D15" s="22" t="s">
        <v>52</v>
      </c>
      <c r="E15" s="22" t="s">
        <v>60</v>
      </c>
      <c r="F15" s="22">
        <v>150</v>
      </c>
      <c r="G15" s="22">
        <v>201</v>
      </c>
      <c r="H15" s="22">
        <v>5572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STORY</v>
      </c>
      <c r="M15" s="20" t="s">
        <v>68</v>
      </c>
      <c r="N15" s="21"/>
      <c r="P15" s="79" t="str">
        <f>VLOOKUP(C15,'Train Runs'!$A$3:$V$257,20,0)</f>
        <v>Southbound</v>
      </c>
      <c r="Q15" s="19" t="str">
        <f t="shared" si="0"/>
        <v>4026</v>
      </c>
    </row>
    <row r="16" spans="1:17" s="2" customFormat="1" x14ac:dyDescent="0.25">
      <c r="A16" s="23">
        <v>42535.823865740742</v>
      </c>
      <c r="B16" s="22" t="s">
        <v>135</v>
      </c>
      <c r="C16" s="22" t="s">
        <v>362</v>
      </c>
      <c r="D16" s="22" t="s">
        <v>52</v>
      </c>
      <c r="E16" s="22" t="s">
        <v>60</v>
      </c>
      <c r="F16" s="22">
        <v>600</v>
      </c>
      <c r="G16" s="22">
        <v>647</v>
      </c>
      <c r="H16" s="22">
        <v>12893</v>
      </c>
      <c r="I16" s="22" t="s">
        <v>61</v>
      </c>
      <c r="J16" s="22">
        <v>10694</v>
      </c>
      <c r="K16" s="21" t="s">
        <v>56</v>
      </c>
      <c r="L16" s="21" t="str">
        <f>VLOOKUP(C16,'Trips&amp;Operators'!$C$1:$E$9999,3,FALSE)</f>
        <v>ADANE</v>
      </c>
      <c r="M16" s="20" t="s">
        <v>68</v>
      </c>
      <c r="N16" s="21"/>
      <c r="P16" s="79" t="str">
        <f>VLOOKUP(C16,'Train Runs'!$A$3:$V$257,20,0)</f>
        <v>Southbound</v>
      </c>
      <c r="Q16" s="19" t="str">
        <f t="shared" si="0"/>
        <v>4008</v>
      </c>
    </row>
    <row r="17" spans="1:17" s="2" customFormat="1" x14ac:dyDescent="0.25">
      <c r="A17" s="23">
        <v>42535.824548611112</v>
      </c>
      <c r="B17" s="22" t="s">
        <v>135</v>
      </c>
      <c r="C17" s="22" t="s">
        <v>362</v>
      </c>
      <c r="D17" s="22" t="s">
        <v>52</v>
      </c>
      <c r="E17" s="22" t="s">
        <v>60</v>
      </c>
      <c r="F17" s="22">
        <v>600</v>
      </c>
      <c r="G17" s="22">
        <v>647</v>
      </c>
      <c r="H17" s="22">
        <v>12893</v>
      </c>
      <c r="I17" s="22" t="s">
        <v>61</v>
      </c>
      <c r="J17" s="22">
        <v>10694</v>
      </c>
      <c r="K17" s="21" t="s">
        <v>56</v>
      </c>
      <c r="L17" s="21" t="str">
        <f>VLOOKUP(C17,'Trips&amp;Operators'!$C$1:$E$9999,3,FALSE)</f>
        <v>ADANE</v>
      </c>
      <c r="M17" s="20" t="s">
        <v>68</v>
      </c>
      <c r="N17" s="21"/>
      <c r="P17" s="79" t="str">
        <f>VLOOKUP(C17,'Train Runs'!$A$3:$V$257,20,0)</f>
        <v>Southbound</v>
      </c>
      <c r="Q17" s="19" t="str">
        <f t="shared" si="0"/>
        <v>4008</v>
      </c>
    </row>
    <row r="18" spans="1:17" s="2" customFormat="1" x14ac:dyDescent="0.25">
      <c r="A18" s="23">
        <v>42536.06925925926</v>
      </c>
      <c r="B18" s="22" t="s">
        <v>135</v>
      </c>
      <c r="C18" s="22" t="s">
        <v>365</v>
      </c>
      <c r="D18" s="22" t="s">
        <v>52</v>
      </c>
      <c r="E18" s="22" t="s">
        <v>60</v>
      </c>
      <c r="F18" s="22">
        <v>450</v>
      </c>
      <c r="G18" s="22">
        <v>458</v>
      </c>
      <c r="H18" s="22">
        <v>17465</v>
      </c>
      <c r="I18" s="22" t="s">
        <v>61</v>
      </c>
      <c r="J18" s="22">
        <v>15167</v>
      </c>
      <c r="K18" s="21" t="s">
        <v>56</v>
      </c>
      <c r="L18" s="21" t="str">
        <f>VLOOKUP(C18,'Trips&amp;Operators'!$C$1:$E$9999,3,FALSE)</f>
        <v>ADANE</v>
      </c>
      <c r="M18" s="20" t="s">
        <v>68</v>
      </c>
      <c r="N18" s="21"/>
      <c r="P18" s="79" t="str">
        <f>VLOOKUP(C18,'Train Runs'!$A$3:$V$257,20,0)</f>
        <v>Southbound</v>
      </c>
      <c r="Q18" s="19" t="str">
        <f t="shared" si="0"/>
        <v>4008</v>
      </c>
    </row>
    <row r="19" spans="1:17" s="2" customFormat="1" x14ac:dyDescent="0.25">
      <c r="A19" s="23">
        <v>42535.211377314816</v>
      </c>
      <c r="B19" s="22" t="s">
        <v>110</v>
      </c>
      <c r="C19" s="22" t="s">
        <v>320</v>
      </c>
      <c r="D19" s="22" t="s">
        <v>57</v>
      </c>
      <c r="E19" s="22" t="s">
        <v>58</v>
      </c>
      <c r="F19" s="22">
        <v>0</v>
      </c>
      <c r="G19" s="22">
        <v>248</v>
      </c>
      <c r="H19" s="22">
        <v>228593</v>
      </c>
      <c r="I19" s="22" t="s">
        <v>59</v>
      </c>
      <c r="J19" s="22">
        <v>228572</v>
      </c>
      <c r="K19" s="21" t="s">
        <v>55</v>
      </c>
      <c r="L19" s="21" t="str">
        <f>VLOOKUP(C19,'Trips&amp;Operators'!$C$1:$E$9999,3,FALSE)</f>
        <v>YANAI</v>
      </c>
      <c r="M19" s="20" t="s">
        <v>79</v>
      </c>
      <c r="N19" s="21" t="s">
        <v>557</v>
      </c>
      <c r="P19" s="79" t="str">
        <f>VLOOKUP(C19,'Train Runs'!$A$3:$V$257,20,0)</f>
        <v>NorthBound</v>
      </c>
      <c r="Q19" s="19" t="str">
        <f t="shared" si="0"/>
        <v>4009</v>
      </c>
    </row>
    <row r="20" spans="1:17" s="19" customFormat="1" x14ac:dyDescent="0.25">
      <c r="A20" s="23">
        <v>42535.460231481484</v>
      </c>
      <c r="B20" s="22" t="s">
        <v>135</v>
      </c>
      <c r="C20" s="22" t="s">
        <v>335</v>
      </c>
      <c r="D20" s="22" t="s">
        <v>52</v>
      </c>
      <c r="E20" s="22" t="s">
        <v>58</v>
      </c>
      <c r="F20" s="22">
        <v>0</v>
      </c>
      <c r="G20" s="22">
        <v>593</v>
      </c>
      <c r="H20" s="22">
        <v>185407</v>
      </c>
      <c r="I20" s="22" t="s">
        <v>59</v>
      </c>
      <c r="J20" s="22">
        <v>182920</v>
      </c>
      <c r="K20" s="21" t="s">
        <v>56</v>
      </c>
      <c r="L20" s="21" t="str">
        <f>VLOOKUP(C20,'Trips&amp;Operators'!$C$1:$E$9999,3,FALSE)</f>
        <v>ACKERMAN</v>
      </c>
      <c r="M20" s="20" t="s">
        <v>79</v>
      </c>
      <c r="N20" s="21" t="s">
        <v>289</v>
      </c>
      <c r="P20" s="79" t="str">
        <f>VLOOKUP(C20,'Train Runs'!$A$3:$V$257,20,0)</f>
        <v>Southbound</v>
      </c>
      <c r="Q20" s="19" t="str">
        <f t="shared" ref="Q20" si="1">MID(B20,13,4)</f>
        <v>4008</v>
      </c>
    </row>
    <row r="21" spans="1:17" s="19" customFormat="1" x14ac:dyDescent="0.25">
      <c r="A21" s="23">
        <v>42535.53696759259</v>
      </c>
      <c r="B21" s="22" t="s">
        <v>135</v>
      </c>
      <c r="C21" s="22" t="s">
        <v>341</v>
      </c>
      <c r="D21" s="22" t="s">
        <v>52</v>
      </c>
      <c r="E21" s="22" t="s">
        <v>58</v>
      </c>
      <c r="F21" s="22">
        <v>0</v>
      </c>
      <c r="G21" s="22">
        <v>577</v>
      </c>
      <c r="H21" s="22">
        <v>185569</v>
      </c>
      <c r="I21" s="22" t="s">
        <v>59</v>
      </c>
      <c r="J21" s="22">
        <v>182920</v>
      </c>
      <c r="K21" s="21" t="s">
        <v>56</v>
      </c>
      <c r="L21" s="21" t="str">
        <f>VLOOKUP(C21,'Trips&amp;Operators'!$C$1:$E$9999,3,FALSE)</f>
        <v>WEBSTER</v>
      </c>
      <c r="M21" s="20" t="s">
        <v>79</v>
      </c>
      <c r="N21" s="21" t="s">
        <v>289</v>
      </c>
      <c r="P21" s="79" t="str">
        <f>VLOOKUP(C21,'Train Runs'!$A$3:$V$257,20,0)</f>
        <v>Southbound</v>
      </c>
      <c r="Q21" s="19" t="str">
        <f t="shared" ref="Q21:Q26" si="2">MID(B21,13,4)</f>
        <v>4008</v>
      </c>
    </row>
    <row r="22" spans="1:17" s="19" customFormat="1" x14ac:dyDescent="0.25">
      <c r="A22" s="23">
        <v>42535.389444444445</v>
      </c>
      <c r="B22" s="22" t="s">
        <v>291</v>
      </c>
      <c r="C22" s="22" t="s">
        <v>332</v>
      </c>
      <c r="D22" s="22" t="s">
        <v>52</v>
      </c>
      <c r="E22" s="22" t="s">
        <v>58</v>
      </c>
      <c r="F22" s="22">
        <v>0</v>
      </c>
      <c r="G22" s="22">
        <v>154</v>
      </c>
      <c r="H22" s="22">
        <v>19474</v>
      </c>
      <c r="I22" s="22" t="s">
        <v>59</v>
      </c>
      <c r="J22" s="22">
        <v>20617</v>
      </c>
      <c r="K22" s="21" t="s">
        <v>55</v>
      </c>
      <c r="L22" s="21" t="str">
        <f>VLOOKUP(C22,'Trips&amp;Operators'!$C$1:$E$9999,3,FALSE)</f>
        <v>STARKS</v>
      </c>
      <c r="M22" s="20" t="s">
        <v>79</v>
      </c>
      <c r="N22" s="21" t="s">
        <v>558</v>
      </c>
      <c r="P22" s="79" t="str">
        <f>VLOOKUP(C22,'Train Runs'!$A$3:$V$257,20,0)</f>
        <v>NorthBound</v>
      </c>
      <c r="Q22" s="19" t="str">
        <f t="shared" si="2"/>
        <v>4025</v>
      </c>
    </row>
    <row r="23" spans="1:17" s="19" customFormat="1" x14ac:dyDescent="0.25">
      <c r="A23" s="23">
        <v>42535.40215277778</v>
      </c>
      <c r="B23" s="22" t="s">
        <v>157</v>
      </c>
      <c r="C23" s="22" t="s">
        <v>333</v>
      </c>
      <c r="D23" s="22" t="s">
        <v>52</v>
      </c>
      <c r="E23" s="22" t="s">
        <v>58</v>
      </c>
      <c r="F23" s="22">
        <v>0</v>
      </c>
      <c r="G23" s="22">
        <v>265</v>
      </c>
      <c r="H23" s="22">
        <v>128343</v>
      </c>
      <c r="I23" s="22" t="s">
        <v>59</v>
      </c>
      <c r="J23" s="22">
        <v>127587</v>
      </c>
      <c r="K23" s="21" t="s">
        <v>56</v>
      </c>
      <c r="L23" s="21" t="str">
        <f>VLOOKUP(C23,'Trips&amp;Operators'!$C$1:$E$9999,3,FALSE)</f>
        <v>BRANNON</v>
      </c>
      <c r="M23" s="20" t="s">
        <v>68</v>
      </c>
      <c r="N23" s="21" t="s">
        <v>556</v>
      </c>
      <c r="P23" s="79" t="str">
        <f>VLOOKUP(C23,'Train Runs'!$A$3:$V$257,20,0)</f>
        <v>Southbound</v>
      </c>
      <c r="Q23" s="19" t="str">
        <f t="shared" si="2"/>
        <v>4013</v>
      </c>
    </row>
    <row r="24" spans="1:17" s="19" customFormat="1" x14ac:dyDescent="0.25">
      <c r="A24" s="23">
        <v>42535.542962962965</v>
      </c>
      <c r="B24" s="22" t="s">
        <v>104</v>
      </c>
      <c r="C24" s="22" t="s">
        <v>342</v>
      </c>
      <c r="D24" s="22" t="s">
        <v>52</v>
      </c>
      <c r="E24" s="22" t="s">
        <v>58</v>
      </c>
      <c r="F24" s="22">
        <v>0</v>
      </c>
      <c r="G24" s="22">
        <v>506</v>
      </c>
      <c r="H24" s="22">
        <v>194979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BEAM</v>
      </c>
      <c r="M24" s="20" t="s">
        <v>68</v>
      </c>
      <c r="N24" s="21" t="s">
        <v>556</v>
      </c>
      <c r="P24" s="79" t="str">
        <f>VLOOKUP(C24,'Train Runs'!$A$3:$V$257,20,0)</f>
        <v>Southbound</v>
      </c>
      <c r="Q24" s="19" t="str">
        <f t="shared" si="2"/>
        <v>4019</v>
      </c>
    </row>
    <row r="25" spans="1:17" s="19" customFormat="1" x14ac:dyDescent="0.25">
      <c r="A25" s="23">
        <v>42535.616099537037</v>
      </c>
      <c r="B25" s="22" t="s">
        <v>104</v>
      </c>
      <c r="C25" s="22" t="s">
        <v>347</v>
      </c>
      <c r="D25" s="22" t="s">
        <v>52</v>
      </c>
      <c r="E25" s="22" t="s">
        <v>58</v>
      </c>
      <c r="F25" s="22">
        <v>0</v>
      </c>
      <c r="G25" s="22">
        <v>385</v>
      </c>
      <c r="H25" s="22">
        <v>193762</v>
      </c>
      <c r="I25" s="22" t="s">
        <v>59</v>
      </c>
      <c r="J25" s="22">
        <v>191723</v>
      </c>
      <c r="K25" s="21" t="s">
        <v>56</v>
      </c>
      <c r="L25" s="21" t="str">
        <f>VLOOKUP(C25,'Trips&amp;Operators'!$C$1:$E$9999,3,FALSE)</f>
        <v>BEAM</v>
      </c>
      <c r="M25" s="20" t="s">
        <v>68</v>
      </c>
      <c r="N25" s="21" t="s">
        <v>556</v>
      </c>
      <c r="P25" s="79" t="str">
        <f>VLOOKUP(C25,'Train Runs'!$A$3:$V$257,20,0)</f>
        <v>Southbound</v>
      </c>
      <c r="Q25" s="19" t="str">
        <f t="shared" si="2"/>
        <v>4019</v>
      </c>
    </row>
    <row r="26" spans="1:17" s="19" customFormat="1" x14ac:dyDescent="0.25">
      <c r="A26" s="23">
        <v>42535.62158564815</v>
      </c>
      <c r="B26" s="22" t="s">
        <v>104</v>
      </c>
      <c r="C26" s="22" t="s">
        <v>347</v>
      </c>
      <c r="D26" s="22" t="s">
        <v>52</v>
      </c>
      <c r="E26" s="22" t="s">
        <v>58</v>
      </c>
      <c r="F26" s="22">
        <v>0</v>
      </c>
      <c r="G26" s="22">
        <v>442</v>
      </c>
      <c r="H26" s="22">
        <v>129471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BEAM</v>
      </c>
      <c r="M26" s="20" t="s">
        <v>68</v>
      </c>
      <c r="N26" s="21" t="s">
        <v>556</v>
      </c>
      <c r="P26" s="79" t="str">
        <f>VLOOKUP(C26,'Train Runs'!$A$3:$V$257,20,0)</f>
        <v>Southbound</v>
      </c>
      <c r="Q26" s="19" t="str">
        <f t="shared" si="2"/>
        <v>4019</v>
      </c>
    </row>
    <row r="27" spans="1:17" s="19" customFormat="1" x14ac:dyDescent="0.25">
      <c r="A27" s="23">
        <v>42535.677939814814</v>
      </c>
      <c r="B27" s="22" t="s">
        <v>117</v>
      </c>
      <c r="C27" s="22" t="s">
        <v>351</v>
      </c>
      <c r="D27" s="22" t="s">
        <v>52</v>
      </c>
      <c r="E27" s="22" t="s">
        <v>58</v>
      </c>
      <c r="F27" s="22">
        <v>0</v>
      </c>
      <c r="G27" s="22">
        <v>643</v>
      </c>
      <c r="H27" s="22">
        <v>196936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BRABO</v>
      </c>
      <c r="M27" s="20" t="s">
        <v>68</v>
      </c>
      <c r="N27" s="21" t="s">
        <v>556</v>
      </c>
      <c r="P27" s="79" t="str">
        <f>VLOOKUP(C27,'Train Runs'!$A$3:$V$257,20,0)</f>
        <v>Southbound</v>
      </c>
      <c r="Q27" s="19" t="str">
        <f t="shared" ref="Q27:Q60" si="3">MID(B27,13,4)</f>
        <v>4023</v>
      </c>
    </row>
    <row r="28" spans="1:17" s="19" customFormat="1" x14ac:dyDescent="0.25">
      <c r="A28" s="23">
        <v>42535.162627314814</v>
      </c>
      <c r="B28" s="22" t="s">
        <v>155</v>
      </c>
      <c r="C28" s="22" t="s">
        <v>319</v>
      </c>
      <c r="D28" s="22" t="s">
        <v>52</v>
      </c>
      <c r="E28" s="22" t="s">
        <v>53</v>
      </c>
      <c r="F28" s="22">
        <v>0</v>
      </c>
      <c r="G28" s="22">
        <v>9</v>
      </c>
      <c r="H28" s="22">
        <v>233295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STURGEON</v>
      </c>
      <c r="M28" s="20" t="s">
        <v>68</v>
      </c>
      <c r="N28" s="21"/>
      <c r="P28" s="79" t="str">
        <f>VLOOKUP(C28,'Train Runs'!$A$3:$V$257,20,0)</f>
        <v>NorthBound</v>
      </c>
      <c r="Q28" s="19" t="str">
        <f t="shared" si="3"/>
        <v>4014</v>
      </c>
    </row>
    <row r="29" spans="1:17" s="19" customFormat="1" x14ac:dyDescent="0.25">
      <c r="A29" s="23">
        <v>42535.264131944445</v>
      </c>
      <c r="B29" s="22" t="s">
        <v>104</v>
      </c>
      <c r="C29" s="22" t="s">
        <v>321</v>
      </c>
      <c r="D29" s="22" t="s">
        <v>52</v>
      </c>
      <c r="E29" s="22" t="s">
        <v>53</v>
      </c>
      <c r="F29" s="22">
        <v>0</v>
      </c>
      <c r="G29" s="22">
        <v>5</v>
      </c>
      <c r="H29" s="22">
        <v>1186</v>
      </c>
      <c r="I29" s="22" t="s">
        <v>54</v>
      </c>
      <c r="J29" s="22">
        <v>839</v>
      </c>
      <c r="K29" s="21" t="s">
        <v>56</v>
      </c>
      <c r="L29" s="21" t="str">
        <f>VLOOKUP(C29,'Trips&amp;Operators'!$C$1:$E$9999,3,FALSE)</f>
        <v>ACKERMAN</v>
      </c>
      <c r="M29" s="20" t="s">
        <v>68</v>
      </c>
      <c r="N29" s="21"/>
      <c r="P29" s="79" t="str">
        <f>VLOOKUP(C29,'Train Runs'!$A$3:$V$257,20,0)</f>
        <v>Southbound</v>
      </c>
      <c r="Q29" s="19" t="str">
        <f t="shared" si="3"/>
        <v>4019</v>
      </c>
    </row>
    <row r="30" spans="1:17" s="19" customFormat="1" x14ac:dyDescent="0.25">
      <c r="A30" s="23">
        <v>42535.26421296296</v>
      </c>
      <c r="B30" s="22" t="s">
        <v>104</v>
      </c>
      <c r="C30" s="22" t="s">
        <v>321</v>
      </c>
      <c r="D30" s="22" t="s">
        <v>52</v>
      </c>
      <c r="E30" s="22" t="s">
        <v>53</v>
      </c>
      <c r="F30" s="22">
        <v>0</v>
      </c>
      <c r="G30" s="22">
        <v>7</v>
      </c>
      <c r="H30" s="22">
        <v>1182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ACKERMAN</v>
      </c>
      <c r="M30" s="20" t="s">
        <v>68</v>
      </c>
      <c r="N30" s="21"/>
      <c r="P30" s="79" t="str">
        <f>VLOOKUP(C30,'Train Runs'!$A$3:$V$257,20,0)</f>
        <v>Southbound</v>
      </c>
      <c r="Q30" s="19" t="str">
        <f t="shared" si="3"/>
        <v>4019</v>
      </c>
    </row>
    <row r="31" spans="1:17" s="19" customFormat="1" x14ac:dyDescent="0.25">
      <c r="A31" s="23">
        <v>42535.274270833332</v>
      </c>
      <c r="B31" s="22" t="s">
        <v>157</v>
      </c>
      <c r="C31" s="22" t="s">
        <v>322</v>
      </c>
      <c r="D31" s="22" t="s">
        <v>52</v>
      </c>
      <c r="E31" s="22" t="s">
        <v>53</v>
      </c>
      <c r="F31" s="22">
        <v>0</v>
      </c>
      <c r="G31" s="22">
        <v>79</v>
      </c>
      <c r="H31" s="22">
        <v>287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BRANNON</v>
      </c>
      <c r="M31" s="20" t="s">
        <v>68</v>
      </c>
      <c r="N31" s="21"/>
      <c r="P31" s="79" t="str">
        <f>VLOOKUP(C31,'Train Runs'!$A$3:$V$257,20,0)</f>
        <v>Southbound</v>
      </c>
      <c r="Q31" s="19" t="str">
        <f t="shared" si="3"/>
        <v>4013</v>
      </c>
    </row>
    <row r="32" spans="1:17" s="19" customFormat="1" x14ac:dyDescent="0.25">
      <c r="A32" s="23">
        <v>42535.274814814817</v>
      </c>
      <c r="B32" s="22" t="s">
        <v>266</v>
      </c>
      <c r="C32" s="22" t="s">
        <v>323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233331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ROCHA</v>
      </c>
      <c r="M32" s="20" t="s">
        <v>68</v>
      </c>
      <c r="N32" s="21"/>
      <c r="P32" s="79" t="str">
        <f>VLOOKUP(C32,'Train Runs'!$A$3:$V$257,20,0)</f>
        <v>NorthBound</v>
      </c>
      <c r="Q32" s="19" t="str">
        <f t="shared" si="3"/>
        <v>4016</v>
      </c>
    </row>
    <row r="33" spans="1:17" s="19" customFormat="1" x14ac:dyDescent="0.25">
      <c r="A33" s="23">
        <v>42535.29614583333</v>
      </c>
      <c r="B33" s="22" t="s">
        <v>140</v>
      </c>
      <c r="C33" s="22" t="s">
        <v>325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233336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ACKERMAN</v>
      </c>
      <c r="M33" s="20" t="s">
        <v>68</v>
      </c>
      <c r="N33" s="21"/>
      <c r="P33" s="79" t="str">
        <f>VLOOKUP(C33,'Train Runs'!$A$3:$V$257,20,0)</f>
        <v>NorthBound</v>
      </c>
      <c r="Q33" s="19" t="str">
        <f t="shared" si="3"/>
        <v>4007</v>
      </c>
    </row>
    <row r="34" spans="1:17" s="19" customFormat="1" x14ac:dyDescent="0.25">
      <c r="A34" s="23">
        <v>42535.305706018517</v>
      </c>
      <c r="B34" s="22" t="s">
        <v>155</v>
      </c>
      <c r="C34" s="22" t="s">
        <v>324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233334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BRANNON</v>
      </c>
      <c r="M34" s="20" t="s">
        <v>68</v>
      </c>
      <c r="N34" s="21"/>
      <c r="P34" s="79" t="str">
        <f>VLOOKUP(C34,'Train Runs'!$A$3:$V$257,20,0)</f>
        <v>NorthBound</v>
      </c>
      <c r="Q34" s="19" t="str">
        <f t="shared" si="3"/>
        <v>4014</v>
      </c>
    </row>
    <row r="35" spans="1:17" s="19" customFormat="1" x14ac:dyDescent="0.25">
      <c r="A35" s="23">
        <v>42535.314768518518</v>
      </c>
      <c r="B35" s="22" t="s">
        <v>265</v>
      </c>
      <c r="C35" s="22" t="s">
        <v>326</v>
      </c>
      <c r="D35" s="22" t="s">
        <v>52</v>
      </c>
      <c r="E35" s="22" t="s">
        <v>53</v>
      </c>
      <c r="F35" s="22">
        <v>0</v>
      </c>
      <c r="G35" s="22">
        <v>8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ROCHA</v>
      </c>
      <c r="M35" s="20" t="s">
        <v>68</v>
      </c>
      <c r="N35" s="21"/>
      <c r="P35" s="79" t="str">
        <f>VLOOKUP(C35,'Train Runs'!$A$3:$V$257,20,0)</f>
        <v>Southbound</v>
      </c>
      <c r="Q35" s="19" t="str">
        <f t="shared" si="3"/>
        <v>4015</v>
      </c>
    </row>
    <row r="36" spans="1:17" s="19" customFormat="1" x14ac:dyDescent="0.25">
      <c r="A36" s="23">
        <v>42535.336469907408</v>
      </c>
      <c r="B36" s="22" t="s">
        <v>135</v>
      </c>
      <c r="C36" s="22" t="s">
        <v>328</v>
      </c>
      <c r="D36" s="22" t="s">
        <v>52</v>
      </c>
      <c r="E36" s="22" t="s">
        <v>53</v>
      </c>
      <c r="F36" s="22">
        <v>0</v>
      </c>
      <c r="G36" s="22">
        <v>54</v>
      </c>
      <c r="H36" s="22">
        <v>181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ACKERMAN</v>
      </c>
      <c r="M36" s="20" t="s">
        <v>68</v>
      </c>
      <c r="N36" s="21"/>
      <c r="P36" s="79" t="str">
        <f>VLOOKUP(C36,'Train Runs'!$A$3:$V$257,20,0)</f>
        <v>Southbound</v>
      </c>
      <c r="Q36" s="19" t="str">
        <f t="shared" si="3"/>
        <v>4008</v>
      </c>
    </row>
    <row r="37" spans="1:17" s="19" customFormat="1" x14ac:dyDescent="0.25">
      <c r="A37" s="23">
        <v>42535.339363425926</v>
      </c>
      <c r="B37" s="22" t="s">
        <v>291</v>
      </c>
      <c r="C37" s="22" t="s">
        <v>329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233349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68</v>
      </c>
      <c r="N37" s="21"/>
      <c r="P37" s="79" t="str">
        <f>VLOOKUP(C37,'Train Runs'!$A$3:$V$257,20,0)</f>
        <v>NorthBound</v>
      </c>
      <c r="Q37" s="19" t="str">
        <f t="shared" si="3"/>
        <v>4025</v>
      </c>
    </row>
    <row r="38" spans="1:17" s="19" customFormat="1" x14ac:dyDescent="0.25">
      <c r="A38" s="23">
        <v>42535.347766203704</v>
      </c>
      <c r="B38" s="22" t="s">
        <v>266</v>
      </c>
      <c r="C38" s="22" t="s">
        <v>327</v>
      </c>
      <c r="D38" s="22" t="s">
        <v>52</v>
      </c>
      <c r="E38" s="22" t="s">
        <v>53</v>
      </c>
      <c r="F38" s="22">
        <v>0</v>
      </c>
      <c r="G38" s="22">
        <v>5</v>
      </c>
      <c r="H38" s="22">
        <v>233318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ROCHA</v>
      </c>
      <c r="M38" s="20" t="s">
        <v>68</v>
      </c>
      <c r="N38" s="21"/>
      <c r="P38" s="79" t="str">
        <f>VLOOKUP(C38,'Train Runs'!$A$3:$V$257,20,0)</f>
        <v>NorthBound</v>
      </c>
      <c r="Q38" s="19" t="str">
        <f t="shared" si="3"/>
        <v>4016</v>
      </c>
    </row>
    <row r="39" spans="1:17" s="19" customFormat="1" x14ac:dyDescent="0.25">
      <c r="A39" s="23">
        <v>42535.357974537037</v>
      </c>
      <c r="B39" s="22" t="s">
        <v>110</v>
      </c>
      <c r="C39" s="22" t="s">
        <v>330</v>
      </c>
      <c r="D39" s="22" t="s">
        <v>52</v>
      </c>
      <c r="E39" s="22" t="s">
        <v>53</v>
      </c>
      <c r="F39" s="22">
        <v>0</v>
      </c>
      <c r="G39" s="22">
        <v>84</v>
      </c>
      <c r="H39" s="22">
        <v>233159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YANAI</v>
      </c>
      <c r="M39" s="20" t="s">
        <v>68</v>
      </c>
      <c r="N39" s="21"/>
      <c r="P39" s="79" t="str">
        <f>VLOOKUP(C39,'Train Runs'!$A$3:$V$257,20,0)</f>
        <v>NorthBound</v>
      </c>
      <c r="Q39" s="19" t="str">
        <f t="shared" si="3"/>
        <v>4009</v>
      </c>
    </row>
    <row r="40" spans="1:17" s="19" customFormat="1" x14ac:dyDescent="0.25">
      <c r="A40" s="23">
        <v>42535.3671875</v>
      </c>
      <c r="B40" s="22" t="s">
        <v>95</v>
      </c>
      <c r="C40" s="22" t="s">
        <v>331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118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SPECTOR</v>
      </c>
      <c r="M40" s="20" t="s">
        <v>68</v>
      </c>
      <c r="N40" s="21"/>
      <c r="P40" s="79" t="str">
        <f>VLOOKUP(C40,'Train Runs'!$A$3:$V$257,20,0)</f>
        <v>Southbound</v>
      </c>
      <c r="Q40" s="19" t="str">
        <f t="shared" si="3"/>
        <v>4043</v>
      </c>
    </row>
    <row r="41" spans="1:17" s="19" customFormat="1" x14ac:dyDescent="0.25">
      <c r="A41" s="23">
        <v>42535.412627314814</v>
      </c>
      <c r="B41" s="22" t="s">
        <v>291</v>
      </c>
      <c r="C41" s="22" t="s">
        <v>332</v>
      </c>
      <c r="D41" s="22" t="s">
        <v>52</v>
      </c>
      <c r="E41" s="22" t="s">
        <v>53</v>
      </c>
      <c r="F41" s="22">
        <v>0</v>
      </c>
      <c r="G41" s="22">
        <v>37</v>
      </c>
      <c r="H41" s="22">
        <v>233393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STARKS</v>
      </c>
      <c r="M41" s="20" t="s">
        <v>68</v>
      </c>
      <c r="N41" s="21"/>
      <c r="P41" s="79" t="str">
        <f>VLOOKUP(C41,'Train Runs'!$A$3:$V$257,20,0)</f>
        <v>NorthBound</v>
      </c>
      <c r="Q41" s="19" t="str">
        <f t="shared" si="3"/>
        <v>4025</v>
      </c>
    </row>
    <row r="42" spans="1:17" s="19" customFormat="1" x14ac:dyDescent="0.25">
      <c r="A42" s="23">
        <v>42535.43167824074</v>
      </c>
      <c r="B42" s="22" t="s">
        <v>110</v>
      </c>
      <c r="C42" s="22" t="s">
        <v>334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233447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YANAI</v>
      </c>
      <c r="M42" s="20" t="s">
        <v>68</v>
      </c>
      <c r="N42" s="21"/>
      <c r="P42" s="79" t="str">
        <f>VLOOKUP(C42,'Train Runs'!$A$3:$V$257,20,0)</f>
        <v>NorthBound</v>
      </c>
      <c r="Q42" s="19" t="str">
        <f t="shared" si="3"/>
        <v>4009</v>
      </c>
    </row>
    <row r="43" spans="1:17" s="19" customFormat="1" x14ac:dyDescent="0.25">
      <c r="A43" s="23">
        <v>42535.460636574076</v>
      </c>
      <c r="B43" s="22" t="s">
        <v>265</v>
      </c>
      <c r="C43" s="22" t="s">
        <v>336</v>
      </c>
      <c r="D43" s="22" t="s">
        <v>52</v>
      </c>
      <c r="E43" s="22" t="s">
        <v>53</v>
      </c>
      <c r="F43" s="22">
        <v>0</v>
      </c>
      <c r="G43" s="22">
        <v>46</v>
      </c>
      <c r="H43" s="22">
        <v>170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ROCHA</v>
      </c>
      <c r="M43" s="20" t="s">
        <v>68</v>
      </c>
      <c r="N43" s="21"/>
      <c r="P43" s="79" t="str">
        <f>VLOOKUP(C43,'Train Runs'!$A$3:$V$257,20,0)</f>
        <v>Southbound</v>
      </c>
      <c r="Q43" s="19" t="str">
        <f t="shared" si="3"/>
        <v>4015</v>
      </c>
    </row>
    <row r="44" spans="1:17" s="19" customFormat="1" x14ac:dyDescent="0.25">
      <c r="A44" s="23">
        <v>42535.515208333331</v>
      </c>
      <c r="B44" s="22" t="s">
        <v>140</v>
      </c>
      <c r="C44" s="22" t="s">
        <v>339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233324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WEBSTER</v>
      </c>
      <c r="M44" s="20" t="s">
        <v>68</v>
      </c>
      <c r="N44" s="21"/>
      <c r="P44" s="79" t="str">
        <f>VLOOKUP(C44,'Train Runs'!$A$3:$V$257,20,0)</f>
        <v>NorthBound</v>
      </c>
      <c r="Q44" s="19" t="str">
        <f t="shared" si="3"/>
        <v>4007</v>
      </c>
    </row>
    <row r="45" spans="1:17" s="19" customFormat="1" x14ac:dyDescent="0.25">
      <c r="A45" s="23">
        <v>42535.524004629631</v>
      </c>
      <c r="B45" s="22" t="s">
        <v>293</v>
      </c>
      <c r="C45" s="22" t="s">
        <v>340</v>
      </c>
      <c r="D45" s="22" t="s">
        <v>52</v>
      </c>
      <c r="E45" s="22" t="s">
        <v>53</v>
      </c>
      <c r="F45" s="22">
        <v>0</v>
      </c>
      <c r="G45" s="22">
        <v>3</v>
      </c>
      <c r="H45" s="22">
        <v>116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SPECTOR</v>
      </c>
      <c r="M45" s="20" t="s">
        <v>68</v>
      </c>
      <c r="N45" s="21"/>
      <c r="P45" s="79" t="str">
        <f>VLOOKUP(C45,'Train Runs'!$A$3:$V$257,20,0)</f>
        <v>Southbound</v>
      </c>
      <c r="Q45" s="19" t="str">
        <f t="shared" si="3"/>
        <v>4026</v>
      </c>
    </row>
    <row r="46" spans="1:17" s="19" customFormat="1" x14ac:dyDescent="0.25">
      <c r="A46" s="23">
        <v>42535.580347222225</v>
      </c>
      <c r="B46" s="22" t="s">
        <v>297</v>
      </c>
      <c r="C46" s="22" t="s">
        <v>343</v>
      </c>
      <c r="D46" s="22" t="s">
        <v>52</v>
      </c>
      <c r="E46" s="22" t="s">
        <v>53</v>
      </c>
      <c r="F46" s="22">
        <v>0</v>
      </c>
      <c r="G46" s="22">
        <v>7</v>
      </c>
      <c r="H46" s="22">
        <v>121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68</v>
      </c>
      <c r="N46" s="21"/>
      <c r="P46" s="79" t="str">
        <f>VLOOKUP(C46,'Train Runs'!$A$3:$V$257,20,0)</f>
        <v>Southbound</v>
      </c>
      <c r="Q46" s="19" t="str">
        <f t="shared" si="3"/>
        <v>4039</v>
      </c>
    </row>
    <row r="47" spans="1:17" s="19" customFormat="1" x14ac:dyDescent="0.25">
      <c r="A47" s="23">
        <v>42535.590810185182</v>
      </c>
      <c r="B47" s="22" t="s">
        <v>131</v>
      </c>
      <c r="C47" s="22" t="s">
        <v>346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233336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WEBSTER</v>
      </c>
      <c r="M47" s="20" t="s">
        <v>68</v>
      </c>
      <c r="N47" s="21"/>
      <c r="P47" s="79" t="str">
        <f>VLOOKUP(C47,'Train Runs'!$A$3:$V$257,20,0)</f>
        <v>NorthBound</v>
      </c>
      <c r="Q47" s="19" t="str">
        <f t="shared" si="3"/>
        <v>4024</v>
      </c>
    </row>
    <row r="48" spans="1:17" s="19" customFormat="1" x14ac:dyDescent="0.25">
      <c r="A48" s="23">
        <v>42535.619571759256</v>
      </c>
      <c r="B48" s="22" t="s">
        <v>149</v>
      </c>
      <c r="C48" s="22" t="s">
        <v>348</v>
      </c>
      <c r="D48" s="22" t="s">
        <v>52</v>
      </c>
      <c r="E48" s="22" t="s">
        <v>53</v>
      </c>
      <c r="F48" s="22">
        <v>0</v>
      </c>
      <c r="G48" s="22">
        <v>4</v>
      </c>
      <c r="H48" s="22">
        <v>233329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COCA</v>
      </c>
      <c r="M48" s="20" t="s">
        <v>68</v>
      </c>
      <c r="N48" s="21"/>
      <c r="P48" s="79" t="str">
        <f>VLOOKUP(C48,'Train Runs'!$A$3:$V$257,20,0)</f>
        <v>NorthBound</v>
      </c>
      <c r="Q48" s="19" t="str">
        <f t="shared" si="3"/>
        <v>4044</v>
      </c>
    </row>
    <row r="49" spans="1:17" s="19" customFormat="1" x14ac:dyDescent="0.25">
      <c r="A49" s="23">
        <v>42535.639525462961</v>
      </c>
      <c r="B49" s="22" t="s">
        <v>104</v>
      </c>
      <c r="C49" s="22" t="s">
        <v>347</v>
      </c>
      <c r="D49" s="22" t="s">
        <v>52</v>
      </c>
      <c r="E49" s="22" t="s">
        <v>53</v>
      </c>
      <c r="F49" s="22">
        <v>0</v>
      </c>
      <c r="G49" s="22">
        <v>5</v>
      </c>
      <c r="H49" s="22">
        <v>118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68</v>
      </c>
      <c r="N49" s="21"/>
      <c r="P49" s="79" t="str">
        <f>VLOOKUP(C49,'Train Runs'!$A$3:$V$257,20,0)</f>
        <v>Southbound</v>
      </c>
      <c r="Q49" s="19" t="str">
        <f t="shared" si="3"/>
        <v>4019</v>
      </c>
    </row>
    <row r="50" spans="1:17" s="19" customFormat="1" x14ac:dyDescent="0.25">
      <c r="A50" s="23">
        <v>42535.673090277778</v>
      </c>
      <c r="B50" s="22" t="s">
        <v>293</v>
      </c>
      <c r="C50" s="22" t="s">
        <v>350</v>
      </c>
      <c r="D50" s="22" t="s">
        <v>52</v>
      </c>
      <c r="E50" s="22" t="s">
        <v>53</v>
      </c>
      <c r="F50" s="22">
        <v>0</v>
      </c>
      <c r="G50" s="22">
        <v>46</v>
      </c>
      <c r="H50" s="22">
        <v>154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STORY</v>
      </c>
      <c r="M50" s="20" t="s">
        <v>68</v>
      </c>
      <c r="N50" s="21"/>
      <c r="P50" s="79" t="str">
        <f>VLOOKUP(C50,'Train Runs'!$A$3:$V$257,20,0)</f>
        <v>Southbound</v>
      </c>
      <c r="Q50" s="19" t="str">
        <f t="shared" si="3"/>
        <v>4026</v>
      </c>
    </row>
    <row r="51" spans="1:17" s="19" customFormat="1" x14ac:dyDescent="0.25">
      <c r="A51" s="23">
        <v>42535.690844907411</v>
      </c>
      <c r="B51" s="22" t="s">
        <v>267</v>
      </c>
      <c r="C51" s="22" t="s">
        <v>352</v>
      </c>
      <c r="D51" s="22" t="s">
        <v>52</v>
      </c>
      <c r="E51" s="22" t="s">
        <v>53</v>
      </c>
      <c r="F51" s="22">
        <v>0</v>
      </c>
      <c r="G51" s="22">
        <v>5</v>
      </c>
      <c r="H51" s="22">
        <v>116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79" t="str">
        <f>VLOOKUP(C51,'Train Runs'!$A$3:$V$257,20,0)</f>
        <v>Southbound</v>
      </c>
      <c r="Q51" s="19" t="str">
        <f t="shared" si="3"/>
        <v>4010</v>
      </c>
    </row>
    <row r="52" spans="1:17" s="19" customFormat="1" x14ac:dyDescent="0.25">
      <c r="A52" s="23">
        <v>42535.732407407406</v>
      </c>
      <c r="B52" s="22" t="s">
        <v>95</v>
      </c>
      <c r="C52" s="22" t="s">
        <v>353</v>
      </c>
      <c r="D52" s="22" t="s">
        <v>52</v>
      </c>
      <c r="E52" s="22" t="s">
        <v>53</v>
      </c>
      <c r="F52" s="22">
        <v>0</v>
      </c>
      <c r="G52" s="22">
        <v>58</v>
      </c>
      <c r="H52" s="22">
        <v>191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COCA</v>
      </c>
      <c r="M52" s="20" t="s">
        <v>68</v>
      </c>
      <c r="N52" s="21"/>
      <c r="P52" s="79" t="str">
        <f>VLOOKUP(C52,'Train Runs'!$A$3:$V$257,20,0)</f>
        <v>Southbound</v>
      </c>
      <c r="Q52" s="19" t="str">
        <f t="shared" si="3"/>
        <v>4043</v>
      </c>
    </row>
    <row r="53" spans="1:17" s="19" customFormat="1" x14ac:dyDescent="0.25">
      <c r="A53" s="23">
        <v>42535.741006944445</v>
      </c>
      <c r="B53" s="22" t="s">
        <v>131</v>
      </c>
      <c r="C53" s="22" t="s">
        <v>354</v>
      </c>
      <c r="D53" s="22" t="s">
        <v>52</v>
      </c>
      <c r="E53" s="22" t="s">
        <v>53</v>
      </c>
      <c r="F53" s="22">
        <v>0</v>
      </c>
      <c r="G53" s="22">
        <v>7</v>
      </c>
      <c r="H53" s="22">
        <v>233353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WEBSTER</v>
      </c>
      <c r="M53" s="20" t="s">
        <v>68</v>
      </c>
      <c r="N53" s="21"/>
      <c r="P53" s="79" t="str">
        <f>VLOOKUP(C53,'Train Runs'!$A$3:$V$257,20,0)</f>
        <v>NorthBound</v>
      </c>
      <c r="Q53" s="19" t="str">
        <f t="shared" si="3"/>
        <v>4024</v>
      </c>
    </row>
    <row r="54" spans="1:17" s="19" customFormat="1" x14ac:dyDescent="0.25">
      <c r="A54" s="23">
        <v>42535.744097222225</v>
      </c>
      <c r="B54" s="22" t="s">
        <v>293</v>
      </c>
      <c r="C54" s="22" t="s">
        <v>355</v>
      </c>
      <c r="D54" s="22" t="s">
        <v>52</v>
      </c>
      <c r="E54" s="22" t="s">
        <v>53</v>
      </c>
      <c r="F54" s="22">
        <v>0</v>
      </c>
      <c r="G54" s="22">
        <v>6</v>
      </c>
      <c r="H54" s="22">
        <v>110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STORY</v>
      </c>
      <c r="M54" s="20" t="s">
        <v>68</v>
      </c>
      <c r="N54" s="21"/>
      <c r="P54" s="79" t="str">
        <f>VLOOKUP(C54,'Train Runs'!$A$3:$V$257,20,0)</f>
        <v>Southbound</v>
      </c>
      <c r="Q54" s="19" t="str">
        <f t="shared" si="3"/>
        <v>4026</v>
      </c>
    </row>
    <row r="55" spans="1:17" s="19" customFormat="1" x14ac:dyDescent="0.25">
      <c r="A55" s="23">
        <v>42535.756793981483</v>
      </c>
      <c r="B55" s="22" t="s">
        <v>292</v>
      </c>
      <c r="C55" s="22" t="s">
        <v>356</v>
      </c>
      <c r="D55" s="22" t="s">
        <v>52</v>
      </c>
      <c r="E55" s="22" t="s">
        <v>53</v>
      </c>
      <c r="F55" s="22">
        <v>0</v>
      </c>
      <c r="G55" s="22">
        <v>2</v>
      </c>
      <c r="H55" s="22">
        <v>233342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YOUNG</v>
      </c>
      <c r="M55" s="20" t="s">
        <v>68</v>
      </c>
      <c r="N55" s="21"/>
      <c r="P55" s="79" t="str">
        <f>VLOOKUP(C55,'Train Runs'!$A$3:$V$257,20,0)</f>
        <v>NorthBound</v>
      </c>
      <c r="Q55" s="19" t="str">
        <f t="shared" si="3"/>
        <v>4040</v>
      </c>
    </row>
    <row r="56" spans="1:17" s="19" customFormat="1" x14ac:dyDescent="0.25">
      <c r="A56" s="23">
        <v>42535.765925925924</v>
      </c>
      <c r="B56" s="22" t="s">
        <v>149</v>
      </c>
      <c r="C56" s="22" t="s">
        <v>358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233362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DE LA ROSA</v>
      </c>
      <c r="M56" s="20" t="s">
        <v>68</v>
      </c>
      <c r="N56" s="21"/>
      <c r="P56" s="79" t="str">
        <f>VLOOKUP(C56,'Train Runs'!$A$3:$V$257,20,0)</f>
        <v>NorthBound</v>
      </c>
      <c r="Q56" s="19" t="str">
        <f t="shared" si="3"/>
        <v>4044</v>
      </c>
    </row>
    <row r="57" spans="1:17" s="19" customFormat="1" x14ac:dyDescent="0.25">
      <c r="A57" s="23">
        <v>42535.77685185185</v>
      </c>
      <c r="B57" s="22" t="s">
        <v>291</v>
      </c>
      <c r="C57" s="22" t="s">
        <v>359</v>
      </c>
      <c r="D57" s="22" t="s">
        <v>52</v>
      </c>
      <c r="E57" s="22" t="s">
        <v>53</v>
      </c>
      <c r="F57" s="22">
        <v>0</v>
      </c>
      <c r="G57" s="22">
        <v>6</v>
      </c>
      <c r="H57" s="22">
        <v>233372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STORY</v>
      </c>
      <c r="M57" s="20" t="s">
        <v>68</v>
      </c>
      <c r="N57" s="21"/>
      <c r="P57" s="79" t="str">
        <f>VLOOKUP(C57,'Train Runs'!$A$3:$V$257,20,0)</f>
        <v>NorthBound</v>
      </c>
      <c r="Q57" s="19" t="str">
        <f t="shared" si="3"/>
        <v>4025</v>
      </c>
    </row>
    <row r="58" spans="1:17" s="19" customFormat="1" x14ac:dyDescent="0.25">
      <c r="A58" s="23">
        <v>42535.804699074077</v>
      </c>
      <c r="B58" s="22" t="s">
        <v>95</v>
      </c>
      <c r="C58" s="22" t="s">
        <v>360</v>
      </c>
      <c r="D58" s="22" t="s">
        <v>52</v>
      </c>
      <c r="E58" s="22" t="s">
        <v>53</v>
      </c>
      <c r="F58" s="22">
        <v>0</v>
      </c>
      <c r="G58" s="22">
        <v>9</v>
      </c>
      <c r="H58" s="22">
        <v>109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DE LA ROSA</v>
      </c>
      <c r="M58" s="20" t="s">
        <v>68</v>
      </c>
      <c r="N58" s="21"/>
      <c r="P58" s="79" t="str">
        <f>VLOOKUP(C58,'Train Runs'!$A$3:$V$257,20,0)</f>
        <v>Southbound</v>
      </c>
      <c r="Q58" s="19" t="str">
        <f t="shared" si="3"/>
        <v>4043</v>
      </c>
    </row>
    <row r="59" spans="1:17" s="19" customFormat="1" x14ac:dyDescent="0.25">
      <c r="A59" s="23">
        <v>42535.816493055558</v>
      </c>
      <c r="B59" s="22" t="s">
        <v>293</v>
      </c>
      <c r="C59" s="22" t="s">
        <v>361</v>
      </c>
      <c r="D59" s="22" t="s">
        <v>52</v>
      </c>
      <c r="E59" s="22" t="s">
        <v>53</v>
      </c>
      <c r="F59" s="22">
        <v>0</v>
      </c>
      <c r="G59" s="22">
        <v>60</v>
      </c>
      <c r="H59" s="22">
        <v>227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STORY</v>
      </c>
      <c r="M59" s="20" t="s">
        <v>68</v>
      </c>
      <c r="N59" s="21"/>
      <c r="P59" s="79" t="str">
        <f>VLOOKUP(C59,'Train Runs'!$A$3:$V$257,20,0)</f>
        <v>Southbound</v>
      </c>
      <c r="Q59" s="19" t="str">
        <f t="shared" si="3"/>
        <v>4026</v>
      </c>
    </row>
    <row r="60" spans="1:17" s="19" customFormat="1" x14ac:dyDescent="0.25">
      <c r="A60" s="23">
        <v>42536.050046296295</v>
      </c>
      <c r="B60" s="22" t="s">
        <v>95</v>
      </c>
      <c r="C60" s="22" t="s">
        <v>364</v>
      </c>
      <c r="D60" s="22" t="s">
        <v>52</v>
      </c>
      <c r="E60" s="22" t="s">
        <v>53</v>
      </c>
      <c r="F60" s="22">
        <v>0</v>
      </c>
      <c r="G60" s="22">
        <v>5</v>
      </c>
      <c r="H60" s="22">
        <v>132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GRASTON</v>
      </c>
      <c r="M60" s="20" t="s">
        <v>68</v>
      </c>
      <c r="N60" s="21"/>
      <c r="P60" s="79" t="str">
        <f>VLOOKUP(C60,'Train Runs'!$A$3:$V$257,20,0)</f>
        <v>Southbound</v>
      </c>
      <c r="Q60" s="19" t="str">
        <f t="shared" si="3"/>
        <v>4043</v>
      </c>
    </row>
    <row r="61" spans="1:17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79"/>
    </row>
    <row r="62" spans="1:17" ht="30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18" t="s">
        <v>28</v>
      </c>
      <c r="L62" s="52"/>
      <c r="M62" s="17">
        <f>COUNTIF(M20:M60,"=Y")</f>
        <v>3</v>
      </c>
      <c r="N62" s="77"/>
    </row>
    <row r="63" spans="1:17" ht="15.75" thickBot="1" x14ac:dyDescent="0.3">
      <c r="B63" s="59"/>
      <c r="C63" s="59"/>
      <c r="D63" s="59"/>
      <c r="E63" s="59"/>
      <c r="F63" s="59"/>
      <c r="G63" s="59"/>
      <c r="H63" s="59"/>
      <c r="I63" s="59"/>
      <c r="J63" s="59"/>
      <c r="K63" s="16" t="s">
        <v>27</v>
      </c>
      <c r="L63" s="53"/>
      <c r="M63" s="15">
        <f>COUNTA(M20:M60)-M62</f>
        <v>38</v>
      </c>
    </row>
  </sheetData>
  <autoFilter ref="A2:N60">
    <sortState ref="A3:N61">
      <sortCondition ref="E2:E61"/>
    </sortState>
  </autoFilter>
  <sortState ref="A20:N27">
    <sortCondition ref="N20:N27"/>
  </sortState>
  <mergeCells count="1">
    <mergeCell ref="A1:M1"/>
  </mergeCells>
  <conditionalFormatting sqref="P2 M2:N2 M3:M1048576">
    <cfRule type="cellIs" dxfId="49" priority="8" operator="equal">
      <formula>"Y"</formula>
    </cfRule>
  </conditionalFormatting>
  <conditionalFormatting sqref="A3:N60">
    <cfRule type="expression" dxfId="48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0" sqref="C10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2016-06-14</v>
      </c>
      <c r="B1" s="104"/>
      <c r="C1" s="104"/>
      <c r="D1" s="104"/>
      <c r="E1" s="104"/>
    </row>
    <row r="2" spans="1:5" s="77" customFormat="1" ht="45" x14ac:dyDescent="0.25">
      <c r="A2" s="76" t="s">
        <v>262</v>
      </c>
      <c r="B2" s="90" t="s">
        <v>263</v>
      </c>
      <c r="C2" s="88" t="s">
        <v>264</v>
      </c>
      <c r="D2" s="77" t="s">
        <v>260</v>
      </c>
      <c r="E2" s="59" t="s">
        <v>261</v>
      </c>
    </row>
    <row r="3" spans="1:5" x14ac:dyDescent="0.25">
      <c r="A3" s="60" t="s">
        <v>553</v>
      </c>
      <c r="B3" s="91">
        <v>0</v>
      </c>
      <c r="C3" s="60"/>
      <c r="D3" s="61"/>
      <c r="E3" s="60" t="e">
        <f>VLOOKUP(#REF!,'Trips&amp;Operators'!$C$1:$E$9999,3,FALSE)</f>
        <v>#REF!</v>
      </c>
    </row>
    <row r="4" spans="1:5" x14ac:dyDescent="0.25">
      <c r="A4" s="60" t="s">
        <v>408</v>
      </c>
      <c r="B4" s="91">
        <v>0</v>
      </c>
      <c r="C4" s="60"/>
      <c r="D4" s="61"/>
      <c r="E4" s="60" t="str">
        <f>VLOOKUP(A4,'Trips&amp;Operators'!$C$1:$E$9999,3,FALSE)</f>
        <v>REBOLETTI</v>
      </c>
    </row>
    <row r="5" spans="1:5" x14ac:dyDescent="0.25">
      <c r="A5" s="85"/>
      <c r="B5" s="92"/>
      <c r="C5" s="93"/>
      <c r="D5" s="61"/>
      <c r="E5" s="60" t="e">
        <f>VLOOKUP(A5,'Trips&amp;Operators'!$C$1:$E$9999,3,FALSE)</f>
        <v>#N/A</v>
      </c>
    </row>
    <row r="6" spans="1:5" x14ac:dyDescent="0.25">
      <c r="A6" s="60"/>
      <c r="B6" s="91"/>
      <c r="C6" s="93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60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47" priority="44">
      <formula>$R3&gt;0</formula>
    </cfRule>
    <cfRule type="expression" dxfId="46" priority="45">
      <formula>$Q3&gt;0</formula>
    </cfRule>
  </conditionalFormatting>
  <conditionalFormatting sqref="A5:C5">
    <cfRule type="expression" dxfId="45" priority="41">
      <formula>$R5&gt;0</formula>
    </cfRule>
    <cfRule type="expression" dxfId="44" priority="42">
      <formula>$Q5&gt;0</formula>
    </cfRule>
  </conditionalFormatting>
  <conditionalFormatting sqref="A6:B6">
    <cfRule type="expression" dxfId="43" priority="38">
      <formula>$R6&gt;0</formula>
    </cfRule>
    <cfRule type="expression" dxfId="42" priority="39">
      <formula>$Q6&gt;0</formula>
    </cfRule>
  </conditionalFormatting>
  <conditionalFormatting sqref="A11:C12">
    <cfRule type="expression" dxfId="41" priority="35">
      <formula>$R11&gt;0</formula>
    </cfRule>
    <cfRule type="expression" dxfId="40" priority="36">
      <formula>$Q11&gt;0</formula>
    </cfRule>
  </conditionalFormatting>
  <conditionalFormatting sqref="A13:C13">
    <cfRule type="expression" dxfId="39" priority="32">
      <formula>$R13&gt;0</formula>
    </cfRule>
    <cfRule type="expression" dxfId="38" priority="33">
      <formula>$Q13&gt;0</formula>
    </cfRule>
  </conditionalFormatting>
  <conditionalFormatting sqref="D3:D4 D6:D10">
    <cfRule type="expression" dxfId="37" priority="29">
      <formula>$R3&gt;0</formula>
    </cfRule>
    <cfRule type="expression" dxfId="36" priority="30">
      <formula>$Q3&gt;0</formula>
    </cfRule>
  </conditionalFormatting>
  <conditionalFormatting sqref="E3:E14">
    <cfRule type="expression" dxfId="35" priority="26">
      <formula>$R3&gt;0</formula>
    </cfRule>
    <cfRule type="expression" dxfId="34" priority="27">
      <formula>$Q3&gt;0</formula>
    </cfRule>
  </conditionalFormatting>
  <conditionalFormatting sqref="C7">
    <cfRule type="expression" dxfId="33" priority="17">
      <formula>$R7&gt;0</formula>
    </cfRule>
    <cfRule type="expression" dxfId="32" priority="18">
      <formula>$Q7&gt;0</formula>
    </cfRule>
  </conditionalFormatting>
  <conditionalFormatting sqref="C6">
    <cfRule type="expression" dxfId="31" priority="14">
      <formula>$R6&gt;0</formula>
    </cfRule>
    <cfRule type="expression" dxfId="30" priority="15">
      <formula>$Q6&gt;0</formula>
    </cfRule>
  </conditionalFormatting>
  <conditionalFormatting sqref="A8">
    <cfRule type="expression" dxfId="29" priority="11">
      <formula>$P8&gt;0</formula>
    </cfRule>
    <cfRule type="expression" dxfId="28" priority="12">
      <formula>$O8&gt;0</formula>
    </cfRule>
  </conditionalFormatting>
  <conditionalFormatting sqref="A3">
    <cfRule type="expression" dxfId="27" priority="8">
      <formula>$P3&gt;0</formula>
    </cfRule>
    <cfRule type="expression" dxfId="26" priority="9">
      <formula>$O3&gt;0</formula>
    </cfRule>
  </conditionalFormatting>
  <conditionalFormatting sqref="A4">
    <cfRule type="expression" dxfId="25" priority="5">
      <formula>$P4&gt;0</formula>
    </cfRule>
    <cfRule type="expression" dxfId="24" priority="6">
      <formula>$O4&gt;0</formula>
    </cfRule>
  </conditionalFormatting>
  <conditionalFormatting sqref="D5">
    <cfRule type="expression" dxfId="23" priority="2">
      <formula>$P5&gt;0</formula>
    </cfRule>
    <cfRule type="expression" dxfId="22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40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37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34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31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28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 D6:D10</xm:sqref>
        </x14:conditionalFormatting>
        <x14:conditionalFormatting xmlns:xm="http://schemas.microsoft.com/office/excel/2006/main">
          <x14:cfRule type="expression" priority="25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6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3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0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7" id="{9FBE9AEA-4FB8-477A-B111-342197AA2D2B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" id="{C1D376B4-D49F-4C90-9F40-B0E948A44A4D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0B1933BB-7CA6-49B5-8D01-DCF904FCA323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6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42535.254305555558</v>
      </c>
      <c r="B1" t="s">
        <v>117</v>
      </c>
      <c r="C1" t="s">
        <v>366</v>
      </c>
      <c r="D1">
        <v>1480000</v>
      </c>
      <c r="E1" t="s">
        <v>269</v>
      </c>
    </row>
    <row r="2" spans="1:5" x14ac:dyDescent="0.25">
      <c r="A2" s="14">
        <v>42535.370092592595</v>
      </c>
      <c r="B2" t="s">
        <v>267</v>
      </c>
      <c r="C2" t="s">
        <v>367</v>
      </c>
      <c r="D2">
        <v>1230000</v>
      </c>
      <c r="E2" t="s">
        <v>170</v>
      </c>
    </row>
    <row r="3" spans="1:5" x14ac:dyDescent="0.25">
      <c r="A3" s="14">
        <v>42535.44390046296</v>
      </c>
      <c r="B3" t="s">
        <v>149</v>
      </c>
      <c r="C3" t="s">
        <v>368</v>
      </c>
      <c r="D3">
        <v>1510000</v>
      </c>
      <c r="E3" t="s">
        <v>296</v>
      </c>
    </row>
    <row r="4" spans="1:5" x14ac:dyDescent="0.25">
      <c r="A4" s="14">
        <v>42535.643692129626</v>
      </c>
      <c r="B4" t="s">
        <v>105</v>
      </c>
      <c r="C4" t="s">
        <v>369</v>
      </c>
      <c r="D4">
        <v>1340000</v>
      </c>
      <c r="E4" t="s">
        <v>128</v>
      </c>
    </row>
    <row r="5" spans="1:5" x14ac:dyDescent="0.25">
      <c r="A5" s="14">
        <v>42535.701053240744</v>
      </c>
      <c r="B5" t="s">
        <v>95</v>
      </c>
      <c r="C5" t="s">
        <v>353</v>
      </c>
      <c r="D5">
        <v>1510000</v>
      </c>
      <c r="E5" t="s">
        <v>296</v>
      </c>
    </row>
    <row r="6" spans="1:5" x14ac:dyDescent="0.25">
      <c r="A6" s="14">
        <v>42535.716157407405</v>
      </c>
      <c r="B6" t="s">
        <v>105</v>
      </c>
      <c r="C6" t="s">
        <v>370</v>
      </c>
      <c r="D6">
        <v>1180000</v>
      </c>
      <c r="E6" t="s">
        <v>132</v>
      </c>
    </row>
    <row r="7" spans="1:5" x14ac:dyDescent="0.25">
      <c r="A7" s="14">
        <v>42535.867881944447</v>
      </c>
      <c r="B7" t="s">
        <v>105</v>
      </c>
      <c r="C7" t="s">
        <v>371</v>
      </c>
      <c r="D7">
        <v>1180000</v>
      </c>
      <c r="E7" t="s">
        <v>132</v>
      </c>
    </row>
    <row r="8" spans="1:5" ht="15.75" thickBot="1" x14ac:dyDescent="0.3">
      <c r="A8" s="82">
        <v>42535.951493055552</v>
      </c>
      <c r="B8" t="s">
        <v>135</v>
      </c>
      <c r="C8" t="s">
        <v>372</v>
      </c>
      <c r="D8">
        <v>1820000</v>
      </c>
      <c r="E8" t="s">
        <v>130</v>
      </c>
    </row>
    <row r="9" spans="1:5" x14ac:dyDescent="0.25">
      <c r="A9" s="14">
        <v>42536.054340277777</v>
      </c>
      <c r="B9" t="s">
        <v>265</v>
      </c>
      <c r="C9" t="s">
        <v>373</v>
      </c>
      <c r="D9">
        <v>1280000</v>
      </c>
      <c r="E9" t="s">
        <v>174</v>
      </c>
    </row>
    <row r="10" spans="1:5" x14ac:dyDescent="0.25">
      <c r="A10" s="14">
        <v>42535.12939814815</v>
      </c>
      <c r="B10" t="s">
        <v>155</v>
      </c>
      <c r="C10" t="s">
        <v>319</v>
      </c>
      <c r="D10">
        <v>1480000</v>
      </c>
      <c r="E10" t="s">
        <v>269</v>
      </c>
    </row>
    <row r="11" spans="1:5" x14ac:dyDescent="0.25">
      <c r="A11" s="14">
        <v>42535.681018518517</v>
      </c>
      <c r="B11" t="s">
        <v>104</v>
      </c>
      <c r="C11" t="s">
        <v>374</v>
      </c>
      <c r="D11">
        <v>1340000</v>
      </c>
      <c r="E11" t="s">
        <v>128</v>
      </c>
    </row>
    <row r="12" spans="1:5" x14ac:dyDescent="0.25">
      <c r="A12" s="14">
        <v>42535.152939814812</v>
      </c>
      <c r="B12" t="s">
        <v>149</v>
      </c>
      <c r="C12" t="s">
        <v>375</v>
      </c>
      <c r="D12">
        <v>1110000</v>
      </c>
      <c r="E12" t="s">
        <v>126</v>
      </c>
    </row>
    <row r="13" spans="1:5" x14ac:dyDescent="0.25">
      <c r="A13" s="14">
        <v>42535.63181712963</v>
      </c>
      <c r="B13" t="s">
        <v>131</v>
      </c>
      <c r="C13" t="s">
        <v>349</v>
      </c>
      <c r="D13">
        <v>1450000</v>
      </c>
      <c r="E13" t="s">
        <v>295</v>
      </c>
    </row>
    <row r="14" spans="1:5" x14ac:dyDescent="0.25">
      <c r="A14" s="14">
        <v>42535.175659722219</v>
      </c>
      <c r="B14" t="s">
        <v>110</v>
      </c>
      <c r="C14" t="s">
        <v>320</v>
      </c>
      <c r="D14">
        <v>1230000</v>
      </c>
      <c r="E14" t="s">
        <v>170</v>
      </c>
    </row>
    <row r="15" spans="1:5" x14ac:dyDescent="0.25">
      <c r="A15" s="14">
        <v>42535.534444444442</v>
      </c>
      <c r="B15" t="s">
        <v>104</v>
      </c>
      <c r="C15" t="s">
        <v>342</v>
      </c>
      <c r="D15">
        <v>1340000</v>
      </c>
      <c r="E15" t="s">
        <v>128</v>
      </c>
    </row>
    <row r="16" spans="1:5" x14ac:dyDescent="0.25">
      <c r="A16" s="14">
        <v>42535.305937500001</v>
      </c>
      <c r="B16" s="59" t="s">
        <v>135</v>
      </c>
      <c r="C16" t="s">
        <v>328</v>
      </c>
      <c r="D16">
        <v>1260000</v>
      </c>
      <c r="E16" t="s">
        <v>270</v>
      </c>
    </row>
    <row r="17" spans="1:5" x14ac:dyDescent="0.25">
      <c r="A17" s="14">
        <v>42535.486307870371</v>
      </c>
      <c r="B17" t="s">
        <v>140</v>
      </c>
      <c r="C17" t="s">
        <v>339</v>
      </c>
      <c r="D17">
        <v>950000</v>
      </c>
      <c r="E17" t="s">
        <v>272</v>
      </c>
    </row>
    <row r="18" spans="1:5" x14ac:dyDescent="0.25">
      <c r="A18" s="14">
        <v>42535.395451388889</v>
      </c>
      <c r="B18" t="s">
        <v>266</v>
      </c>
      <c r="C18" t="s">
        <v>376</v>
      </c>
      <c r="D18">
        <v>900000</v>
      </c>
      <c r="E18" t="s">
        <v>172</v>
      </c>
    </row>
    <row r="19" spans="1:5" x14ac:dyDescent="0.25">
      <c r="A19" s="14">
        <v>42535.377164351848</v>
      </c>
      <c r="B19" t="s">
        <v>135</v>
      </c>
      <c r="C19" t="s">
        <v>377</v>
      </c>
      <c r="D19">
        <v>1260000</v>
      </c>
      <c r="E19" t="s">
        <v>270</v>
      </c>
    </row>
    <row r="20" spans="1:5" x14ac:dyDescent="0.25">
      <c r="A20" s="14">
        <v>42535.234074074076</v>
      </c>
      <c r="B20" t="s">
        <v>291</v>
      </c>
      <c r="C20" t="s">
        <v>378</v>
      </c>
      <c r="D20">
        <v>1110000</v>
      </c>
      <c r="E20" t="s">
        <v>126</v>
      </c>
    </row>
    <row r="21" spans="1:5" x14ac:dyDescent="0.25">
      <c r="A21" s="14">
        <v>42535.830416666664</v>
      </c>
      <c r="B21" t="s">
        <v>140</v>
      </c>
      <c r="C21" t="s">
        <v>379</v>
      </c>
      <c r="D21">
        <v>1820000</v>
      </c>
      <c r="E21" t="s">
        <v>130</v>
      </c>
    </row>
    <row r="22" spans="1:5" x14ac:dyDescent="0.25">
      <c r="A22" s="14">
        <v>42535.283796296295</v>
      </c>
      <c r="B22" t="s">
        <v>265</v>
      </c>
      <c r="C22" t="s">
        <v>326</v>
      </c>
      <c r="D22">
        <v>900000</v>
      </c>
      <c r="E22" t="s">
        <v>172</v>
      </c>
    </row>
    <row r="23" spans="1:5" x14ac:dyDescent="0.25">
      <c r="A23" s="14">
        <v>42535.7965625</v>
      </c>
      <c r="B23" t="s">
        <v>135</v>
      </c>
      <c r="C23" t="s">
        <v>362</v>
      </c>
      <c r="D23">
        <v>1820000</v>
      </c>
      <c r="E23" t="s">
        <v>130</v>
      </c>
    </row>
    <row r="24" spans="1:5" x14ac:dyDescent="0.25">
      <c r="A24" s="14">
        <v>42535.381574074076</v>
      </c>
      <c r="B24" t="s">
        <v>291</v>
      </c>
      <c r="C24" t="s">
        <v>332</v>
      </c>
      <c r="D24">
        <v>1110000</v>
      </c>
      <c r="E24" t="s">
        <v>126</v>
      </c>
    </row>
    <row r="25" spans="1:5" x14ac:dyDescent="0.25">
      <c r="A25" s="14">
        <v>42535.764016203706</v>
      </c>
      <c r="B25" t="s">
        <v>297</v>
      </c>
      <c r="C25" t="s">
        <v>380</v>
      </c>
      <c r="D25">
        <v>1140000</v>
      </c>
      <c r="E25" t="s">
        <v>119</v>
      </c>
    </row>
    <row r="26" spans="1:5" x14ac:dyDescent="0.25">
      <c r="A26" s="14">
        <v>42535.27542824074</v>
      </c>
      <c r="B26" t="s">
        <v>293</v>
      </c>
      <c r="C26" t="s">
        <v>381</v>
      </c>
      <c r="D26">
        <v>1110000</v>
      </c>
      <c r="E26" t="s">
        <v>126</v>
      </c>
    </row>
    <row r="27" spans="1:5" x14ac:dyDescent="0.25">
      <c r="A27" s="14">
        <v>42535.717546296299</v>
      </c>
      <c r="B27" s="59" t="s">
        <v>105</v>
      </c>
      <c r="C27" t="s">
        <v>370</v>
      </c>
      <c r="D27">
        <v>1180000</v>
      </c>
      <c r="E27" t="s">
        <v>132</v>
      </c>
    </row>
    <row r="28" spans="1:5" x14ac:dyDescent="0.25">
      <c r="A28" s="14">
        <v>42535.297500000001</v>
      </c>
      <c r="B28" t="s">
        <v>149</v>
      </c>
      <c r="C28" t="s">
        <v>382</v>
      </c>
      <c r="D28">
        <v>1090000</v>
      </c>
      <c r="E28" t="s">
        <v>294</v>
      </c>
    </row>
    <row r="29" spans="1:5" x14ac:dyDescent="0.25">
      <c r="A29" s="14">
        <v>42535.63658564815</v>
      </c>
      <c r="B29" t="s">
        <v>131</v>
      </c>
      <c r="C29" t="s">
        <v>349</v>
      </c>
      <c r="D29">
        <v>1450000</v>
      </c>
      <c r="E29" t="s">
        <v>295</v>
      </c>
    </row>
    <row r="30" spans="1:5" x14ac:dyDescent="0.25">
      <c r="A30" s="14">
        <v>42535.305011574077</v>
      </c>
      <c r="B30" t="s">
        <v>135</v>
      </c>
      <c r="C30" t="s">
        <v>328</v>
      </c>
      <c r="D30">
        <v>1260000</v>
      </c>
      <c r="E30" t="s">
        <v>270</v>
      </c>
    </row>
    <row r="31" spans="1:5" x14ac:dyDescent="0.25">
      <c r="A31" s="14">
        <v>42535.554664351854</v>
      </c>
      <c r="B31" t="s">
        <v>95</v>
      </c>
      <c r="C31" t="s">
        <v>345</v>
      </c>
      <c r="D31">
        <v>1510000</v>
      </c>
      <c r="E31" t="s">
        <v>296</v>
      </c>
    </row>
    <row r="32" spans="1:5" x14ac:dyDescent="0.25">
      <c r="A32" s="14">
        <v>42535.348576388889</v>
      </c>
      <c r="B32" t="s">
        <v>293</v>
      </c>
      <c r="C32" t="s">
        <v>383</v>
      </c>
      <c r="D32">
        <v>1110000</v>
      </c>
      <c r="E32" t="s">
        <v>126</v>
      </c>
    </row>
    <row r="33" spans="1:5" x14ac:dyDescent="0.25">
      <c r="A33" s="14">
        <v>42535.360694444447</v>
      </c>
      <c r="B33" t="s">
        <v>131</v>
      </c>
      <c r="C33" t="s">
        <v>384</v>
      </c>
      <c r="D33">
        <v>1480000</v>
      </c>
      <c r="E33" t="s">
        <v>269</v>
      </c>
    </row>
    <row r="34" spans="1:5" x14ac:dyDescent="0.25">
      <c r="A34" s="14">
        <v>42535.495613425926</v>
      </c>
      <c r="B34" t="s">
        <v>105</v>
      </c>
      <c r="C34" t="s">
        <v>385</v>
      </c>
      <c r="D34">
        <v>1340000</v>
      </c>
      <c r="E34" t="s">
        <v>128</v>
      </c>
    </row>
    <row r="35" spans="1:5" x14ac:dyDescent="0.25">
      <c r="A35" s="14">
        <v>42535.288078703707</v>
      </c>
      <c r="B35" t="s">
        <v>131</v>
      </c>
      <c r="C35" t="s">
        <v>386</v>
      </c>
      <c r="D35">
        <v>1480000</v>
      </c>
      <c r="E35" t="s">
        <v>269</v>
      </c>
    </row>
    <row r="36" spans="1:5" x14ac:dyDescent="0.25">
      <c r="A36" s="14">
        <v>42535.50267361111</v>
      </c>
      <c r="B36" t="s">
        <v>292</v>
      </c>
      <c r="C36" t="s">
        <v>387</v>
      </c>
      <c r="D36">
        <v>1140000</v>
      </c>
      <c r="E36" t="s">
        <v>119</v>
      </c>
    </row>
    <row r="37" spans="1:5" x14ac:dyDescent="0.25">
      <c r="A37" s="14">
        <v>42535.256597222222</v>
      </c>
      <c r="B37" t="s">
        <v>110</v>
      </c>
      <c r="C37" t="s">
        <v>388</v>
      </c>
      <c r="D37">
        <v>1230000</v>
      </c>
      <c r="E37" t="s">
        <v>170</v>
      </c>
    </row>
    <row r="38" spans="1:5" x14ac:dyDescent="0.25">
      <c r="A38" s="14">
        <v>42535.524340277778</v>
      </c>
      <c r="B38" t="s">
        <v>135</v>
      </c>
      <c r="C38" t="s">
        <v>341</v>
      </c>
      <c r="D38">
        <v>950000</v>
      </c>
      <c r="E38" t="s">
        <v>272</v>
      </c>
    </row>
    <row r="39" spans="1:5" x14ac:dyDescent="0.25">
      <c r="A39" s="14">
        <v>42535.765405092592</v>
      </c>
      <c r="B39" t="s">
        <v>266</v>
      </c>
      <c r="C39" t="s">
        <v>389</v>
      </c>
      <c r="D39">
        <v>1280000</v>
      </c>
      <c r="E39" t="s">
        <v>174</v>
      </c>
    </row>
    <row r="40" spans="1:5" x14ac:dyDescent="0.25">
      <c r="A40" s="14">
        <v>42535.540196759262</v>
      </c>
      <c r="B40" t="s">
        <v>266</v>
      </c>
      <c r="C40" t="s">
        <v>390</v>
      </c>
      <c r="D40">
        <v>890000</v>
      </c>
      <c r="E40" t="s">
        <v>122</v>
      </c>
    </row>
    <row r="41" spans="1:5" x14ac:dyDescent="0.25">
      <c r="A41" s="14">
        <v>42535.670023148145</v>
      </c>
      <c r="B41" t="s">
        <v>149</v>
      </c>
      <c r="C41" t="s">
        <v>391</v>
      </c>
      <c r="D41">
        <v>1510000</v>
      </c>
      <c r="E41" t="s">
        <v>296</v>
      </c>
    </row>
    <row r="42" spans="1:5" x14ac:dyDescent="0.25">
      <c r="A42" s="14">
        <v>42535.584201388891</v>
      </c>
      <c r="B42" s="83" t="s">
        <v>292</v>
      </c>
      <c r="C42" t="s">
        <v>392</v>
      </c>
      <c r="D42">
        <v>1140000</v>
      </c>
      <c r="E42" t="s">
        <v>119</v>
      </c>
    </row>
    <row r="43" spans="1:5" x14ac:dyDescent="0.25">
      <c r="A43" s="14">
        <v>42535.590798611112</v>
      </c>
      <c r="B43" t="s">
        <v>149</v>
      </c>
      <c r="C43" t="s">
        <v>348</v>
      </c>
      <c r="D43">
        <v>1510000</v>
      </c>
      <c r="E43" t="s">
        <v>296</v>
      </c>
    </row>
    <row r="44" spans="1:5" x14ac:dyDescent="0.25">
      <c r="A44" s="14">
        <v>42535.607407407406</v>
      </c>
      <c r="B44" t="s">
        <v>104</v>
      </c>
      <c r="C44" t="s">
        <v>347</v>
      </c>
      <c r="D44">
        <v>1340000</v>
      </c>
      <c r="E44" t="s">
        <v>128</v>
      </c>
    </row>
    <row r="45" spans="1:5" x14ac:dyDescent="0.25">
      <c r="A45" s="14">
        <v>42535.323888888888</v>
      </c>
      <c r="B45" t="s">
        <v>117</v>
      </c>
      <c r="C45" t="s">
        <v>393</v>
      </c>
      <c r="D45">
        <v>1480000</v>
      </c>
      <c r="E45" t="s">
        <v>269</v>
      </c>
    </row>
    <row r="46" spans="1:5" x14ac:dyDescent="0.25">
      <c r="A46" s="14">
        <v>42535.689479166664</v>
      </c>
      <c r="B46" t="s">
        <v>297</v>
      </c>
      <c r="C46" t="s">
        <v>394</v>
      </c>
      <c r="D46">
        <v>1140000</v>
      </c>
      <c r="E46" t="s">
        <v>119</v>
      </c>
    </row>
    <row r="47" spans="1:5" x14ac:dyDescent="0.25">
      <c r="A47" s="14">
        <v>42536.009699074071</v>
      </c>
      <c r="B47" t="s">
        <v>266</v>
      </c>
      <c r="C47" t="s">
        <v>395</v>
      </c>
      <c r="D47">
        <v>1280000</v>
      </c>
      <c r="E47" t="s">
        <v>174</v>
      </c>
    </row>
    <row r="48" spans="1:5" x14ac:dyDescent="0.25">
      <c r="A48" s="14">
        <v>42535.708993055552</v>
      </c>
      <c r="B48" t="s">
        <v>131</v>
      </c>
      <c r="C48" t="s">
        <v>354</v>
      </c>
      <c r="D48">
        <v>950000</v>
      </c>
      <c r="E48" t="s">
        <v>272</v>
      </c>
    </row>
    <row r="49" spans="1:5" x14ac:dyDescent="0.25">
      <c r="A49" s="14">
        <v>42535.973391203705</v>
      </c>
      <c r="B49" t="s">
        <v>265</v>
      </c>
      <c r="C49" t="s">
        <v>396</v>
      </c>
      <c r="D49">
        <v>1280000</v>
      </c>
      <c r="E49" t="s">
        <v>174</v>
      </c>
    </row>
    <row r="50" spans="1:5" x14ac:dyDescent="0.25">
      <c r="A50" s="14">
        <v>42535.710057870368</v>
      </c>
      <c r="B50" t="s">
        <v>131</v>
      </c>
      <c r="C50" t="s">
        <v>354</v>
      </c>
      <c r="D50">
        <v>950000</v>
      </c>
      <c r="E50" t="s">
        <v>272</v>
      </c>
    </row>
    <row r="51" spans="1:5" x14ac:dyDescent="0.25">
      <c r="A51" s="14">
        <v>42535.927037037036</v>
      </c>
      <c r="B51" t="s">
        <v>266</v>
      </c>
      <c r="C51" t="s">
        <v>397</v>
      </c>
      <c r="D51">
        <v>1280000</v>
      </c>
      <c r="E51" t="s">
        <v>174</v>
      </c>
    </row>
    <row r="52" spans="1:5" x14ac:dyDescent="0.25">
      <c r="A52" s="14">
        <v>42535.711655092593</v>
      </c>
      <c r="B52" t="s">
        <v>131</v>
      </c>
      <c r="C52" t="s">
        <v>354</v>
      </c>
      <c r="D52">
        <v>950000</v>
      </c>
      <c r="E52" t="s">
        <v>272</v>
      </c>
    </row>
    <row r="53" spans="1:5" x14ac:dyDescent="0.25">
      <c r="A53" s="14">
        <v>42535.893275462964</v>
      </c>
      <c r="B53" t="s">
        <v>149</v>
      </c>
      <c r="C53" t="s">
        <v>398</v>
      </c>
      <c r="D53">
        <v>1240000</v>
      </c>
      <c r="E53" t="s">
        <v>93</v>
      </c>
    </row>
    <row r="54" spans="1:5" x14ac:dyDescent="0.25">
      <c r="A54" s="14">
        <v>42535.743402777778</v>
      </c>
      <c r="B54" t="s">
        <v>117</v>
      </c>
      <c r="C54" t="s">
        <v>399</v>
      </c>
      <c r="D54">
        <v>950000</v>
      </c>
      <c r="E54" t="s">
        <v>272</v>
      </c>
    </row>
    <row r="55" spans="1:5" x14ac:dyDescent="0.25">
      <c r="A55" s="14">
        <v>42535.869872685187</v>
      </c>
      <c r="B55" t="s">
        <v>135</v>
      </c>
      <c r="C55" t="s">
        <v>400</v>
      </c>
      <c r="D55">
        <v>1820000</v>
      </c>
      <c r="E55" t="s">
        <v>130</v>
      </c>
    </row>
    <row r="56" spans="1:5" x14ac:dyDescent="0.25">
      <c r="A56" s="14">
        <v>42535.443518518521</v>
      </c>
      <c r="B56" t="s">
        <v>267</v>
      </c>
      <c r="C56" t="s">
        <v>401</v>
      </c>
      <c r="D56">
        <v>1230000</v>
      </c>
      <c r="E56" t="s">
        <v>170</v>
      </c>
    </row>
    <row r="57" spans="1:5" x14ac:dyDescent="0.25">
      <c r="A57" s="14">
        <v>42535.797858796293</v>
      </c>
      <c r="B57" t="s">
        <v>135</v>
      </c>
      <c r="C57" t="s">
        <v>362</v>
      </c>
      <c r="D57">
        <v>1820000</v>
      </c>
      <c r="E57" t="s">
        <v>130</v>
      </c>
    </row>
    <row r="58" spans="1:5" x14ac:dyDescent="0.25">
      <c r="A58" s="14">
        <v>42535.46193287037</v>
      </c>
      <c r="B58" t="s">
        <v>104</v>
      </c>
      <c r="C58" t="s">
        <v>402</v>
      </c>
      <c r="D58">
        <v>1340000</v>
      </c>
      <c r="E58" t="s">
        <v>128</v>
      </c>
    </row>
    <row r="59" spans="1:5" x14ac:dyDescent="0.25">
      <c r="A59" s="14">
        <v>42535.790324074071</v>
      </c>
      <c r="B59" t="s">
        <v>105</v>
      </c>
      <c r="C59" t="s">
        <v>403</v>
      </c>
      <c r="D59">
        <v>1180000</v>
      </c>
      <c r="E59" t="s">
        <v>132</v>
      </c>
    </row>
    <row r="60" spans="1:5" x14ac:dyDescent="0.25">
      <c r="A60" s="14">
        <v>42535.474212962959</v>
      </c>
      <c r="B60" t="s">
        <v>110</v>
      </c>
      <c r="C60" t="s">
        <v>404</v>
      </c>
      <c r="D60">
        <v>1750000</v>
      </c>
      <c r="E60" t="s">
        <v>273</v>
      </c>
    </row>
    <row r="61" spans="1:5" x14ac:dyDescent="0.25">
      <c r="A61" s="14">
        <v>42535.737511574072</v>
      </c>
      <c r="B61" t="s">
        <v>267</v>
      </c>
      <c r="C61" t="s">
        <v>405</v>
      </c>
      <c r="D61">
        <v>1750000</v>
      </c>
      <c r="E61" t="s">
        <v>273</v>
      </c>
    </row>
    <row r="62" spans="1:5" x14ac:dyDescent="0.25">
      <c r="A62" s="14">
        <v>42535.491412037038</v>
      </c>
      <c r="B62" t="s">
        <v>293</v>
      </c>
      <c r="C62" t="s">
        <v>340</v>
      </c>
      <c r="D62">
        <v>1090000</v>
      </c>
      <c r="E62" t="s">
        <v>294</v>
      </c>
    </row>
    <row r="63" spans="1:5" x14ac:dyDescent="0.25">
      <c r="A63" s="14">
        <v>42535.72755787037</v>
      </c>
      <c r="B63" t="s">
        <v>292</v>
      </c>
      <c r="C63" t="s">
        <v>356</v>
      </c>
      <c r="D63">
        <v>1140000</v>
      </c>
      <c r="E63" t="s">
        <v>119</v>
      </c>
    </row>
    <row r="64" spans="1:5" x14ac:dyDescent="0.25">
      <c r="A64" s="14">
        <v>42535.661122685182</v>
      </c>
      <c r="B64" t="s">
        <v>267</v>
      </c>
      <c r="C64" t="s">
        <v>352</v>
      </c>
      <c r="D64">
        <v>1750000</v>
      </c>
      <c r="E64" t="s">
        <v>273</v>
      </c>
    </row>
    <row r="65" spans="1:5" x14ac:dyDescent="0.25">
      <c r="A65" s="14">
        <v>42535.726157407407</v>
      </c>
      <c r="B65" t="s">
        <v>135</v>
      </c>
      <c r="C65" t="s">
        <v>406</v>
      </c>
      <c r="D65">
        <v>890000</v>
      </c>
      <c r="E65" t="s">
        <v>122</v>
      </c>
    </row>
    <row r="66" spans="1:5" x14ac:dyDescent="0.25">
      <c r="A66" s="14">
        <v>42535.751203703701</v>
      </c>
      <c r="B66" t="s">
        <v>104</v>
      </c>
      <c r="C66" t="s">
        <v>407</v>
      </c>
      <c r="D66">
        <v>1180000</v>
      </c>
      <c r="E66" t="s">
        <v>132</v>
      </c>
    </row>
    <row r="67" spans="1:5" x14ac:dyDescent="0.25">
      <c r="A67" s="14">
        <v>42535.700879629629</v>
      </c>
      <c r="B67" t="s">
        <v>110</v>
      </c>
      <c r="C67" t="s">
        <v>408</v>
      </c>
      <c r="D67">
        <v>1750000</v>
      </c>
      <c r="E67" t="s">
        <v>273</v>
      </c>
    </row>
    <row r="68" spans="1:5" x14ac:dyDescent="0.25">
      <c r="A68" s="14">
        <v>42535.789375</v>
      </c>
      <c r="B68" t="s">
        <v>105</v>
      </c>
      <c r="C68" t="s">
        <v>403</v>
      </c>
      <c r="D68">
        <v>1180000</v>
      </c>
      <c r="E68" t="s">
        <v>132</v>
      </c>
    </row>
    <row r="69" spans="1:5" x14ac:dyDescent="0.25">
      <c r="A69" s="14">
        <v>42535.671157407407</v>
      </c>
      <c r="B69" t="s">
        <v>117</v>
      </c>
      <c r="C69" t="s">
        <v>351</v>
      </c>
      <c r="D69">
        <v>1450000</v>
      </c>
      <c r="E69" t="s">
        <v>295</v>
      </c>
    </row>
    <row r="70" spans="1:5" x14ac:dyDescent="0.25">
      <c r="A70" s="14">
        <v>42535.808125000003</v>
      </c>
      <c r="B70" t="s">
        <v>149</v>
      </c>
      <c r="C70" t="s">
        <v>409</v>
      </c>
      <c r="D70">
        <v>1780000</v>
      </c>
      <c r="E70" t="s">
        <v>410</v>
      </c>
    </row>
    <row r="71" spans="1:5" x14ac:dyDescent="0.25">
      <c r="A71" s="14">
        <v>42535.629432870373</v>
      </c>
      <c r="B71" t="s">
        <v>95</v>
      </c>
      <c r="C71" t="s">
        <v>411</v>
      </c>
      <c r="D71">
        <v>1510000</v>
      </c>
      <c r="E71" t="s">
        <v>296</v>
      </c>
    </row>
    <row r="72" spans="1:5" x14ac:dyDescent="0.25">
      <c r="A72" s="14">
        <v>42535.84306712963</v>
      </c>
      <c r="B72" t="s">
        <v>95</v>
      </c>
      <c r="C72" t="s">
        <v>412</v>
      </c>
      <c r="D72">
        <v>1780000</v>
      </c>
      <c r="E72" t="s">
        <v>410</v>
      </c>
    </row>
    <row r="73" spans="1:5" x14ac:dyDescent="0.25">
      <c r="A73" s="14">
        <v>42535.621620370373</v>
      </c>
      <c r="B73" t="s">
        <v>110</v>
      </c>
      <c r="C73" t="s">
        <v>413</v>
      </c>
      <c r="D73">
        <v>1750000</v>
      </c>
      <c r="E73" t="s">
        <v>273</v>
      </c>
    </row>
    <row r="74" spans="1:5" x14ac:dyDescent="0.25">
      <c r="A74" s="14">
        <v>42535.843888888892</v>
      </c>
      <c r="B74" t="s">
        <v>266</v>
      </c>
      <c r="C74" t="s">
        <v>414</v>
      </c>
      <c r="D74">
        <v>1280000</v>
      </c>
      <c r="E74" t="s">
        <v>174</v>
      </c>
    </row>
    <row r="75" spans="1:5" x14ac:dyDescent="0.25">
      <c r="A75" s="14">
        <v>42535.582812499997</v>
      </c>
      <c r="B75" t="s">
        <v>292</v>
      </c>
      <c r="C75" t="s">
        <v>392</v>
      </c>
      <c r="D75">
        <v>1140000</v>
      </c>
      <c r="E75" t="s">
        <v>119</v>
      </c>
    </row>
    <row r="76" spans="1:5" x14ac:dyDescent="0.25">
      <c r="A76" s="14">
        <v>42535.908182870371</v>
      </c>
      <c r="B76" t="s">
        <v>104</v>
      </c>
      <c r="C76" t="s">
        <v>415</v>
      </c>
      <c r="D76">
        <v>1180000</v>
      </c>
      <c r="E76" t="s">
        <v>132</v>
      </c>
    </row>
    <row r="77" spans="1:5" x14ac:dyDescent="0.25">
      <c r="A77" s="14">
        <v>42535.570636574077</v>
      </c>
      <c r="B77" t="s">
        <v>105</v>
      </c>
      <c r="C77" t="s">
        <v>344</v>
      </c>
      <c r="D77">
        <v>1340000</v>
      </c>
      <c r="E77" t="s">
        <v>128</v>
      </c>
    </row>
    <row r="78" spans="1:5" x14ac:dyDescent="0.25">
      <c r="A78" s="14">
        <v>42535.913217592592</v>
      </c>
      <c r="B78" t="s">
        <v>140</v>
      </c>
      <c r="C78" t="s">
        <v>416</v>
      </c>
      <c r="D78">
        <v>1820000</v>
      </c>
      <c r="E78" t="s">
        <v>130</v>
      </c>
    </row>
    <row r="79" spans="1:5" x14ac:dyDescent="0.25">
      <c r="A79" s="14">
        <v>42535.426655092589</v>
      </c>
      <c r="B79" t="s">
        <v>265</v>
      </c>
      <c r="C79" t="s">
        <v>336</v>
      </c>
      <c r="D79">
        <v>900000</v>
      </c>
      <c r="E79" t="s">
        <v>172</v>
      </c>
    </row>
    <row r="80" spans="1:5" x14ac:dyDescent="0.25">
      <c r="A80" s="14">
        <v>42535.991805555554</v>
      </c>
      <c r="B80" t="s">
        <v>104</v>
      </c>
      <c r="C80" t="s">
        <v>417</v>
      </c>
      <c r="D80">
        <v>1180000</v>
      </c>
      <c r="E80" t="s">
        <v>132</v>
      </c>
    </row>
    <row r="81" spans="1:5" x14ac:dyDescent="0.25">
      <c r="A81" s="14">
        <v>42535.403379629628</v>
      </c>
      <c r="B81" t="s">
        <v>110</v>
      </c>
      <c r="C81" t="s">
        <v>334</v>
      </c>
      <c r="D81">
        <v>1230000</v>
      </c>
      <c r="E81" t="s">
        <v>170</v>
      </c>
    </row>
    <row r="82" spans="1:5" x14ac:dyDescent="0.25">
      <c r="A82" s="14">
        <v>42536.045520833337</v>
      </c>
      <c r="B82" t="s">
        <v>135</v>
      </c>
      <c r="C82" t="s">
        <v>365</v>
      </c>
      <c r="D82">
        <v>1820000</v>
      </c>
      <c r="E82" t="s">
        <v>130</v>
      </c>
    </row>
    <row r="83" spans="1:5" x14ac:dyDescent="0.25">
      <c r="A83" s="14">
        <v>42535.385937500003</v>
      </c>
      <c r="B83" t="s">
        <v>157</v>
      </c>
      <c r="C83" t="s">
        <v>333</v>
      </c>
      <c r="D83">
        <v>1190000</v>
      </c>
      <c r="E83" t="s">
        <v>418</v>
      </c>
    </row>
    <row r="84" spans="1:5" x14ac:dyDescent="0.25">
      <c r="A84" s="14">
        <v>42535.193622685183</v>
      </c>
      <c r="B84" t="s">
        <v>293</v>
      </c>
      <c r="C84" t="s">
        <v>419</v>
      </c>
      <c r="D84">
        <v>1110000</v>
      </c>
      <c r="E84" t="s">
        <v>126</v>
      </c>
    </row>
    <row r="85" spans="1:5" x14ac:dyDescent="0.25">
      <c r="A85" s="14">
        <v>42535.348483796297</v>
      </c>
      <c r="B85" t="s">
        <v>155</v>
      </c>
      <c r="C85" t="s">
        <v>420</v>
      </c>
      <c r="D85">
        <v>1190000</v>
      </c>
      <c r="E85" t="s">
        <v>418</v>
      </c>
    </row>
    <row r="86" spans="1:5" x14ac:dyDescent="0.25">
      <c r="A86" s="14">
        <v>42535.421898148146</v>
      </c>
      <c r="B86" t="s">
        <v>293</v>
      </c>
      <c r="C86" t="s">
        <v>421</v>
      </c>
      <c r="D86">
        <v>1110000</v>
      </c>
      <c r="E86" t="s">
        <v>126</v>
      </c>
    </row>
    <row r="87" spans="1:5" x14ac:dyDescent="0.25">
      <c r="A87" s="14">
        <v>42535.296712962961</v>
      </c>
      <c r="B87" t="s">
        <v>267</v>
      </c>
      <c r="C87" t="s">
        <v>422</v>
      </c>
      <c r="D87">
        <v>1230000</v>
      </c>
      <c r="E87" t="s">
        <v>170</v>
      </c>
    </row>
    <row r="88" spans="1:5" x14ac:dyDescent="0.25">
      <c r="A88" s="14">
        <v>42535.505590277775</v>
      </c>
      <c r="B88" t="s">
        <v>265</v>
      </c>
      <c r="C88" t="s">
        <v>423</v>
      </c>
      <c r="D88">
        <v>890000</v>
      </c>
      <c r="E88" t="s">
        <v>122</v>
      </c>
    </row>
    <row r="89" spans="1:5" x14ac:dyDescent="0.25">
      <c r="A89" s="14">
        <v>42535.68954861111</v>
      </c>
      <c r="B89" t="s">
        <v>140</v>
      </c>
      <c r="C89" t="s">
        <v>424</v>
      </c>
      <c r="D89">
        <v>890000</v>
      </c>
      <c r="E89" t="s">
        <v>122</v>
      </c>
    </row>
    <row r="90" spans="1:5" x14ac:dyDescent="0.25">
      <c r="A90" s="14">
        <v>42535.737650462965</v>
      </c>
      <c r="B90" t="s">
        <v>149</v>
      </c>
      <c r="C90" t="s">
        <v>358</v>
      </c>
      <c r="D90">
        <v>1780000</v>
      </c>
      <c r="E90" t="s">
        <v>410</v>
      </c>
    </row>
    <row r="91" spans="1:5" x14ac:dyDescent="0.25">
      <c r="A91" s="14">
        <v>42535.675034722219</v>
      </c>
      <c r="B91" t="s">
        <v>291</v>
      </c>
      <c r="C91" t="s">
        <v>425</v>
      </c>
      <c r="D91">
        <v>1740000</v>
      </c>
      <c r="E91" t="s">
        <v>127</v>
      </c>
    </row>
    <row r="92" spans="1:5" x14ac:dyDescent="0.25">
      <c r="A92" s="14">
        <v>42535.190381944441</v>
      </c>
      <c r="B92" t="s">
        <v>105</v>
      </c>
      <c r="C92" t="s">
        <v>426</v>
      </c>
      <c r="D92">
        <v>1260000</v>
      </c>
      <c r="E92" t="s">
        <v>270</v>
      </c>
    </row>
    <row r="93" spans="1:5" x14ac:dyDescent="0.25">
      <c r="A93" s="14">
        <v>42535.635798611111</v>
      </c>
      <c r="B93" t="s">
        <v>131</v>
      </c>
      <c r="C93" t="s">
        <v>349</v>
      </c>
      <c r="D93">
        <v>1450000</v>
      </c>
      <c r="E93" t="s">
        <v>295</v>
      </c>
    </row>
    <row r="94" spans="1:5" x14ac:dyDescent="0.25">
      <c r="A94" s="14">
        <v>42535.229560185187</v>
      </c>
      <c r="B94" t="s">
        <v>149</v>
      </c>
      <c r="C94" t="s">
        <v>427</v>
      </c>
      <c r="D94">
        <v>1090000</v>
      </c>
      <c r="E94" t="s">
        <v>294</v>
      </c>
    </row>
    <row r="95" spans="1:5" x14ac:dyDescent="0.25">
      <c r="A95" s="14">
        <v>42535.585682870369</v>
      </c>
      <c r="B95" t="s">
        <v>267</v>
      </c>
      <c r="C95" t="s">
        <v>428</v>
      </c>
      <c r="D95">
        <v>1750000</v>
      </c>
      <c r="E95" t="s">
        <v>273</v>
      </c>
    </row>
    <row r="96" spans="1:5" x14ac:dyDescent="0.25">
      <c r="A96" s="84">
        <v>42535.309432870374</v>
      </c>
      <c r="B96" t="s">
        <v>291</v>
      </c>
      <c r="C96" t="s">
        <v>329</v>
      </c>
      <c r="D96">
        <v>1110000</v>
      </c>
      <c r="E96" t="s">
        <v>126</v>
      </c>
    </row>
    <row r="97" spans="1:5" x14ac:dyDescent="0.25">
      <c r="A97" s="14">
        <v>42535.578055555554</v>
      </c>
      <c r="B97" t="s">
        <v>265</v>
      </c>
      <c r="C97" t="s">
        <v>429</v>
      </c>
      <c r="D97">
        <v>890000</v>
      </c>
      <c r="E97" t="s">
        <v>122</v>
      </c>
    </row>
    <row r="98" spans="1:5" x14ac:dyDescent="0.25">
      <c r="A98" s="14">
        <v>42535.456909722219</v>
      </c>
      <c r="B98" t="s">
        <v>291</v>
      </c>
      <c r="C98" t="s">
        <v>337</v>
      </c>
      <c r="D98">
        <v>1090000</v>
      </c>
      <c r="E98" t="s">
        <v>294</v>
      </c>
    </row>
    <row r="99" spans="1:5" x14ac:dyDescent="0.25">
      <c r="A99" s="14">
        <v>42535.518634259257</v>
      </c>
      <c r="B99" t="s">
        <v>149</v>
      </c>
      <c r="C99" t="s">
        <v>430</v>
      </c>
      <c r="D99">
        <v>1510000</v>
      </c>
      <c r="E99" t="s">
        <v>296</v>
      </c>
    </row>
    <row r="100" spans="1:5" x14ac:dyDescent="0.25">
      <c r="A100" s="14">
        <v>42535.496944444443</v>
      </c>
      <c r="B100" t="s">
        <v>105</v>
      </c>
      <c r="C100" t="s">
        <v>385</v>
      </c>
      <c r="D100">
        <v>1340000</v>
      </c>
      <c r="E100" t="s">
        <v>128</v>
      </c>
    </row>
    <row r="101" spans="1:5" x14ac:dyDescent="0.25">
      <c r="A101" s="14">
        <v>42535.510648148149</v>
      </c>
      <c r="B101" t="s">
        <v>267</v>
      </c>
      <c r="C101" t="s">
        <v>431</v>
      </c>
      <c r="D101">
        <v>1750000</v>
      </c>
      <c r="E101" t="s">
        <v>273</v>
      </c>
    </row>
    <row r="102" spans="1:5" x14ac:dyDescent="0.25">
      <c r="A102" s="14">
        <v>42535.656608796293</v>
      </c>
      <c r="B102" t="s">
        <v>292</v>
      </c>
      <c r="C102" t="s">
        <v>432</v>
      </c>
      <c r="D102">
        <v>1140000</v>
      </c>
      <c r="E102" t="s">
        <v>119</v>
      </c>
    </row>
    <row r="103" spans="1:5" x14ac:dyDescent="0.25">
      <c r="A103" s="14">
        <v>42535.372361111113</v>
      </c>
      <c r="B103" t="s">
        <v>149</v>
      </c>
      <c r="C103" t="s">
        <v>433</v>
      </c>
      <c r="D103">
        <v>1090000</v>
      </c>
      <c r="E103" t="s">
        <v>294</v>
      </c>
    </row>
    <row r="104" spans="1:5" x14ac:dyDescent="0.25">
      <c r="A104" s="14">
        <v>42535.666701388887</v>
      </c>
      <c r="B104" t="s">
        <v>149</v>
      </c>
      <c r="C104" t="s">
        <v>391</v>
      </c>
      <c r="D104">
        <v>1510000</v>
      </c>
      <c r="E104" t="s">
        <v>296</v>
      </c>
    </row>
    <row r="105" spans="1:5" x14ac:dyDescent="0.25">
      <c r="A105" s="14">
        <v>42535.320474537039</v>
      </c>
      <c r="B105" t="s">
        <v>266</v>
      </c>
      <c r="C105" t="s">
        <v>327</v>
      </c>
      <c r="D105">
        <v>900000</v>
      </c>
      <c r="E105" t="s">
        <v>172</v>
      </c>
    </row>
    <row r="106" spans="1:5" x14ac:dyDescent="0.25">
      <c r="A106" s="14">
        <v>42535.823263888888</v>
      </c>
      <c r="B106" t="s">
        <v>104</v>
      </c>
      <c r="C106" t="s">
        <v>363</v>
      </c>
      <c r="D106">
        <v>1180000</v>
      </c>
      <c r="E106" t="s">
        <v>132</v>
      </c>
    </row>
    <row r="107" spans="1:5" x14ac:dyDescent="0.25">
      <c r="A107" s="14">
        <v>42535.311099537037</v>
      </c>
      <c r="B107" t="s">
        <v>157</v>
      </c>
      <c r="C107" t="s">
        <v>434</v>
      </c>
      <c r="D107">
        <v>1190000</v>
      </c>
      <c r="E107" t="s">
        <v>418</v>
      </c>
    </row>
    <row r="108" spans="1:5" x14ac:dyDescent="0.25">
      <c r="A108" s="14">
        <v>42535.865300925929</v>
      </c>
      <c r="B108" t="s">
        <v>105</v>
      </c>
      <c r="C108" t="s">
        <v>371</v>
      </c>
      <c r="D108">
        <v>1180000</v>
      </c>
      <c r="E108" t="s">
        <v>132</v>
      </c>
    </row>
    <row r="109" spans="1:5" x14ac:dyDescent="0.25">
      <c r="A109" s="14">
        <v>42535.307303240741</v>
      </c>
      <c r="B109" t="s">
        <v>135</v>
      </c>
      <c r="C109" t="s">
        <v>328</v>
      </c>
      <c r="D109">
        <v>1260000</v>
      </c>
      <c r="E109" t="s">
        <v>270</v>
      </c>
    </row>
    <row r="110" spans="1:5" x14ac:dyDescent="0.25">
      <c r="A110" s="14">
        <v>42535.168946759259</v>
      </c>
      <c r="B110" t="s">
        <v>266</v>
      </c>
      <c r="C110" t="s">
        <v>435</v>
      </c>
      <c r="D110">
        <v>900000</v>
      </c>
      <c r="E110" t="s">
        <v>172</v>
      </c>
    </row>
    <row r="111" spans="1:5" x14ac:dyDescent="0.25">
      <c r="A111" s="14">
        <v>42535.234560185185</v>
      </c>
      <c r="B111" t="s">
        <v>104</v>
      </c>
      <c r="C111" t="s">
        <v>321</v>
      </c>
      <c r="D111">
        <v>1260000</v>
      </c>
      <c r="E111" t="s">
        <v>270</v>
      </c>
    </row>
    <row r="112" spans="1:5" x14ac:dyDescent="0.25">
      <c r="A112" s="14">
        <v>42535.224768518521</v>
      </c>
      <c r="B112" t="s">
        <v>267</v>
      </c>
      <c r="C112" t="s">
        <v>436</v>
      </c>
      <c r="D112">
        <v>1230000</v>
      </c>
      <c r="E112" t="s">
        <v>170</v>
      </c>
    </row>
    <row r="113" spans="1:5" x14ac:dyDescent="0.25">
      <c r="A113" s="14">
        <v>42535.242511574077</v>
      </c>
      <c r="B113" t="s">
        <v>157</v>
      </c>
      <c r="C113" t="s">
        <v>322</v>
      </c>
      <c r="D113">
        <v>1190000</v>
      </c>
      <c r="E113" t="s">
        <v>418</v>
      </c>
    </row>
    <row r="114" spans="1:5" x14ac:dyDescent="0.25">
      <c r="A114" s="14">
        <v>42535.276203703703</v>
      </c>
      <c r="B114" t="s">
        <v>155</v>
      </c>
      <c r="C114" t="s">
        <v>324</v>
      </c>
      <c r="D114">
        <v>1190000</v>
      </c>
      <c r="E114" t="s">
        <v>418</v>
      </c>
    </row>
    <row r="115" spans="1:5" x14ac:dyDescent="0.25">
      <c r="A115" s="14">
        <v>42536.055659722224</v>
      </c>
      <c r="B115" t="s">
        <v>265</v>
      </c>
      <c r="C115" t="s">
        <v>373</v>
      </c>
      <c r="D115">
        <v>1280000</v>
      </c>
      <c r="E115" t="s">
        <v>174</v>
      </c>
    </row>
    <row r="116" spans="1:5" x14ac:dyDescent="0.25">
      <c r="A116" s="14">
        <v>42535.411874999998</v>
      </c>
      <c r="B116" t="s">
        <v>140</v>
      </c>
      <c r="C116" t="s">
        <v>437</v>
      </c>
      <c r="D116">
        <v>1260000</v>
      </c>
      <c r="E116" t="s">
        <v>270</v>
      </c>
    </row>
    <row r="117" spans="1:5" x14ac:dyDescent="0.25">
      <c r="A117" s="14">
        <v>42535.775729166664</v>
      </c>
      <c r="B117" t="s">
        <v>95</v>
      </c>
      <c r="C117" t="s">
        <v>360</v>
      </c>
      <c r="D117">
        <v>1780000</v>
      </c>
      <c r="E117" t="s">
        <v>410</v>
      </c>
    </row>
    <row r="118" spans="1:5" x14ac:dyDescent="0.25">
      <c r="A118" s="14">
        <v>42535.424953703703</v>
      </c>
      <c r="B118" t="s">
        <v>105</v>
      </c>
      <c r="C118" t="s">
        <v>438</v>
      </c>
      <c r="D118">
        <v>1340000</v>
      </c>
      <c r="E118" t="s">
        <v>128</v>
      </c>
    </row>
    <row r="119" spans="1:5" x14ac:dyDescent="0.25">
      <c r="A119" s="14">
        <v>42535.634398148148</v>
      </c>
      <c r="B119" t="s">
        <v>131</v>
      </c>
      <c r="C119" t="s">
        <v>349</v>
      </c>
      <c r="D119">
        <v>1450000</v>
      </c>
      <c r="E119" t="s">
        <v>295</v>
      </c>
    </row>
    <row r="120" spans="1:5" x14ac:dyDescent="0.25">
      <c r="A120" s="14">
        <v>42535.450879629629</v>
      </c>
      <c r="B120" t="s">
        <v>135</v>
      </c>
      <c r="C120" t="s">
        <v>335</v>
      </c>
      <c r="D120">
        <v>1260000</v>
      </c>
      <c r="E120" t="s">
        <v>270</v>
      </c>
    </row>
    <row r="121" spans="1:5" x14ac:dyDescent="0.25">
      <c r="A121" s="14">
        <v>42535.593171296299</v>
      </c>
      <c r="B121" t="s">
        <v>117</v>
      </c>
      <c r="C121" t="s">
        <v>439</v>
      </c>
      <c r="D121">
        <v>950000</v>
      </c>
      <c r="E121" t="s">
        <v>272</v>
      </c>
    </row>
    <row r="122" spans="1:5" x14ac:dyDescent="0.25">
      <c r="A122" s="14">
        <v>42535.518495370372</v>
      </c>
      <c r="B122" t="s">
        <v>292</v>
      </c>
      <c r="C122" t="s">
        <v>387</v>
      </c>
      <c r="D122">
        <v>1140000</v>
      </c>
      <c r="E122" t="s">
        <v>119</v>
      </c>
    </row>
    <row r="123" spans="1:5" x14ac:dyDescent="0.25">
      <c r="A123" s="14">
        <v>42535.567974537036</v>
      </c>
      <c r="B123" t="s">
        <v>131</v>
      </c>
      <c r="C123" t="s">
        <v>346</v>
      </c>
      <c r="D123">
        <v>950000</v>
      </c>
      <c r="E123" t="s">
        <v>272</v>
      </c>
    </row>
    <row r="124" spans="1:5" x14ac:dyDescent="0.25">
      <c r="A124" s="14">
        <v>42535.527673611112</v>
      </c>
      <c r="B124" t="s">
        <v>291</v>
      </c>
      <c r="C124" t="s">
        <v>440</v>
      </c>
      <c r="D124">
        <v>1740000</v>
      </c>
      <c r="E124" t="s">
        <v>127</v>
      </c>
    </row>
    <row r="125" spans="1:5" x14ac:dyDescent="0.25">
      <c r="A125" s="14">
        <v>42535.33902777778</v>
      </c>
      <c r="B125" t="s">
        <v>140</v>
      </c>
      <c r="C125" t="s">
        <v>441</v>
      </c>
      <c r="D125">
        <v>1260000</v>
      </c>
      <c r="E125" t="s">
        <v>270</v>
      </c>
    </row>
    <row r="126" spans="1:5" x14ac:dyDescent="0.25">
      <c r="A126" s="14">
        <v>42535.62023148148</v>
      </c>
      <c r="B126" t="s">
        <v>297</v>
      </c>
      <c r="C126" t="s">
        <v>442</v>
      </c>
      <c r="D126">
        <v>1140000</v>
      </c>
      <c r="E126" t="s">
        <v>119</v>
      </c>
    </row>
    <row r="127" spans="1:5" x14ac:dyDescent="0.25">
      <c r="A127" s="14">
        <v>42535.784710648149</v>
      </c>
      <c r="B127" t="s">
        <v>293</v>
      </c>
      <c r="C127" t="s">
        <v>361</v>
      </c>
      <c r="D127">
        <v>1740000</v>
      </c>
      <c r="E127" t="s">
        <v>127</v>
      </c>
    </row>
    <row r="128" spans="1:5" x14ac:dyDescent="0.25">
      <c r="A128" s="14">
        <v>42535.247824074075</v>
      </c>
      <c r="B128" t="s">
        <v>266</v>
      </c>
      <c r="C128" t="s">
        <v>323</v>
      </c>
      <c r="D128">
        <v>900000</v>
      </c>
      <c r="E128" t="s">
        <v>172</v>
      </c>
    </row>
    <row r="129" spans="1:5" x14ac:dyDescent="0.25">
      <c r="A129" s="14">
        <v>42535.650914351849</v>
      </c>
      <c r="B129" t="s">
        <v>265</v>
      </c>
      <c r="C129" t="s">
        <v>443</v>
      </c>
      <c r="D129">
        <v>890000</v>
      </c>
      <c r="E129" t="s">
        <v>122</v>
      </c>
    </row>
    <row r="130" spans="1:5" x14ac:dyDescent="0.25">
      <c r="A130" s="14">
        <v>42535.407546296294</v>
      </c>
      <c r="B130" t="s">
        <v>95</v>
      </c>
      <c r="C130" t="s">
        <v>444</v>
      </c>
      <c r="D130">
        <v>1090000</v>
      </c>
      <c r="E130" t="s">
        <v>294</v>
      </c>
    </row>
    <row r="131" spans="1:5" x14ac:dyDescent="0.25">
      <c r="A131" s="14">
        <v>42535.842615740738</v>
      </c>
      <c r="B131" t="s">
        <v>266</v>
      </c>
      <c r="C131" t="s">
        <v>414</v>
      </c>
      <c r="D131">
        <v>1280000</v>
      </c>
      <c r="E131" t="s">
        <v>174</v>
      </c>
    </row>
    <row r="132" spans="1:5" x14ac:dyDescent="0.25">
      <c r="A132" s="14">
        <v>42535.472800925927</v>
      </c>
      <c r="B132" t="s">
        <v>117</v>
      </c>
      <c r="C132" t="s">
        <v>445</v>
      </c>
      <c r="D132">
        <v>1190000</v>
      </c>
      <c r="E132" t="s">
        <v>418</v>
      </c>
    </row>
    <row r="133" spans="1:5" x14ac:dyDescent="0.25">
      <c r="A133" s="14">
        <v>42535.805486111109</v>
      </c>
      <c r="B133" t="s">
        <v>265</v>
      </c>
      <c r="C133" t="s">
        <v>446</v>
      </c>
      <c r="D133">
        <v>1280000</v>
      </c>
      <c r="E133" t="s">
        <v>174</v>
      </c>
    </row>
    <row r="134" spans="1:5" x14ac:dyDescent="0.25">
      <c r="A134" s="14">
        <v>42535.543263888889</v>
      </c>
      <c r="B134" t="s">
        <v>297</v>
      </c>
      <c r="C134" t="s">
        <v>343</v>
      </c>
      <c r="D134">
        <v>1140000</v>
      </c>
      <c r="E134" t="s">
        <v>119</v>
      </c>
    </row>
    <row r="135" spans="1:5" x14ac:dyDescent="0.25">
      <c r="A135" s="14">
        <v>42535.633657407408</v>
      </c>
      <c r="B135" t="s">
        <v>131</v>
      </c>
      <c r="C135" t="s">
        <v>349</v>
      </c>
      <c r="D135">
        <v>1450000</v>
      </c>
      <c r="E135" t="s">
        <v>295</v>
      </c>
    </row>
    <row r="136" spans="1:5" x14ac:dyDescent="0.25">
      <c r="A136" s="14">
        <v>42535.601851851854</v>
      </c>
      <c r="B136" t="s">
        <v>291</v>
      </c>
      <c r="C136" t="s">
        <v>447</v>
      </c>
      <c r="D136">
        <v>1740000</v>
      </c>
      <c r="E136" t="s">
        <v>127</v>
      </c>
    </row>
    <row r="137" spans="1:5" x14ac:dyDescent="0.25">
      <c r="A137" s="14">
        <v>42535.567233796297</v>
      </c>
      <c r="B137" t="s">
        <v>293</v>
      </c>
      <c r="C137" t="s">
        <v>448</v>
      </c>
      <c r="D137">
        <v>1740000</v>
      </c>
      <c r="E137" t="s">
        <v>127</v>
      </c>
    </row>
    <row r="138" spans="1:5" x14ac:dyDescent="0.25">
      <c r="A138" s="14">
        <v>42535.636111111111</v>
      </c>
      <c r="B138" t="s">
        <v>293</v>
      </c>
      <c r="C138" t="s">
        <v>350</v>
      </c>
      <c r="D138">
        <v>1740000</v>
      </c>
      <c r="E138" t="s">
        <v>127</v>
      </c>
    </row>
    <row r="139" spans="1:5" x14ac:dyDescent="0.25">
      <c r="A139" s="14">
        <v>42535.434212962966</v>
      </c>
      <c r="B139" t="s">
        <v>131</v>
      </c>
      <c r="C139" t="s">
        <v>449</v>
      </c>
      <c r="D139">
        <v>1190000</v>
      </c>
      <c r="E139" t="s">
        <v>418</v>
      </c>
    </row>
    <row r="140" spans="1:5" x14ac:dyDescent="0.25">
      <c r="A140" s="14">
        <v>42535.644780092596</v>
      </c>
      <c r="B140" t="s">
        <v>105</v>
      </c>
      <c r="C140" t="s">
        <v>369</v>
      </c>
      <c r="D140">
        <v>1340000</v>
      </c>
      <c r="E140" t="s">
        <v>128</v>
      </c>
    </row>
    <row r="141" spans="1:5" x14ac:dyDescent="0.25">
      <c r="A141" s="14">
        <v>42535.482037037036</v>
      </c>
      <c r="B141" s="83" t="s">
        <v>95</v>
      </c>
      <c r="C141" t="s">
        <v>338</v>
      </c>
      <c r="D141">
        <v>1510000</v>
      </c>
      <c r="E141" t="s">
        <v>296</v>
      </c>
    </row>
    <row r="142" spans="1:5" x14ac:dyDescent="0.25">
      <c r="A142" s="14">
        <v>42535.806712962964</v>
      </c>
      <c r="B142" t="s">
        <v>265</v>
      </c>
      <c r="C142" t="s">
        <v>446</v>
      </c>
      <c r="D142">
        <v>1280000</v>
      </c>
      <c r="E142" t="s">
        <v>174</v>
      </c>
    </row>
    <row r="143" spans="1:5" x14ac:dyDescent="0.25">
      <c r="A143" s="14">
        <v>42535.466307870367</v>
      </c>
      <c r="B143" t="s">
        <v>266</v>
      </c>
      <c r="C143" t="s">
        <v>450</v>
      </c>
      <c r="D143">
        <v>890000</v>
      </c>
      <c r="E143" t="s">
        <v>122</v>
      </c>
    </row>
    <row r="144" spans="1:5" x14ac:dyDescent="0.25">
      <c r="A144" s="14">
        <v>42535.890023148146</v>
      </c>
      <c r="B144" t="s">
        <v>265</v>
      </c>
      <c r="C144" t="s">
        <v>451</v>
      </c>
      <c r="D144">
        <v>1280000</v>
      </c>
      <c r="E144" t="s">
        <v>174</v>
      </c>
    </row>
    <row r="145" spans="1:5" x14ac:dyDescent="0.25">
      <c r="A145" s="14">
        <v>42535.974826388891</v>
      </c>
      <c r="B145" t="s">
        <v>149</v>
      </c>
      <c r="C145" t="s">
        <v>452</v>
      </c>
      <c r="D145">
        <v>1240000</v>
      </c>
      <c r="E145" t="s">
        <v>93</v>
      </c>
    </row>
    <row r="146" spans="1:5" x14ac:dyDescent="0.25">
      <c r="A146" s="14">
        <v>42535.21197916667</v>
      </c>
      <c r="B146" t="s">
        <v>135</v>
      </c>
      <c r="C146" t="s">
        <v>453</v>
      </c>
      <c r="D146">
        <v>900000</v>
      </c>
      <c r="E146" t="s">
        <v>172</v>
      </c>
    </row>
    <row r="147" spans="1:5" x14ac:dyDescent="0.25">
      <c r="A147" s="14">
        <v>42535.746678240743</v>
      </c>
      <c r="B147" t="s">
        <v>291</v>
      </c>
      <c r="C147" t="s">
        <v>359</v>
      </c>
      <c r="D147">
        <v>1740000</v>
      </c>
      <c r="E147" t="s">
        <v>127</v>
      </c>
    </row>
    <row r="148" spans="1:5" x14ac:dyDescent="0.25">
      <c r="A148" s="14">
        <v>42535.333229166667</v>
      </c>
      <c r="B148" t="s">
        <v>95</v>
      </c>
      <c r="C148" t="s">
        <v>331</v>
      </c>
      <c r="D148">
        <v>1090000</v>
      </c>
      <c r="E148" t="s">
        <v>294</v>
      </c>
    </row>
    <row r="149" spans="1:5" x14ac:dyDescent="0.25">
      <c r="A149" s="14">
        <v>42535.56958333333</v>
      </c>
      <c r="B149" t="s">
        <v>105</v>
      </c>
      <c r="C149" t="s">
        <v>344</v>
      </c>
      <c r="D149">
        <v>1340000</v>
      </c>
      <c r="E149" t="s">
        <v>128</v>
      </c>
    </row>
    <row r="150" spans="1:5" x14ac:dyDescent="0.25">
      <c r="A150" s="14">
        <v>42535.360648148147</v>
      </c>
      <c r="B150" t="s">
        <v>265</v>
      </c>
      <c r="C150" t="s">
        <v>454</v>
      </c>
      <c r="D150">
        <v>900000</v>
      </c>
      <c r="E150" t="s">
        <v>172</v>
      </c>
    </row>
    <row r="151" spans="1:5" x14ac:dyDescent="0.25">
      <c r="A151" s="14">
        <v>42535.395185185182</v>
      </c>
      <c r="B151" t="s">
        <v>117</v>
      </c>
      <c r="C151" t="s">
        <v>455</v>
      </c>
      <c r="D151">
        <v>1480000</v>
      </c>
      <c r="E151" t="s">
        <v>269</v>
      </c>
    </row>
    <row r="152" spans="1:5" x14ac:dyDescent="0.25">
      <c r="A152" s="14">
        <v>42535.613067129627</v>
      </c>
      <c r="B152" t="s">
        <v>266</v>
      </c>
      <c r="C152" t="s">
        <v>456</v>
      </c>
      <c r="D152">
        <v>890000</v>
      </c>
      <c r="E152" t="s">
        <v>122</v>
      </c>
    </row>
    <row r="153" spans="1:5" x14ac:dyDescent="0.25">
      <c r="A153" s="14">
        <v>42535.331157407411</v>
      </c>
      <c r="B153" t="s">
        <v>110</v>
      </c>
      <c r="C153" t="s">
        <v>330</v>
      </c>
      <c r="D153">
        <v>1230000</v>
      </c>
      <c r="E153" t="s">
        <v>170</v>
      </c>
    </row>
    <row r="154" spans="1:5" x14ac:dyDescent="0.25">
      <c r="A154" s="14">
        <v>42535.758912037039</v>
      </c>
      <c r="B154" t="s">
        <v>140</v>
      </c>
      <c r="C154" t="s">
        <v>357</v>
      </c>
      <c r="D154">
        <v>1820000</v>
      </c>
      <c r="E154" t="s">
        <v>130</v>
      </c>
    </row>
    <row r="155" spans="1:5" x14ac:dyDescent="0.25">
      <c r="A155" s="14">
        <v>42535.267928240741</v>
      </c>
      <c r="B155" t="s">
        <v>140</v>
      </c>
      <c r="C155" t="s">
        <v>325</v>
      </c>
      <c r="D155">
        <v>1260000</v>
      </c>
      <c r="E155" t="s">
        <v>270</v>
      </c>
    </row>
    <row r="156" spans="1:5" x14ac:dyDescent="0.25">
      <c r="A156" s="14">
        <v>42535.950381944444</v>
      </c>
      <c r="B156" t="s">
        <v>105</v>
      </c>
      <c r="C156" t="s">
        <v>457</v>
      </c>
      <c r="D156">
        <v>1180000</v>
      </c>
      <c r="E156" t="s">
        <v>132</v>
      </c>
    </row>
    <row r="157" spans="1:5" x14ac:dyDescent="0.25">
      <c r="A157" s="14">
        <v>42535.206701388888</v>
      </c>
      <c r="B157" t="s">
        <v>155</v>
      </c>
      <c r="C157" t="s">
        <v>458</v>
      </c>
      <c r="D157">
        <v>1190000</v>
      </c>
      <c r="E157" t="s">
        <v>418</v>
      </c>
    </row>
    <row r="158" spans="1:5" x14ac:dyDescent="0.25">
      <c r="A158" s="14">
        <v>42535.997708333336</v>
      </c>
      <c r="B158" t="s">
        <v>140</v>
      </c>
      <c r="C158" t="s">
        <v>459</v>
      </c>
      <c r="D158">
        <v>1820000</v>
      </c>
      <c r="E158" t="s">
        <v>130</v>
      </c>
    </row>
    <row r="159" spans="1:5" x14ac:dyDescent="0.25">
      <c r="A159" s="14">
        <v>42535.170810185184</v>
      </c>
      <c r="B159" t="s">
        <v>117</v>
      </c>
      <c r="C159" t="s">
        <v>460</v>
      </c>
      <c r="D159">
        <v>1480000</v>
      </c>
      <c r="E159" t="s">
        <v>269</v>
      </c>
    </row>
    <row r="160" spans="1:5" x14ac:dyDescent="0.25">
      <c r="A160" s="14">
        <v>42535.931793981479</v>
      </c>
      <c r="B160" t="s">
        <v>95</v>
      </c>
      <c r="C160" t="s">
        <v>461</v>
      </c>
      <c r="D160">
        <v>1240000</v>
      </c>
      <c r="E160" t="s">
        <v>93</v>
      </c>
    </row>
    <row r="161" spans="1:5" x14ac:dyDescent="0.25">
      <c r="A161" s="14">
        <v>42535.193159722221</v>
      </c>
      <c r="B161" t="s">
        <v>105</v>
      </c>
      <c r="C161" t="s">
        <v>426</v>
      </c>
      <c r="D161">
        <v>1260000</v>
      </c>
      <c r="E161" t="s">
        <v>270</v>
      </c>
    </row>
    <row r="162" spans="1:5" x14ac:dyDescent="0.25">
      <c r="A162" s="14">
        <v>42535.930694444447</v>
      </c>
      <c r="B162" t="s">
        <v>266</v>
      </c>
      <c r="C162" t="s">
        <v>397</v>
      </c>
      <c r="D162">
        <v>1280000</v>
      </c>
      <c r="E162" t="s">
        <v>174</v>
      </c>
    </row>
    <row r="163" spans="1:5" x14ac:dyDescent="0.25">
      <c r="A163" s="14">
        <v>42535.262511574074</v>
      </c>
      <c r="B163" t="s">
        <v>95</v>
      </c>
      <c r="C163" t="s">
        <v>462</v>
      </c>
      <c r="D163">
        <v>1090000</v>
      </c>
      <c r="E163" t="s">
        <v>294</v>
      </c>
    </row>
    <row r="164" spans="1:5" x14ac:dyDescent="0.25">
      <c r="A164" s="14">
        <v>42536.013414351852</v>
      </c>
      <c r="B164" t="s">
        <v>266</v>
      </c>
      <c r="C164" t="s">
        <v>395</v>
      </c>
      <c r="D164">
        <v>1280000</v>
      </c>
      <c r="E164" t="s">
        <v>174</v>
      </c>
    </row>
    <row r="165" spans="1:5" x14ac:dyDescent="0.25">
      <c r="A165" s="14">
        <v>42535.212627314817</v>
      </c>
      <c r="B165" t="s">
        <v>131</v>
      </c>
      <c r="C165" t="s">
        <v>463</v>
      </c>
      <c r="D165">
        <v>1480000</v>
      </c>
      <c r="E165" t="s">
        <v>269</v>
      </c>
    </row>
    <row r="166" spans="1:5" x14ac:dyDescent="0.25">
      <c r="A166" s="14">
        <v>42536.016111111108</v>
      </c>
      <c r="B166" t="s">
        <v>95</v>
      </c>
      <c r="C166" t="s">
        <v>364</v>
      </c>
      <c r="D166">
        <v>1240000</v>
      </c>
      <c r="E166" t="s">
        <v>93</v>
      </c>
    </row>
    <row r="167" spans="1:5" x14ac:dyDescent="0.25">
      <c r="A167" s="14">
        <v>42535.713541666664</v>
      </c>
      <c r="B167" t="s">
        <v>293</v>
      </c>
      <c r="C167" t="s">
        <v>355</v>
      </c>
      <c r="D167">
        <v>1740000</v>
      </c>
      <c r="E167" t="s">
        <v>127</v>
      </c>
    </row>
    <row r="168" spans="1:5" x14ac:dyDescent="0.25">
      <c r="A168" s="14">
        <v>42533.223032407404</v>
      </c>
      <c r="B168" t="s">
        <v>115</v>
      </c>
      <c r="C168" t="s">
        <v>275</v>
      </c>
      <c r="D168">
        <v>1360000</v>
      </c>
      <c r="E168" t="s">
        <v>102</v>
      </c>
    </row>
    <row r="169" spans="1:5" x14ac:dyDescent="0.25">
      <c r="A169" s="14">
        <v>42533.616377314815</v>
      </c>
      <c r="B169" t="s">
        <v>265</v>
      </c>
      <c r="C169" t="s">
        <v>268</v>
      </c>
      <c r="D169">
        <v>1120000</v>
      </c>
      <c r="E169" t="s">
        <v>271</v>
      </c>
    </row>
    <row r="170" spans="1:5" x14ac:dyDescent="0.25">
      <c r="A170" s="14">
        <v>42533.197465277779</v>
      </c>
      <c r="B170" t="s">
        <v>266</v>
      </c>
      <c r="C170" t="s">
        <v>276</v>
      </c>
      <c r="D170">
        <v>1310000</v>
      </c>
      <c r="E170" t="s">
        <v>177</v>
      </c>
    </row>
    <row r="171" spans="1:5" x14ac:dyDescent="0.25">
      <c r="A171" s="14">
        <v>42533.904224537036</v>
      </c>
      <c r="B171" t="s">
        <v>266</v>
      </c>
      <c r="C171" t="s">
        <v>274</v>
      </c>
      <c r="D171">
        <v>1140000</v>
      </c>
      <c r="E171" t="s">
        <v>119</v>
      </c>
    </row>
    <row r="172" spans="1:5" x14ac:dyDescent="0.25">
      <c r="A172" s="14">
        <v>42533.597430555557</v>
      </c>
      <c r="B172" t="s">
        <v>115</v>
      </c>
      <c r="C172" t="s">
        <v>277</v>
      </c>
      <c r="D172">
        <v>1540000</v>
      </c>
      <c r="E172" t="s">
        <v>118</v>
      </c>
    </row>
    <row r="173" spans="1:5" x14ac:dyDescent="0.25">
      <c r="A173" s="14">
        <v>42530.329513888886</v>
      </c>
      <c r="B173" t="s">
        <v>131</v>
      </c>
      <c r="C173" t="s">
        <v>188</v>
      </c>
      <c r="D173">
        <v>1310000</v>
      </c>
      <c r="E173" t="s">
        <v>177</v>
      </c>
    </row>
    <row r="174" spans="1:5" x14ac:dyDescent="0.25">
      <c r="A174" s="14">
        <v>42530.487025462964</v>
      </c>
      <c r="B174" t="s">
        <v>153</v>
      </c>
      <c r="C174" t="s">
        <v>189</v>
      </c>
      <c r="D174">
        <v>1740000</v>
      </c>
      <c r="E174" t="s">
        <v>127</v>
      </c>
    </row>
    <row r="175" spans="1:5" x14ac:dyDescent="0.25">
      <c r="A175" s="14">
        <v>42530.252384259256</v>
      </c>
      <c r="B175" t="s">
        <v>114</v>
      </c>
      <c r="C175" t="s">
        <v>190</v>
      </c>
      <c r="D175">
        <v>1460000</v>
      </c>
      <c r="E175" t="s">
        <v>186</v>
      </c>
    </row>
    <row r="176" spans="1:5" x14ac:dyDescent="0.25">
      <c r="A176" s="14">
        <v>42530.547569444447</v>
      </c>
      <c r="B176" t="s">
        <v>131</v>
      </c>
      <c r="C176" t="s">
        <v>146</v>
      </c>
      <c r="D176">
        <v>890000</v>
      </c>
      <c r="E176" t="s">
        <v>122</v>
      </c>
    </row>
    <row r="177" spans="1:5" x14ac:dyDescent="0.25">
      <c r="A177" s="14">
        <v>42531.013611111113</v>
      </c>
      <c r="B177" t="s">
        <v>115</v>
      </c>
      <c r="C177" t="s">
        <v>191</v>
      </c>
      <c r="D177">
        <v>1810000</v>
      </c>
      <c r="E177" t="s">
        <v>192</v>
      </c>
    </row>
    <row r="178" spans="1:5" x14ac:dyDescent="0.25">
      <c r="A178" s="14">
        <v>42530.684050925927</v>
      </c>
      <c r="B178" t="s">
        <v>157</v>
      </c>
      <c r="C178" t="s">
        <v>158</v>
      </c>
      <c r="D178">
        <v>900000</v>
      </c>
      <c r="E178" t="s">
        <v>172</v>
      </c>
    </row>
    <row r="179" spans="1:5" x14ac:dyDescent="0.25">
      <c r="A179" s="14">
        <v>42530.953333333331</v>
      </c>
      <c r="B179" t="s">
        <v>135</v>
      </c>
      <c r="C179" t="s">
        <v>193</v>
      </c>
      <c r="D179">
        <v>1820000</v>
      </c>
      <c r="E179" t="s">
        <v>130</v>
      </c>
    </row>
    <row r="180" spans="1:5" x14ac:dyDescent="0.25">
      <c r="A180" s="14">
        <v>42530.70349537037</v>
      </c>
      <c r="B180" t="s">
        <v>153</v>
      </c>
      <c r="C180" t="s">
        <v>160</v>
      </c>
      <c r="D180">
        <v>1740000</v>
      </c>
      <c r="E180" t="s">
        <v>127</v>
      </c>
    </row>
    <row r="181" spans="1:5" x14ac:dyDescent="0.25">
      <c r="A181" s="14">
        <v>42530.941724537035</v>
      </c>
      <c r="B181" t="s">
        <v>181</v>
      </c>
      <c r="C181" t="s">
        <v>194</v>
      </c>
      <c r="D181">
        <v>1440000</v>
      </c>
      <c r="E181" t="s">
        <v>182</v>
      </c>
    </row>
    <row r="182" spans="1:5" x14ac:dyDescent="0.25">
      <c r="A182" s="14">
        <v>42530.841643518521</v>
      </c>
      <c r="B182" t="s">
        <v>115</v>
      </c>
      <c r="C182" t="s">
        <v>195</v>
      </c>
      <c r="D182">
        <v>1180000</v>
      </c>
      <c r="E182" t="s">
        <v>132</v>
      </c>
    </row>
    <row r="183" spans="1:5" x14ac:dyDescent="0.25">
      <c r="A183" s="14">
        <v>42530.72797453704</v>
      </c>
      <c r="B183" t="s">
        <v>149</v>
      </c>
      <c r="C183" t="s">
        <v>196</v>
      </c>
      <c r="D183">
        <v>1140000</v>
      </c>
      <c r="E183" t="s">
        <v>119</v>
      </c>
    </row>
    <row r="184" spans="1:5" x14ac:dyDescent="0.25">
      <c r="A184" s="14">
        <v>42530.380046296297</v>
      </c>
      <c r="B184" t="s">
        <v>78</v>
      </c>
      <c r="C184" t="s">
        <v>197</v>
      </c>
      <c r="D184">
        <v>1340000</v>
      </c>
      <c r="E184" t="s">
        <v>128</v>
      </c>
    </row>
    <row r="185" spans="1:5" x14ac:dyDescent="0.25">
      <c r="A185" s="14">
        <v>42530.713703703703</v>
      </c>
      <c r="B185" t="s">
        <v>178</v>
      </c>
      <c r="C185" t="s">
        <v>162</v>
      </c>
      <c r="D185">
        <v>1500000</v>
      </c>
      <c r="E185" t="s">
        <v>179</v>
      </c>
    </row>
    <row r="186" spans="1:5" x14ac:dyDescent="0.25">
      <c r="A186" s="14">
        <v>42530.386643518519</v>
      </c>
      <c r="B186" t="s">
        <v>105</v>
      </c>
      <c r="C186" t="s">
        <v>198</v>
      </c>
      <c r="D186">
        <v>1100000</v>
      </c>
      <c r="E186" t="s">
        <v>98</v>
      </c>
    </row>
    <row r="187" spans="1:5" x14ac:dyDescent="0.25">
      <c r="A187" s="14">
        <v>42530.521574074075</v>
      </c>
      <c r="B187" t="s">
        <v>113</v>
      </c>
      <c r="C187" t="s">
        <v>144</v>
      </c>
      <c r="D187">
        <v>880000</v>
      </c>
      <c r="E187" t="s">
        <v>129</v>
      </c>
    </row>
    <row r="188" spans="1:5" x14ac:dyDescent="0.25">
      <c r="A188" s="14">
        <v>42530.399560185186</v>
      </c>
      <c r="B188" t="s">
        <v>137</v>
      </c>
      <c r="C188" t="s">
        <v>180</v>
      </c>
      <c r="D188">
        <v>1360000</v>
      </c>
      <c r="E188" t="s">
        <v>102</v>
      </c>
    </row>
    <row r="189" spans="1:5" x14ac:dyDescent="0.25">
      <c r="A189" s="14">
        <v>42530.476574074077</v>
      </c>
      <c r="B189" t="s">
        <v>131</v>
      </c>
      <c r="C189" t="s">
        <v>142</v>
      </c>
      <c r="D189">
        <v>890000</v>
      </c>
      <c r="E189" t="s">
        <v>122</v>
      </c>
    </row>
    <row r="190" spans="1:5" x14ac:dyDescent="0.25">
      <c r="A190" s="14">
        <v>42530.412442129629</v>
      </c>
      <c r="B190" t="s">
        <v>115</v>
      </c>
      <c r="C190" t="s">
        <v>176</v>
      </c>
      <c r="D190">
        <v>1230000</v>
      </c>
      <c r="E190" t="s">
        <v>170</v>
      </c>
    </row>
    <row r="191" spans="1:5" x14ac:dyDescent="0.25">
      <c r="A191" s="14">
        <v>42530.277592592596</v>
      </c>
      <c r="B191" t="s">
        <v>181</v>
      </c>
      <c r="C191" t="s">
        <v>199</v>
      </c>
      <c r="D191">
        <v>1360000</v>
      </c>
      <c r="E191" t="s">
        <v>102</v>
      </c>
    </row>
    <row r="192" spans="1:5" x14ac:dyDescent="0.25">
      <c r="A192" s="14">
        <v>42530.734826388885</v>
      </c>
      <c r="B192" t="s">
        <v>117</v>
      </c>
      <c r="C192" t="s">
        <v>163</v>
      </c>
      <c r="D192">
        <v>890000</v>
      </c>
      <c r="E192" t="s">
        <v>122</v>
      </c>
    </row>
    <row r="193" spans="1:5" x14ac:dyDescent="0.25">
      <c r="A193" s="14">
        <v>42530.206678240742</v>
      </c>
      <c r="B193" t="s">
        <v>105</v>
      </c>
      <c r="C193" t="s">
        <v>200</v>
      </c>
      <c r="D193">
        <v>1100000</v>
      </c>
      <c r="E193" t="s">
        <v>98</v>
      </c>
    </row>
    <row r="194" spans="1:5" x14ac:dyDescent="0.25">
      <c r="A194" s="14">
        <v>42530.739201388889</v>
      </c>
      <c r="B194" t="s">
        <v>113</v>
      </c>
      <c r="C194" t="s">
        <v>201</v>
      </c>
      <c r="D194">
        <v>1180000</v>
      </c>
      <c r="E194" t="s">
        <v>132</v>
      </c>
    </row>
    <row r="195" spans="1:5" x14ac:dyDescent="0.25">
      <c r="A195" s="14">
        <v>42530.493437500001</v>
      </c>
      <c r="B195" t="s">
        <v>104</v>
      </c>
      <c r="C195" t="s">
        <v>202</v>
      </c>
      <c r="D195">
        <v>1460000</v>
      </c>
      <c r="E195" t="s">
        <v>186</v>
      </c>
    </row>
    <row r="196" spans="1:5" x14ac:dyDescent="0.25">
      <c r="A196" s="14">
        <v>42530.830428240741</v>
      </c>
      <c r="B196" t="s">
        <v>140</v>
      </c>
      <c r="C196" t="s">
        <v>203</v>
      </c>
      <c r="D196">
        <v>1820000</v>
      </c>
      <c r="E196" t="s">
        <v>130</v>
      </c>
    </row>
    <row r="197" spans="1:5" x14ac:dyDescent="0.25">
      <c r="A197" s="14">
        <v>42530.469814814816</v>
      </c>
      <c r="B197" t="s">
        <v>140</v>
      </c>
      <c r="C197" t="s">
        <v>204</v>
      </c>
      <c r="D197">
        <v>1110000</v>
      </c>
      <c r="E197" t="s">
        <v>126</v>
      </c>
    </row>
    <row r="198" spans="1:5" x14ac:dyDescent="0.25">
      <c r="A198" s="14">
        <v>42530.623888888891</v>
      </c>
      <c r="B198" t="s">
        <v>131</v>
      </c>
      <c r="C198" t="s">
        <v>205</v>
      </c>
      <c r="D198">
        <v>890000</v>
      </c>
      <c r="E198" t="s">
        <v>122</v>
      </c>
    </row>
    <row r="199" spans="1:5" x14ac:dyDescent="0.25">
      <c r="A199" s="14">
        <v>42530.389537037037</v>
      </c>
      <c r="B199" t="s">
        <v>116</v>
      </c>
      <c r="C199" t="s">
        <v>206</v>
      </c>
      <c r="D199">
        <v>1460000</v>
      </c>
      <c r="E199" t="s">
        <v>186</v>
      </c>
    </row>
    <row r="200" spans="1:5" x14ac:dyDescent="0.25">
      <c r="A200" s="14">
        <v>42530.710578703707</v>
      </c>
      <c r="B200" t="s">
        <v>181</v>
      </c>
      <c r="C200" t="s">
        <v>207</v>
      </c>
      <c r="D200">
        <v>1440000</v>
      </c>
      <c r="E200" t="s">
        <v>182</v>
      </c>
    </row>
    <row r="201" spans="1:5" x14ac:dyDescent="0.25">
      <c r="A201" s="14">
        <v>42530.348506944443</v>
      </c>
      <c r="B201" t="s">
        <v>104</v>
      </c>
      <c r="C201" t="s">
        <v>208</v>
      </c>
      <c r="D201">
        <v>1100000</v>
      </c>
      <c r="E201" t="s">
        <v>98</v>
      </c>
    </row>
    <row r="202" spans="1:5" x14ac:dyDescent="0.25">
      <c r="A202" s="14">
        <v>42530.849803240744</v>
      </c>
      <c r="B202" t="s">
        <v>131</v>
      </c>
      <c r="C202" t="s">
        <v>209</v>
      </c>
      <c r="D202">
        <v>1240000</v>
      </c>
      <c r="E202" t="s">
        <v>93</v>
      </c>
    </row>
    <row r="203" spans="1:5" x14ac:dyDescent="0.25">
      <c r="A203" s="14">
        <v>42531.015648148146</v>
      </c>
      <c r="B203" t="s">
        <v>131</v>
      </c>
      <c r="C203" t="s">
        <v>210</v>
      </c>
      <c r="D203">
        <v>1240000</v>
      </c>
      <c r="E203" t="s">
        <v>93</v>
      </c>
    </row>
    <row r="204" spans="1:5" x14ac:dyDescent="0.25">
      <c r="A204" s="14">
        <v>42530.913182870368</v>
      </c>
      <c r="B204" t="s">
        <v>140</v>
      </c>
      <c r="C204" t="s">
        <v>211</v>
      </c>
      <c r="D204">
        <v>1820000</v>
      </c>
      <c r="E204" t="s">
        <v>130</v>
      </c>
    </row>
    <row r="205" spans="1:5" x14ac:dyDescent="0.25">
      <c r="A205" s="14">
        <v>42530.998136574075</v>
      </c>
      <c r="B205" t="s">
        <v>140</v>
      </c>
      <c r="C205" t="s">
        <v>169</v>
      </c>
      <c r="D205">
        <v>1820000</v>
      </c>
      <c r="E205" t="s">
        <v>130</v>
      </c>
    </row>
    <row r="206" spans="1:5" x14ac:dyDescent="0.25">
      <c r="A206" s="14">
        <v>42530.195729166669</v>
      </c>
      <c r="B206" t="s">
        <v>113</v>
      </c>
      <c r="C206" t="s">
        <v>212</v>
      </c>
      <c r="D206">
        <v>1230000</v>
      </c>
      <c r="E206" t="s">
        <v>170</v>
      </c>
    </row>
    <row r="207" spans="1:5" x14ac:dyDescent="0.25">
      <c r="A207" s="14">
        <v>42530.989629629628</v>
      </c>
      <c r="B207" t="s">
        <v>137</v>
      </c>
      <c r="C207" t="s">
        <v>213</v>
      </c>
      <c r="D207">
        <v>1440000</v>
      </c>
      <c r="E207" t="s">
        <v>182</v>
      </c>
    </row>
    <row r="208" spans="1:5" x14ac:dyDescent="0.25">
      <c r="A208" s="14">
        <v>42530.227071759262</v>
      </c>
      <c r="B208" t="s">
        <v>131</v>
      </c>
      <c r="C208" t="s">
        <v>134</v>
      </c>
      <c r="D208">
        <v>1310000</v>
      </c>
      <c r="E208" t="s">
        <v>177</v>
      </c>
    </row>
    <row r="209" spans="1:5" x14ac:dyDescent="0.25">
      <c r="A209" s="14">
        <v>42530.97457175926</v>
      </c>
      <c r="B209" t="s">
        <v>117</v>
      </c>
      <c r="C209" t="s">
        <v>214</v>
      </c>
      <c r="D209">
        <v>1240000</v>
      </c>
      <c r="E209" t="s">
        <v>93</v>
      </c>
    </row>
    <row r="210" spans="1:5" x14ac:dyDescent="0.25">
      <c r="A210" s="14">
        <v>42530.346921296295</v>
      </c>
      <c r="B210" t="s">
        <v>114</v>
      </c>
      <c r="C210" t="s">
        <v>215</v>
      </c>
      <c r="D210">
        <v>1460000</v>
      </c>
      <c r="E210" t="s">
        <v>186</v>
      </c>
    </row>
    <row r="211" spans="1:5" x14ac:dyDescent="0.25">
      <c r="A211" s="14">
        <v>42530.746111111112</v>
      </c>
      <c r="B211" t="s">
        <v>161</v>
      </c>
      <c r="C211" t="s">
        <v>162</v>
      </c>
      <c r="D211">
        <v>1500000</v>
      </c>
      <c r="E211" t="s">
        <v>179</v>
      </c>
    </row>
    <row r="212" spans="1:5" x14ac:dyDescent="0.25">
      <c r="A212" s="14">
        <v>42530.497777777775</v>
      </c>
      <c r="B212" t="s">
        <v>114</v>
      </c>
      <c r="C212" t="s">
        <v>216</v>
      </c>
      <c r="D212">
        <v>900000</v>
      </c>
      <c r="E212" t="s">
        <v>172</v>
      </c>
    </row>
    <row r="213" spans="1:5" x14ac:dyDescent="0.25">
      <c r="A213" s="14">
        <v>42530.684884259259</v>
      </c>
      <c r="B213" t="s">
        <v>140</v>
      </c>
      <c r="C213" t="s">
        <v>217</v>
      </c>
      <c r="D213">
        <v>1110000</v>
      </c>
      <c r="E213" t="s">
        <v>126</v>
      </c>
    </row>
    <row r="214" spans="1:5" x14ac:dyDescent="0.25">
      <c r="A214" s="14">
        <v>42530.557395833333</v>
      </c>
      <c r="B214" t="s">
        <v>115</v>
      </c>
      <c r="C214" t="s">
        <v>148</v>
      </c>
      <c r="D214">
        <v>880000</v>
      </c>
      <c r="E214" t="s">
        <v>129</v>
      </c>
    </row>
    <row r="215" spans="1:5" x14ac:dyDescent="0.25">
      <c r="A215" s="14">
        <v>42530.234803240739</v>
      </c>
      <c r="B215" t="s">
        <v>115</v>
      </c>
      <c r="C215" t="s">
        <v>133</v>
      </c>
      <c r="D215">
        <v>1230000</v>
      </c>
      <c r="E215" t="s">
        <v>170</v>
      </c>
    </row>
    <row r="216" spans="1:5" x14ac:dyDescent="0.25">
      <c r="A216" s="14">
        <v>42530.738206018519</v>
      </c>
      <c r="B216" t="s">
        <v>113</v>
      </c>
      <c r="C216" t="s">
        <v>201</v>
      </c>
      <c r="D216">
        <v>1180000</v>
      </c>
      <c r="E216" t="s">
        <v>132</v>
      </c>
    </row>
    <row r="217" spans="1:5" x14ac:dyDescent="0.25">
      <c r="A217" s="14">
        <v>42531.057199074072</v>
      </c>
      <c r="B217" t="s">
        <v>117</v>
      </c>
      <c r="C217" t="s">
        <v>218</v>
      </c>
      <c r="D217">
        <v>1240000</v>
      </c>
      <c r="E217" t="s">
        <v>93</v>
      </c>
    </row>
    <row r="218" spans="1:5" x14ac:dyDescent="0.25">
      <c r="A218" s="14">
        <v>42530.277256944442</v>
      </c>
      <c r="B218" t="s">
        <v>104</v>
      </c>
      <c r="C218" t="s">
        <v>219</v>
      </c>
      <c r="D218">
        <v>1100000</v>
      </c>
      <c r="E218" t="s">
        <v>98</v>
      </c>
    </row>
    <row r="219" spans="1:5" x14ac:dyDescent="0.25">
      <c r="A219" s="14">
        <v>42530.713194444441</v>
      </c>
      <c r="B219" t="s">
        <v>104</v>
      </c>
      <c r="C219" t="s">
        <v>159</v>
      </c>
      <c r="D219">
        <v>1280000</v>
      </c>
      <c r="E219" t="s">
        <v>174</v>
      </c>
    </row>
    <row r="220" spans="1:5" x14ac:dyDescent="0.25">
      <c r="A220" s="14">
        <v>42530.296574074076</v>
      </c>
      <c r="B220" t="s">
        <v>116</v>
      </c>
      <c r="C220" t="s">
        <v>185</v>
      </c>
      <c r="D220">
        <v>1460000</v>
      </c>
      <c r="E220" t="s">
        <v>186</v>
      </c>
    </row>
    <row r="221" spans="1:5" x14ac:dyDescent="0.25">
      <c r="A221" s="14">
        <v>42530.96502314815</v>
      </c>
      <c r="B221" t="s">
        <v>113</v>
      </c>
      <c r="C221" t="s">
        <v>168</v>
      </c>
      <c r="D221">
        <v>1810000</v>
      </c>
      <c r="E221" t="s">
        <v>192</v>
      </c>
    </row>
    <row r="222" spans="1:5" x14ac:dyDescent="0.25">
      <c r="A222" s="14">
        <v>42530.308240740742</v>
      </c>
      <c r="B222" t="s">
        <v>105</v>
      </c>
      <c r="C222" t="s">
        <v>220</v>
      </c>
      <c r="D222">
        <v>1100000</v>
      </c>
      <c r="E222" t="s">
        <v>98</v>
      </c>
    </row>
    <row r="223" spans="1:5" x14ac:dyDescent="0.25">
      <c r="A223" s="14">
        <v>42530.42224537037</v>
      </c>
      <c r="B223" t="s">
        <v>153</v>
      </c>
      <c r="C223" t="s">
        <v>175</v>
      </c>
      <c r="D223">
        <v>1340000</v>
      </c>
      <c r="E223" t="s">
        <v>128</v>
      </c>
    </row>
    <row r="224" spans="1:5" x14ac:dyDescent="0.25">
      <c r="A224" s="14">
        <v>42530.33861111111</v>
      </c>
      <c r="B224" t="s">
        <v>115</v>
      </c>
      <c r="C224" t="s">
        <v>183</v>
      </c>
      <c r="D224">
        <v>1230000</v>
      </c>
      <c r="E224" t="s">
        <v>170</v>
      </c>
    </row>
    <row r="225" spans="1:5" x14ac:dyDescent="0.25">
      <c r="A225" s="14">
        <v>42530.251423611109</v>
      </c>
      <c r="B225" t="s">
        <v>137</v>
      </c>
      <c r="C225" t="s">
        <v>221</v>
      </c>
      <c r="D225">
        <v>1360000</v>
      </c>
      <c r="E225" t="s">
        <v>102</v>
      </c>
    </row>
    <row r="226" spans="1:5" x14ac:dyDescent="0.25">
      <c r="A226" s="14">
        <v>42530.394386574073</v>
      </c>
      <c r="B226" t="s">
        <v>140</v>
      </c>
      <c r="C226" t="s">
        <v>141</v>
      </c>
      <c r="D226">
        <v>1290000</v>
      </c>
      <c r="E226" t="s">
        <v>121</v>
      </c>
    </row>
    <row r="227" spans="1:5" x14ac:dyDescent="0.25">
      <c r="A227" s="14">
        <v>42530.235543981478</v>
      </c>
      <c r="B227" t="s">
        <v>153</v>
      </c>
      <c r="C227" t="s">
        <v>222</v>
      </c>
      <c r="D227">
        <v>1340000</v>
      </c>
      <c r="E227" t="s">
        <v>128</v>
      </c>
    </row>
    <row r="228" spans="1:5" x14ac:dyDescent="0.25">
      <c r="A228" s="14">
        <v>42530.405509259261</v>
      </c>
      <c r="B228" t="s">
        <v>131</v>
      </c>
      <c r="C228" t="s">
        <v>139</v>
      </c>
      <c r="D228">
        <v>1310000</v>
      </c>
      <c r="E228" t="s">
        <v>177</v>
      </c>
    </row>
    <row r="229" spans="1:5" x14ac:dyDescent="0.25">
      <c r="A229" s="14">
        <v>42530.13077546296</v>
      </c>
      <c r="B229" t="s">
        <v>105</v>
      </c>
      <c r="C229" t="s">
        <v>187</v>
      </c>
      <c r="D229">
        <v>1290000</v>
      </c>
      <c r="E229" t="s">
        <v>121</v>
      </c>
    </row>
    <row r="230" spans="1:5" x14ac:dyDescent="0.25">
      <c r="A230" s="14">
        <v>42530.528483796297</v>
      </c>
      <c r="B230" t="s">
        <v>105</v>
      </c>
      <c r="C230" t="s">
        <v>223</v>
      </c>
      <c r="D230">
        <v>1280000</v>
      </c>
      <c r="E230" t="s">
        <v>174</v>
      </c>
    </row>
    <row r="231" spans="1:5" x14ac:dyDescent="0.25">
      <c r="A231" s="14">
        <v>42530.86991898148</v>
      </c>
      <c r="B231" t="s">
        <v>135</v>
      </c>
      <c r="C231" t="s">
        <v>167</v>
      </c>
      <c r="D231">
        <v>1820000</v>
      </c>
      <c r="E231" t="s">
        <v>130</v>
      </c>
    </row>
    <row r="232" spans="1:5" x14ac:dyDescent="0.25">
      <c r="A232" s="14">
        <v>42530.563657407409</v>
      </c>
      <c r="B232" t="s">
        <v>153</v>
      </c>
      <c r="C232" t="s">
        <v>173</v>
      </c>
      <c r="D232">
        <v>1740000</v>
      </c>
      <c r="E232" t="s">
        <v>127</v>
      </c>
    </row>
    <row r="233" spans="1:5" x14ac:dyDescent="0.25">
      <c r="A233" s="14">
        <v>42530.73541666667</v>
      </c>
      <c r="B233" t="s">
        <v>113</v>
      </c>
      <c r="C233" t="s">
        <v>201</v>
      </c>
      <c r="D233">
        <v>1180000</v>
      </c>
      <c r="E233" t="s">
        <v>132</v>
      </c>
    </row>
    <row r="234" spans="1:5" x14ac:dyDescent="0.25">
      <c r="A234" s="14">
        <v>42530.587222222224</v>
      </c>
      <c r="B234" t="s">
        <v>149</v>
      </c>
      <c r="C234" t="s">
        <v>150</v>
      </c>
      <c r="D234">
        <v>1520000</v>
      </c>
      <c r="E234" t="s">
        <v>171</v>
      </c>
    </row>
    <row r="235" spans="1:5" x14ac:dyDescent="0.25">
      <c r="A235" s="14">
        <v>42530.726145833331</v>
      </c>
      <c r="B235" t="s">
        <v>149</v>
      </c>
      <c r="C235" t="s">
        <v>224</v>
      </c>
      <c r="D235">
        <v>1140000</v>
      </c>
      <c r="E235" t="s">
        <v>119</v>
      </c>
    </row>
    <row r="236" spans="1:5" x14ac:dyDescent="0.25">
      <c r="A236" s="14">
        <v>42530.590451388889</v>
      </c>
      <c r="B236" t="s">
        <v>117</v>
      </c>
      <c r="C236" t="s">
        <v>225</v>
      </c>
      <c r="D236">
        <v>890000</v>
      </c>
      <c r="E236" t="s">
        <v>122</v>
      </c>
    </row>
    <row r="237" spans="1:5" x14ac:dyDescent="0.25">
      <c r="A237" s="14">
        <v>42530.543124999997</v>
      </c>
      <c r="B237" t="s">
        <v>95</v>
      </c>
      <c r="C237" t="s">
        <v>147</v>
      </c>
      <c r="D237">
        <v>1520000</v>
      </c>
      <c r="E237" t="s">
        <v>171</v>
      </c>
    </row>
    <row r="238" spans="1:5" x14ac:dyDescent="0.25">
      <c r="A238" s="14">
        <v>42530.673090277778</v>
      </c>
      <c r="B238" t="s">
        <v>105</v>
      </c>
      <c r="C238" t="s">
        <v>226</v>
      </c>
      <c r="D238">
        <v>1280000</v>
      </c>
      <c r="E238" t="s">
        <v>174</v>
      </c>
    </row>
    <row r="239" spans="1:5" x14ac:dyDescent="0.25">
      <c r="A239" s="14">
        <v>42530.902858796297</v>
      </c>
      <c r="B239" t="s">
        <v>137</v>
      </c>
      <c r="C239" t="s">
        <v>227</v>
      </c>
      <c r="D239">
        <v>1440000</v>
      </c>
      <c r="E239" t="s">
        <v>182</v>
      </c>
    </row>
    <row r="240" spans="1:5" x14ac:dyDescent="0.25">
      <c r="A240" s="14">
        <v>42530.361481481479</v>
      </c>
      <c r="B240" t="s">
        <v>181</v>
      </c>
      <c r="C240" t="s">
        <v>228</v>
      </c>
      <c r="D240">
        <v>1360000</v>
      </c>
      <c r="E240" t="s">
        <v>102</v>
      </c>
    </row>
    <row r="241" spans="1:5" x14ac:dyDescent="0.25">
      <c r="A241" s="14">
        <v>42530.78528935185</v>
      </c>
      <c r="B241" t="s">
        <v>104</v>
      </c>
      <c r="C241" t="s">
        <v>184</v>
      </c>
      <c r="D241">
        <v>1280000</v>
      </c>
      <c r="E241" t="s">
        <v>174</v>
      </c>
    </row>
    <row r="242" spans="1:5" x14ac:dyDescent="0.25">
      <c r="A242" s="14">
        <v>42530.369641203702</v>
      </c>
      <c r="B242" t="s">
        <v>117</v>
      </c>
      <c r="C242" t="s">
        <v>229</v>
      </c>
      <c r="D242">
        <v>1310000</v>
      </c>
      <c r="E242" t="s">
        <v>177</v>
      </c>
    </row>
    <row r="243" spans="1:5" x14ac:dyDescent="0.25">
      <c r="A243" s="14">
        <v>42530.988854166666</v>
      </c>
      <c r="B243" t="s">
        <v>137</v>
      </c>
      <c r="C243" t="s">
        <v>213</v>
      </c>
      <c r="D243">
        <v>1440000</v>
      </c>
      <c r="E243" t="s">
        <v>182</v>
      </c>
    </row>
    <row r="244" spans="1:5" x14ac:dyDescent="0.25">
      <c r="A244" s="14">
        <v>42530.425879629627</v>
      </c>
      <c r="B244" t="s">
        <v>114</v>
      </c>
      <c r="C244" t="s">
        <v>230</v>
      </c>
      <c r="D244">
        <v>900000</v>
      </c>
      <c r="E244" t="s">
        <v>172</v>
      </c>
    </row>
    <row r="245" spans="1:5" x14ac:dyDescent="0.25">
      <c r="A245" s="14">
        <v>42530.742951388886</v>
      </c>
      <c r="B245" t="s">
        <v>78</v>
      </c>
      <c r="C245" t="s">
        <v>231</v>
      </c>
      <c r="D245">
        <v>1740000</v>
      </c>
      <c r="E245" t="s">
        <v>127</v>
      </c>
    </row>
    <row r="246" spans="1:5" x14ac:dyDescent="0.25">
      <c r="A246" s="14">
        <v>42530.445231481484</v>
      </c>
      <c r="B246" t="s">
        <v>113</v>
      </c>
      <c r="C246" t="s">
        <v>232</v>
      </c>
      <c r="D246">
        <v>880000</v>
      </c>
      <c r="E246" t="s">
        <v>129</v>
      </c>
    </row>
    <row r="247" spans="1:5" x14ac:dyDescent="0.25">
      <c r="A247" s="14">
        <v>42530.70484953704</v>
      </c>
      <c r="B247" t="s">
        <v>153</v>
      </c>
      <c r="C247" t="s">
        <v>160</v>
      </c>
      <c r="D247">
        <v>1740000</v>
      </c>
      <c r="E247" t="s">
        <v>127</v>
      </c>
    </row>
    <row r="248" spans="1:5" x14ac:dyDescent="0.25">
      <c r="A248" s="14">
        <v>42530.444641203707</v>
      </c>
      <c r="B248" t="s">
        <v>117</v>
      </c>
      <c r="C248" t="s">
        <v>233</v>
      </c>
      <c r="D248">
        <v>1310000</v>
      </c>
      <c r="E248" t="s">
        <v>177</v>
      </c>
    </row>
    <row r="249" spans="1:5" x14ac:dyDescent="0.25">
      <c r="A249" s="14">
        <v>42530.650925925926</v>
      </c>
      <c r="B249" t="s">
        <v>135</v>
      </c>
      <c r="C249" t="s">
        <v>234</v>
      </c>
      <c r="D249">
        <v>1110000</v>
      </c>
      <c r="E249" t="s">
        <v>126</v>
      </c>
    </row>
    <row r="250" spans="1:5" x14ac:dyDescent="0.25">
      <c r="A250" s="14">
        <v>42530.484074074076</v>
      </c>
      <c r="B250" t="s">
        <v>115</v>
      </c>
      <c r="C250" t="s">
        <v>143</v>
      </c>
      <c r="D250">
        <v>880000</v>
      </c>
      <c r="E250" t="s">
        <v>129</v>
      </c>
    </row>
    <row r="251" spans="1:5" x14ac:dyDescent="0.25">
      <c r="A251" s="14">
        <v>42530.642604166664</v>
      </c>
      <c r="B251" t="s">
        <v>155</v>
      </c>
      <c r="C251" t="s">
        <v>156</v>
      </c>
      <c r="D251">
        <v>900000</v>
      </c>
      <c r="E251" t="s">
        <v>172</v>
      </c>
    </row>
    <row r="252" spans="1:5" x14ac:dyDescent="0.25">
      <c r="A252" s="14">
        <v>42530.524733796294</v>
      </c>
      <c r="B252" t="s">
        <v>78</v>
      </c>
      <c r="C252" t="s">
        <v>145</v>
      </c>
      <c r="D252">
        <v>1740000</v>
      </c>
      <c r="E252" t="s">
        <v>127</v>
      </c>
    </row>
    <row r="253" spans="1:5" x14ac:dyDescent="0.25">
      <c r="A253" s="14">
        <v>42530.932245370372</v>
      </c>
      <c r="B253" t="s">
        <v>131</v>
      </c>
      <c r="C253" t="s">
        <v>235</v>
      </c>
      <c r="D253">
        <v>1240000</v>
      </c>
      <c r="E253" t="s">
        <v>93</v>
      </c>
    </row>
    <row r="254" spans="1:5" x14ac:dyDescent="0.25">
      <c r="A254" s="14">
        <v>42530.568333333336</v>
      </c>
      <c r="B254" t="s">
        <v>104</v>
      </c>
      <c r="C254" t="s">
        <v>236</v>
      </c>
      <c r="D254">
        <v>1280000</v>
      </c>
      <c r="E254" t="s">
        <v>174</v>
      </c>
    </row>
    <row r="255" spans="1:5" x14ac:dyDescent="0.25">
      <c r="A255" s="14">
        <v>42530.928368055553</v>
      </c>
      <c r="B255" t="s">
        <v>115</v>
      </c>
      <c r="C255" t="s">
        <v>237</v>
      </c>
      <c r="D255">
        <v>1180000</v>
      </c>
      <c r="E255" t="s">
        <v>132</v>
      </c>
    </row>
    <row r="256" spans="1:5" x14ac:dyDescent="0.25">
      <c r="A256" s="14">
        <v>42530.592314814814</v>
      </c>
      <c r="B256" t="s">
        <v>113</v>
      </c>
      <c r="C256" t="s">
        <v>152</v>
      </c>
      <c r="D256">
        <v>880000</v>
      </c>
      <c r="E256" t="s">
        <v>129</v>
      </c>
    </row>
    <row r="257" spans="1:5" x14ac:dyDescent="0.25">
      <c r="A257" s="14">
        <v>42530.904467592591</v>
      </c>
      <c r="B257" t="s">
        <v>137</v>
      </c>
      <c r="C257" t="s">
        <v>227</v>
      </c>
      <c r="D257">
        <v>1440000</v>
      </c>
      <c r="E257" t="s">
        <v>182</v>
      </c>
    </row>
    <row r="258" spans="1:5" x14ac:dyDescent="0.25">
      <c r="A258" s="14">
        <v>42530.633819444447</v>
      </c>
      <c r="B258" t="s">
        <v>104</v>
      </c>
      <c r="C258" t="s">
        <v>238</v>
      </c>
      <c r="D258">
        <v>1280000</v>
      </c>
      <c r="E258" t="s">
        <v>174</v>
      </c>
    </row>
    <row r="259" spans="1:5" x14ac:dyDescent="0.25">
      <c r="A259" s="14">
        <v>42530.820208333331</v>
      </c>
      <c r="B259" t="s">
        <v>137</v>
      </c>
      <c r="C259" t="s">
        <v>239</v>
      </c>
      <c r="D259">
        <v>1440000</v>
      </c>
      <c r="E259" t="s">
        <v>182</v>
      </c>
    </row>
    <row r="260" spans="1:5" x14ac:dyDescent="0.25">
      <c r="A260" s="14">
        <v>42530.653877314813</v>
      </c>
      <c r="B260" t="s">
        <v>149</v>
      </c>
      <c r="C260" t="s">
        <v>240</v>
      </c>
      <c r="D260">
        <v>1140000</v>
      </c>
      <c r="E260" t="s">
        <v>119</v>
      </c>
    </row>
    <row r="261" spans="1:5" x14ac:dyDescent="0.25">
      <c r="A261" s="14">
        <v>42530.758935185186</v>
      </c>
      <c r="B261" t="s">
        <v>140</v>
      </c>
      <c r="C261" t="s">
        <v>241</v>
      </c>
      <c r="D261">
        <v>1820000</v>
      </c>
      <c r="E261" t="s">
        <v>130</v>
      </c>
    </row>
    <row r="262" spans="1:5" x14ac:dyDescent="0.25">
      <c r="A262" s="14">
        <v>42530.214120370372</v>
      </c>
      <c r="B262" t="s">
        <v>140</v>
      </c>
      <c r="C262" t="s">
        <v>242</v>
      </c>
      <c r="D262">
        <v>1290000</v>
      </c>
      <c r="E262" t="s">
        <v>121</v>
      </c>
    </row>
    <row r="263" spans="1:5" x14ac:dyDescent="0.25">
      <c r="A263" s="14">
        <v>42530.731990740744</v>
      </c>
      <c r="B263" t="s">
        <v>161</v>
      </c>
      <c r="C263" t="s">
        <v>162</v>
      </c>
      <c r="D263">
        <v>1500000</v>
      </c>
      <c r="E263" t="s">
        <v>179</v>
      </c>
    </row>
    <row r="264" spans="1:5" x14ac:dyDescent="0.25">
      <c r="A264" s="14">
        <v>42530.235636574071</v>
      </c>
      <c r="B264" t="s">
        <v>115</v>
      </c>
      <c r="C264" t="s">
        <v>133</v>
      </c>
      <c r="D264">
        <v>1230000</v>
      </c>
      <c r="E264" t="s">
        <v>170</v>
      </c>
    </row>
    <row r="265" spans="1:5" x14ac:dyDescent="0.25">
      <c r="A265" s="14">
        <v>42530.859756944446</v>
      </c>
      <c r="B265" t="s">
        <v>181</v>
      </c>
      <c r="C265" t="s">
        <v>243</v>
      </c>
      <c r="D265">
        <v>1440000</v>
      </c>
      <c r="E265" t="s">
        <v>182</v>
      </c>
    </row>
    <row r="266" spans="1:5" x14ac:dyDescent="0.25">
      <c r="A266" s="14">
        <v>42530.245104166665</v>
      </c>
      <c r="B266" t="s">
        <v>104</v>
      </c>
      <c r="C266" t="s">
        <v>219</v>
      </c>
      <c r="D266">
        <v>1100000</v>
      </c>
      <c r="E266" t="s">
        <v>98</v>
      </c>
    </row>
    <row r="267" spans="1:5" x14ac:dyDescent="0.25">
      <c r="A267" s="14">
        <v>42530.723935185182</v>
      </c>
      <c r="B267" t="s">
        <v>135</v>
      </c>
      <c r="C267" t="s">
        <v>244</v>
      </c>
      <c r="D267">
        <v>1110000</v>
      </c>
      <c r="E267" t="s">
        <v>126</v>
      </c>
    </row>
    <row r="268" spans="1:5" x14ac:dyDescent="0.25">
      <c r="A268" s="14">
        <v>42530.406053240738</v>
      </c>
      <c r="B268" t="s">
        <v>131</v>
      </c>
      <c r="C268" t="s">
        <v>139</v>
      </c>
      <c r="D268">
        <v>1310000</v>
      </c>
      <c r="E268" t="s">
        <v>177</v>
      </c>
    </row>
    <row r="269" spans="1:5" x14ac:dyDescent="0.25">
      <c r="A269" s="14">
        <v>42530.661539351851</v>
      </c>
      <c r="B269" t="s">
        <v>117</v>
      </c>
      <c r="C269" t="s">
        <v>245</v>
      </c>
      <c r="D269">
        <v>890000</v>
      </c>
      <c r="E269" t="s">
        <v>122</v>
      </c>
    </row>
    <row r="270" spans="1:5" x14ac:dyDescent="0.25">
      <c r="A270" s="14">
        <v>42530.463750000003</v>
      </c>
      <c r="B270" t="s">
        <v>116</v>
      </c>
      <c r="C270" t="s">
        <v>246</v>
      </c>
      <c r="D270">
        <v>900000</v>
      </c>
      <c r="E270" t="s">
        <v>172</v>
      </c>
    </row>
    <row r="271" spans="1:5" x14ac:dyDescent="0.25">
      <c r="A271" s="14">
        <v>42530.611226851855</v>
      </c>
      <c r="B271" t="s">
        <v>140</v>
      </c>
      <c r="C271" t="s">
        <v>247</v>
      </c>
      <c r="D271">
        <v>1110000</v>
      </c>
      <c r="E271" t="s">
        <v>126</v>
      </c>
    </row>
    <row r="272" spans="1:5" x14ac:dyDescent="0.25">
      <c r="A272" s="14">
        <v>42530.467812499999</v>
      </c>
      <c r="B272" t="s">
        <v>140</v>
      </c>
      <c r="C272" t="s">
        <v>204</v>
      </c>
      <c r="D272">
        <v>1110000</v>
      </c>
      <c r="E272" t="s">
        <v>126</v>
      </c>
    </row>
    <row r="273" spans="1:5" x14ac:dyDescent="0.25">
      <c r="A273" s="14">
        <v>42530.282256944447</v>
      </c>
      <c r="B273" t="s">
        <v>117</v>
      </c>
      <c r="C273" t="s">
        <v>136</v>
      </c>
      <c r="D273">
        <v>1310000</v>
      </c>
      <c r="E273" t="s">
        <v>177</v>
      </c>
    </row>
    <row r="274" spans="1:5" x14ac:dyDescent="0.25">
      <c r="A274" s="14">
        <v>42530.63208333333</v>
      </c>
      <c r="B274" t="s">
        <v>153</v>
      </c>
      <c r="C274" t="s">
        <v>154</v>
      </c>
      <c r="D274">
        <v>1740000</v>
      </c>
      <c r="E274" t="s">
        <v>127</v>
      </c>
    </row>
    <row r="275" spans="1:5" x14ac:dyDescent="0.25">
      <c r="A275" s="14">
        <v>42530.221921296295</v>
      </c>
      <c r="B275" t="s">
        <v>137</v>
      </c>
      <c r="C275" t="s">
        <v>221</v>
      </c>
      <c r="D275">
        <v>1360000</v>
      </c>
      <c r="E275" t="s">
        <v>102</v>
      </c>
    </row>
    <row r="276" spans="1:5" x14ac:dyDescent="0.25">
      <c r="A276" s="14">
        <v>42530.643750000003</v>
      </c>
      <c r="B276" t="s">
        <v>155</v>
      </c>
      <c r="C276" t="s">
        <v>156</v>
      </c>
      <c r="D276">
        <v>900000</v>
      </c>
      <c r="E276" t="s">
        <v>172</v>
      </c>
    </row>
    <row r="277" spans="1:5" x14ac:dyDescent="0.25">
      <c r="A277" s="14">
        <v>42530.578217592592</v>
      </c>
      <c r="B277" t="s">
        <v>135</v>
      </c>
      <c r="C277" t="s">
        <v>248</v>
      </c>
      <c r="D277">
        <v>1110000</v>
      </c>
      <c r="E277" t="s">
        <v>126</v>
      </c>
    </row>
    <row r="278" spans="1:5" x14ac:dyDescent="0.25">
      <c r="A278" s="14">
        <v>42530.696516203701</v>
      </c>
      <c r="B278" t="s">
        <v>115</v>
      </c>
      <c r="C278" t="s">
        <v>249</v>
      </c>
      <c r="D278">
        <v>1520000</v>
      </c>
      <c r="E278" t="s">
        <v>171</v>
      </c>
    </row>
    <row r="279" spans="1:5" x14ac:dyDescent="0.25">
      <c r="A279" s="14">
        <v>42530.316400462965</v>
      </c>
      <c r="B279" t="s">
        <v>137</v>
      </c>
      <c r="C279" t="s">
        <v>138</v>
      </c>
      <c r="D279">
        <v>1360000</v>
      </c>
      <c r="E279" t="s">
        <v>102</v>
      </c>
    </row>
    <row r="280" spans="1:5" x14ac:dyDescent="0.25">
      <c r="A280" s="14">
        <v>42530.730104166665</v>
      </c>
      <c r="B280" t="s">
        <v>161</v>
      </c>
      <c r="C280" t="s">
        <v>162</v>
      </c>
      <c r="D280">
        <v>1500000</v>
      </c>
      <c r="E280" t="s">
        <v>179</v>
      </c>
    </row>
    <row r="281" spans="1:5" x14ac:dyDescent="0.25">
      <c r="A281" s="14">
        <v>42530.181921296295</v>
      </c>
      <c r="B281" t="s">
        <v>181</v>
      </c>
      <c r="C281" t="s">
        <v>250</v>
      </c>
      <c r="D281">
        <v>1360000</v>
      </c>
      <c r="E281" t="s">
        <v>102</v>
      </c>
    </row>
    <row r="282" spans="1:5" x14ac:dyDescent="0.25">
      <c r="A282" s="14">
        <v>42530.759872685187</v>
      </c>
      <c r="B282" t="s">
        <v>95</v>
      </c>
      <c r="C282" t="s">
        <v>165</v>
      </c>
      <c r="D282">
        <v>1140000</v>
      </c>
      <c r="E282" t="s">
        <v>119</v>
      </c>
    </row>
    <row r="283" spans="1:5" x14ac:dyDescent="0.25">
      <c r="A283" s="14">
        <v>42530.153807870367</v>
      </c>
      <c r="B283" t="s">
        <v>131</v>
      </c>
      <c r="C283" t="s">
        <v>251</v>
      </c>
      <c r="D283">
        <v>1340000</v>
      </c>
      <c r="E283" t="s">
        <v>128</v>
      </c>
    </row>
    <row r="284" spans="1:5" x14ac:dyDescent="0.25">
      <c r="A284" s="14">
        <v>42530.860914351855</v>
      </c>
      <c r="B284" t="s">
        <v>181</v>
      </c>
      <c r="C284" t="s">
        <v>243</v>
      </c>
      <c r="D284">
        <v>1440000</v>
      </c>
      <c r="E284" t="s">
        <v>182</v>
      </c>
    </row>
    <row r="285" spans="1:5" x14ac:dyDescent="0.25">
      <c r="A285" s="14">
        <v>42530.597291666665</v>
      </c>
      <c r="B285" t="s">
        <v>78</v>
      </c>
      <c r="C285" t="s">
        <v>151</v>
      </c>
      <c r="D285">
        <v>1740000</v>
      </c>
      <c r="E285" t="s">
        <v>127</v>
      </c>
    </row>
    <row r="286" spans="1:5" x14ac:dyDescent="0.25">
      <c r="A286" s="14">
        <v>42530.744710648149</v>
      </c>
      <c r="B286" t="s">
        <v>105</v>
      </c>
      <c r="C286" t="s">
        <v>252</v>
      </c>
      <c r="D286">
        <v>1280000</v>
      </c>
      <c r="E286" t="s">
        <v>174</v>
      </c>
    </row>
    <row r="287" spans="1:5" x14ac:dyDescent="0.25">
      <c r="A287" s="14">
        <v>42530.562326388892</v>
      </c>
      <c r="B287" t="s">
        <v>153</v>
      </c>
      <c r="C287" t="s">
        <v>173</v>
      </c>
      <c r="D287">
        <v>1740000</v>
      </c>
      <c r="E287" t="s">
        <v>127</v>
      </c>
    </row>
    <row r="288" spans="1:5" x14ac:dyDescent="0.25">
      <c r="A288" s="14">
        <v>42530.747256944444</v>
      </c>
      <c r="B288" t="s">
        <v>137</v>
      </c>
      <c r="C288" t="s">
        <v>164</v>
      </c>
      <c r="D288">
        <v>1440000</v>
      </c>
      <c r="E288" t="s">
        <v>182</v>
      </c>
    </row>
    <row r="289" spans="1:5" x14ac:dyDescent="0.25">
      <c r="A289" s="14">
        <v>42530.372337962966</v>
      </c>
      <c r="B289" t="s">
        <v>113</v>
      </c>
      <c r="C289" t="s">
        <v>253</v>
      </c>
      <c r="D289">
        <v>1230000</v>
      </c>
      <c r="E289" t="s">
        <v>170</v>
      </c>
    </row>
    <row r="290" spans="1:5" x14ac:dyDescent="0.25">
      <c r="A290" s="14">
        <v>42530.797986111109</v>
      </c>
      <c r="B290" t="s">
        <v>135</v>
      </c>
      <c r="C290" t="s">
        <v>166</v>
      </c>
      <c r="D290">
        <v>1820000</v>
      </c>
      <c r="E290" t="s">
        <v>130</v>
      </c>
    </row>
    <row r="291" spans="1:5" x14ac:dyDescent="0.25">
      <c r="A291" s="14">
        <v>42530.574456018519</v>
      </c>
      <c r="B291" t="s">
        <v>155</v>
      </c>
      <c r="C291" t="s">
        <v>254</v>
      </c>
      <c r="D291">
        <v>900000</v>
      </c>
      <c r="E291" t="s">
        <v>172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42535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2016-07-19T20:07:38Z</dcterms:modified>
</cp:coreProperties>
</file>