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Enforcements!$A$6:$N$74</definedName>
    <definedName name="_xlnm._FilterDatabase" localSheetId="2" hidden="1">'Missing Trips'!$A$2:$G$2</definedName>
    <definedName name="_xlnm._FilterDatabase" localSheetId="0" hidden="1">'Train Runs'!$A$12:$AC$154</definedName>
    <definedName name="_xlnm._FilterDatabase" localSheetId="3" hidden="1">'Trips&amp;Operators'!$A$1:$E$211</definedName>
    <definedName name="Denver_Train_Runs_04122016" localSheetId="0">'Train Runs'!$A$12:$J$156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K108" i="1" l="1"/>
  <c r="L108" i="1"/>
  <c r="M108" i="1"/>
  <c r="P108" i="1" s="1"/>
  <c r="T108" i="1"/>
  <c r="V108" i="1"/>
  <c r="X108" i="1"/>
  <c r="Y108" i="1"/>
  <c r="Z108" i="1"/>
  <c r="AB108" i="1"/>
  <c r="AC108" i="1"/>
  <c r="K132" i="1"/>
  <c r="L132" i="1"/>
  <c r="M132" i="1"/>
  <c r="T132" i="1"/>
  <c r="V132" i="1"/>
  <c r="X132" i="1"/>
  <c r="Y132" i="1"/>
  <c r="Z132" i="1"/>
  <c r="AB132" i="1"/>
  <c r="AC132" i="1"/>
  <c r="X148" i="1"/>
  <c r="X149" i="1"/>
  <c r="X150" i="1"/>
  <c r="X151" i="1"/>
  <c r="X152" i="1"/>
  <c r="X153" i="1"/>
  <c r="X154" i="1"/>
  <c r="X155" i="1"/>
  <c r="X156" i="1"/>
  <c r="X157" i="1"/>
  <c r="X158" i="1"/>
  <c r="Q73" i="3"/>
  <c r="Q74" i="3"/>
  <c r="Q75" i="3"/>
  <c r="Q76" i="3"/>
  <c r="Q77" i="3"/>
  <c r="P78" i="3"/>
  <c r="Q78" i="3"/>
  <c r="P79" i="3"/>
  <c r="Q79" i="3"/>
  <c r="L12" i="3"/>
  <c r="L24" i="3"/>
  <c r="L26" i="3"/>
  <c r="L25" i="3"/>
  <c r="L77" i="3"/>
  <c r="X73" i="1"/>
  <c r="X74" i="1"/>
  <c r="X75" i="1"/>
  <c r="X76" i="1"/>
  <c r="X77" i="1"/>
  <c r="U61" i="1"/>
  <c r="U100" i="1"/>
  <c r="U144" i="1"/>
  <c r="AA132" i="1" l="1"/>
  <c r="W132" i="1" s="1"/>
  <c r="AA108" i="1"/>
  <c r="W108" i="1" s="1"/>
  <c r="U108" i="1"/>
  <c r="S108" i="1" s="1"/>
  <c r="U132" i="1"/>
  <c r="S132" i="1" s="1"/>
  <c r="T157" i="1"/>
  <c r="V157" i="1"/>
  <c r="P77" i="3" s="1"/>
  <c r="Y157" i="1"/>
  <c r="Z157" i="1"/>
  <c r="AB157" i="1"/>
  <c r="AC157" i="1"/>
  <c r="T158" i="1"/>
  <c r="V158" i="1"/>
  <c r="Y158" i="1"/>
  <c r="Z158" i="1"/>
  <c r="AB158" i="1"/>
  <c r="AC158" i="1"/>
  <c r="K157" i="1"/>
  <c r="L157" i="1"/>
  <c r="M157" i="1"/>
  <c r="N157" i="1" s="1"/>
  <c r="K158" i="1"/>
  <c r="L158" i="1"/>
  <c r="M158" i="1"/>
  <c r="N158" i="1" s="1"/>
  <c r="O6" i="1"/>
  <c r="N6" i="1"/>
  <c r="M6" i="1"/>
  <c r="J6" i="1"/>
  <c r="U157" i="1" l="1"/>
  <c r="S157" i="1" s="1"/>
  <c r="U158" i="1"/>
  <c r="S158" i="1" s="1"/>
  <c r="AA157" i="1"/>
  <c r="W157" i="1" s="1"/>
  <c r="AA158" i="1"/>
  <c r="W158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5" i="1"/>
  <c r="AC45" i="1"/>
  <c r="AB44" i="1"/>
  <c r="AC44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3" i="1"/>
  <c r="AC83" i="1"/>
  <c r="AB82" i="1"/>
  <c r="AC82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3" i="1"/>
  <c r="AC153" i="1"/>
  <c r="AB152" i="1"/>
  <c r="AC152" i="1"/>
  <c r="AB154" i="1"/>
  <c r="AC154" i="1"/>
  <c r="AB155" i="1"/>
  <c r="AC155" i="1"/>
  <c r="AB156" i="1"/>
  <c r="AC156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60" i="1" l="1"/>
  <c r="X60" i="1"/>
  <c r="Y60" i="1"/>
  <c r="Z60" i="1"/>
  <c r="V61" i="1"/>
  <c r="X61" i="1"/>
  <c r="S61" i="1"/>
  <c r="AA61" i="1"/>
  <c r="W61" i="1" s="1"/>
  <c r="V99" i="1"/>
  <c r="X99" i="1"/>
  <c r="Y99" i="1"/>
  <c r="Z99" i="1"/>
  <c r="V100" i="1"/>
  <c r="X100" i="1"/>
  <c r="AA100" i="1"/>
  <c r="W100" i="1" s="1"/>
  <c r="V101" i="1"/>
  <c r="X101" i="1"/>
  <c r="Y101" i="1"/>
  <c r="Z101" i="1"/>
  <c r="V144" i="1"/>
  <c r="X144" i="1"/>
  <c r="AA144" i="1"/>
  <c r="W144" i="1" s="1"/>
  <c r="V145" i="1"/>
  <c r="X145" i="1"/>
  <c r="Y145" i="1"/>
  <c r="U145" i="1" s="1"/>
  <c r="Z145" i="1"/>
  <c r="K100" i="1"/>
  <c r="L100" i="1"/>
  <c r="M100" i="1"/>
  <c r="K144" i="1"/>
  <c r="L144" i="1"/>
  <c r="M144" i="1"/>
  <c r="N144" i="1" s="1"/>
  <c r="K61" i="1"/>
  <c r="L61" i="1"/>
  <c r="M61" i="1"/>
  <c r="N61" i="1" s="1"/>
  <c r="S144" i="1"/>
  <c r="S100" i="1"/>
  <c r="T100" i="1"/>
  <c r="T144" i="1"/>
  <c r="T61" i="1"/>
  <c r="X115" i="1"/>
  <c r="X116" i="1"/>
  <c r="X117" i="1"/>
  <c r="X118" i="1"/>
  <c r="X82" i="1"/>
  <c r="X84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9" i="3"/>
  <c r="Q31" i="3"/>
  <c r="Q36" i="3"/>
  <c r="Q37" i="3"/>
  <c r="Q38" i="3"/>
  <c r="Q32" i="3"/>
  <c r="Q33" i="3"/>
  <c r="Q40" i="3"/>
  <c r="Q41" i="3"/>
  <c r="Q42" i="3"/>
  <c r="Q34" i="3"/>
  <c r="Q35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L37" i="3"/>
  <c r="L8" i="3"/>
  <c r="L47" i="3"/>
  <c r="L29" i="3"/>
  <c r="L76" i="3"/>
  <c r="L43" i="3"/>
  <c r="L58" i="3"/>
  <c r="L48" i="3"/>
  <c r="L35" i="3"/>
  <c r="L51" i="3"/>
  <c r="L30" i="3"/>
  <c r="L33" i="3"/>
  <c r="L65" i="3"/>
  <c r="L52" i="3"/>
  <c r="L63" i="3"/>
  <c r="L32" i="3"/>
  <c r="L14" i="3"/>
  <c r="L62" i="3"/>
  <c r="L40" i="3"/>
  <c r="L64" i="3"/>
  <c r="L17" i="3"/>
  <c r="L7" i="3"/>
  <c r="L34" i="3"/>
  <c r="L66" i="3"/>
  <c r="L19" i="3"/>
  <c r="L13" i="3"/>
  <c r="L67" i="3"/>
  <c r="L79" i="3"/>
  <c r="L18" i="3"/>
  <c r="L69" i="3"/>
  <c r="L68" i="3"/>
  <c r="L41" i="3"/>
  <c r="L71" i="3"/>
  <c r="L42" i="3"/>
  <c r="L59" i="3"/>
  <c r="L44" i="3"/>
  <c r="L20" i="3"/>
  <c r="L38" i="3"/>
  <c r="L54" i="3"/>
  <c r="L61" i="3"/>
  <c r="L27" i="3"/>
  <c r="L45" i="3"/>
  <c r="L28" i="3"/>
  <c r="L53" i="3"/>
  <c r="L9" i="3"/>
  <c r="L72" i="3"/>
  <c r="L55" i="3"/>
  <c r="L10" i="3"/>
  <c r="L46" i="3"/>
  <c r="L11" i="3"/>
  <c r="L39" i="3"/>
  <c r="L70" i="3"/>
  <c r="L78" i="3"/>
  <c r="L31" i="3"/>
  <c r="L22" i="3"/>
  <c r="L21" i="3"/>
  <c r="L57" i="3"/>
  <c r="L15" i="3"/>
  <c r="L23" i="3"/>
  <c r="L49" i="3"/>
  <c r="L60" i="3"/>
  <c r="L73" i="3"/>
  <c r="L75" i="3"/>
  <c r="L74" i="3"/>
  <c r="L50" i="3"/>
  <c r="L16" i="3"/>
  <c r="L56" i="3"/>
  <c r="E3" i="6"/>
  <c r="F3" i="6"/>
  <c r="G3" i="6"/>
  <c r="E4" i="6"/>
  <c r="F4" i="6"/>
  <c r="G4" i="6"/>
  <c r="Z156" i="1"/>
  <c r="Y156" i="1"/>
  <c r="U156" i="1" s="1"/>
  <c r="V156" i="1"/>
  <c r="T156" i="1"/>
  <c r="M156" i="1"/>
  <c r="N156" i="1" s="1"/>
  <c r="L156" i="1"/>
  <c r="K156" i="1"/>
  <c r="Z155" i="1"/>
  <c r="Y155" i="1"/>
  <c r="U155" i="1" s="1"/>
  <c r="V155" i="1"/>
  <c r="T155" i="1"/>
  <c r="M155" i="1"/>
  <c r="N155" i="1" s="1"/>
  <c r="L155" i="1"/>
  <c r="K155" i="1"/>
  <c r="Z154" i="1"/>
  <c r="Y154" i="1"/>
  <c r="V154" i="1"/>
  <c r="T154" i="1"/>
  <c r="M154" i="1"/>
  <c r="N154" i="1" s="1"/>
  <c r="L154" i="1"/>
  <c r="K154" i="1"/>
  <c r="Z152" i="1"/>
  <c r="Y152" i="1"/>
  <c r="U152" i="1" s="1"/>
  <c r="V152" i="1"/>
  <c r="T152" i="1"/>
  <c r="M152" i="1"/>
  <c r="L152" i="1"/>
  <c r="K152" i="1"/>
  <c r="Z153" i="1"/>
  <c r="Y153" i="1"/>
  <c r="V153" i="1"/>
  <c r="T153" i="1"/>
  <c r="M153" i="1"/>
  <c r="L153" i="1"/>
  <c r="K153" i="1"/>
  <c r="Z151" i="1"/>
  <c r="Y151" i="1"/>
  <c r="V151" i="1"/>
  <c r="T151" i="1"/>
  <c r="M151" i="1"/>
  <c r="N151" i="1" s="1"/>
  <c r="L151" i="1"/>
  <c r="K151" i="1"/>
  <c r="Z150" i="1"/>
  <c r="Y150" i="1"/>
  <c r="U150" i="1" s="1"/>
  <c r="V150" i="1"/>
  <c r="T150" i="1"/>
  <c r="M150" i="1"/>
  <c r="N150" i="1" s="1"/>
  <c r="L150" i="1"/>
  <c r="K150" i="1"/>
  <c r="Z149" i="1"/>
  <c r="Y149" i="1"/>
  <c r="V149" i="1"/>
  <c r="T149" i="1"/>
  <c r="M149" i="1"/>
  <c r="N149" i="1" s="1"/>
  <c r="L149" i="1"/>
  <c r="K149" i="1"/>
  <c r="Z148" i="1"/>
  <c r="Y148" i="1"/>
  <c r="V148" i="1"/>
  <c r="T148" i="1"/>
  <c r="M148" i="1"/>
  <c r="N148" i="1" s="1"/>
  <c r="L148" i="1"/>
  <c r="K148" i="1"/>
  <c r="Z147" i="1"/>
  <c r="Y147" i="1"/>
  <c r="X147" i="1"/>
  <c r="V147" i="1"/>
  <c r="T147" i="1"/>
  <c r="M147" i="1"/>
  <c r="N147" i="1" s="1"/>
  <c r="L147" i="1"/>
  <c r="K147" i="1"/>
  <c r="Z146" i="1"/>
  <c r="Y146" i="1"/>
  <c r="X146" i="1"/>
  <c r="V146" i="1"/>
  <c r="T146" i="1"/>
  <c r="M146" i="1"/>
  <c r="N146" i="1" s="1"/>
  <c r="L146" i="1"/>
  <c r="K146" i="1"/>
  <c r="T145" i="1"/>
  <c r="M145" i="1"/>
  <c r="N145" i="1" s="1"/>
  <c r="L145" i="1"/>
  <c r="K145" i="1"/>
  <c r="Z143" i="1"/>
  <c r="Y143" i="1"/>
  <c r="X143" i="1"/>
  <c r="V143" i="1"/>
  <c r="T143" i="1"/>
  <c r="M143" i="1"/>
  <c r="N143" i="1" s="1"/>
  <c r="L143" i="1"/>
  <c r="K143" i="1"/>
  <c r="Z142" i="1"/>
  <c r="Y142" i="1"/>
  <c r="X142" i="1"/>
  <c r="V142" i="1"/>
  <c r="T142" i="1"/>
  <c r="M142" i="1"/>
  <c r="N142" i="1" s="1"/>
  <c r="L142" i="1"/>
  <c r="K142" i="1"/>
  <c r="T15" i="1"/>
  <c r="U149" i="1" l="1"/>
  <c r="U142" i="1"/>
  <c r="U153" i="1"/>
  <c r="M2" i="3"/>
  <c r="M3" i="3" s="1"/>
  <c r="U99" i="1"/>
  <c r="U60" i="1"/>
  <c r="U143" i="1"/>
  <c r="S143" i="1" s="1"/>
  <c r="U101" i="1"/>
  <c r="U148" i="1"/>
  <c r="S148" i="1" s="1"/>
  <c r="U151" i="1"/>
  <c r="U154" i="1"/>
  <c r="U147" i="1"/>
  <c r="S147" i="1" s="1"/>
  <c r="U146" i="1"/>
  <c r="S146" i="1" s="1"/>
  <c r="AA60" i="1"/>
  <c r="W60" i="1" s="1"/>
  <c r="AA145" i="1"/>
  <c r="W145" i="1" s="1"/>
  <c r="AA101" i="1"/>
  <c r="W101" i="1" s="1"/>
  <c r="AA99" i="1"/>
  <c r="W99" i="1" s="1"/>
  <c r="AA143" i="1"/>
  <c r="W143" i="1" s="1"/>
  <c r="S151" i="1"/>
  <c r="S142" i="1"/>
  <c r="S155" i="1"/>
  <c r="S150" i="1"/>
  <c r="S149" i="1"/>
  <c r="S154" i="1"/>
  <c r="AA153" i="1"/>
  <c r="W153" i="1" s="1"/>
  <c r="AA156" i="1"/>
  <c r="W156" i="1" s="1"/>
  <c r="AA154" i="1"/>
  <c r="W154" i="1" s="1"/>
  <c r="S156" i="1"/>
  <c r="S145" i="1"/>
  <c r="AA146" i="1"/>
  <c r="W146" i="1" s="1"/>
  <c r="AA149" i="1"/>
  <c r="W149" i="1" s="1"/>
  <c r="AA147" i="1"/>
  <c r="W147" i="1" s="1"/>
  <c r="AA152" i="1"/>
  <c r="W152" i="1" s="1"/>
  <c r="AA150" i="1"/>
  <c r="W150" i="1" s="1"/>
  <c r="AA142" i="1"/>
  <c r="W142" i="1" s="1"/>
  <c r="AA151" i="1"/>
  <c r="W151" i="1" s="1"/>
  <c r="AA148" i="1"/>
  <c r="W148" i="1" s="1"/>
  <c r="AA155" i="1"/>
  <c r="W155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5" i="1"/>
  <c r="T37" i="1"/>
  <c r="T38" i="1"/>
  <c r="T39" i="1"/>
  <c r="T40" i="1"/>
  <c r="T41" i="1"/>
  <c r="T42" i="1"/>
  <c r="T43" i="1"/>
  <c r="T45" i="1"/>
  <c r="T44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3" i="1"/>
  <c r="T82" i="1"/>
  <c r="T84" i="1"/>
  <c r="T85" i="1"/>
  <c r="T87" i="1"/>
  <c r="T86" i="1"/>
  <c r="T88" i="1"/>
  <c r="T89" i="1"/>
  <c r="T90" i="1"/>
  <c r="T92" i="1"/>
  <c r="T91" i="1"/>
  <c r="T93" i="1"/>
  <c r="T94" i="1"/>
  <c r="T95" i="1"/>
  <c r="T96" i="1"/>
  <c r="T97" i="1"/>
  <c r="T99" i="1"/>
  <c r="T98" i="1"/>
  <c r="T101" i="1"/>
  <c r="T102" i="1"/>
  <c r="T103" i="1"/>
  <c r="T104" i="1"/>
  <c r="T105" i="1"/>
  <c r="T106" i="1"/>
  <c r="T107" i="1"/>
  <c r="T109" i="1"/>
  <c r="T110" i="1"/>
  <c r="T111" i="1"/>
  <c r="T112" i="1"/>
  <c r="T113" i="1"/>
  <c r="T114" i="1"/>
  <c r="T115" i="1"/>
  <c r="T117" i="1"/>
  <c r="T116" i="1"/>
  <c r="T118" i="1"/>
  <c r="T119" i="1"/>
  <c r="T120" i="1"/>
  <c r="T121" i="1"/>
  <c r="T122" i="1"/>
  <c r="T123" i="1"/>
  <c r="T124" i="1"/>
  <c r="T125" i="1"/>
  <c r="T126" i="1"/>
  <c r="T127" i="1"/>
  <c r="T129" i="1"/>
  <c r="T128" i="1"/>
  <c r="T130" i="1"/>
  <c r="T131" i="1"/>
  <c r="T133" i="1"/>
  <c r="T134" i="1"/>
  <c r="T135" i="1"/>
  <c r="T136" i="1"/>
  <c r="T137" i="1"/>
  <c r="T138" i="1"/>
  <c r="T139" i="1"/>
  <c r="T140" i="1"/>
  <c r="T141" i="1"/>
  <c r="T13" i="1"/>
  <c r="X127" i="1" l="1"/>
  <c r="X129" i="1"/>
  <c r="X128" i="1"/>
  <c r="X126" i="1"/>
  <c r="M42" i="1"/>
  <c r="N42" i="1" s="1"/>
  <c r="M70" i="1"/>
  <c r="N70" i="1" s="1"/>
  <c r="L42" i="1"/>
  <c r="L70" i="1"/>
  <c r="K70" i="1"/>
  <c r="K42" i="1"/>
  <c r="L36" i="3"/>
  <c r="K134" i="1"/>
  <c r="L134" i="1"/>
  <c r="M134" i="1"/>
  <c r="N134" i="1" s="1"/>
  <c r="V131" i="1"/>
  <c r="X131" i="1"/>
  <c r="Y131" i="1"/>
  <c r="Z131" i="1"/>
  <c r="K135" i="1"/>
  <c r="L135" i="1"/>
  <c r="M135" i="1"/>
  <c r="N135" i="1" s="1"/>
  <c r="V133" i="1"/>
  <c r="X133" i="1"/>
  <c r="Y133" i="1"/>
  <c r="U133" i="1" s="1"/>
  <c r="Z133" i="1"/>
  <c r="K136" i="1"/>
  <c r="L136" i="1"/>
  <c r="M136" i="1"/>
  <c r="N136" i="1" s="1"/>
  <c r="V134" i="1"/>
  <c r="X134" i="1"/>
  <c r="Y134" i="1"/>
  <c r="Z134" i="1"/>
  <c r="K137" i="1"/>
  <c r="L137" i="1"/>
  <c r="M137" i="1"/>
  <c r="N137" i="1" s="1"/>
  <c r="V135" i="1"/>
  <c r="X135" i="1"/>
  <c r="Y135" i="1"/>
  <c r="Z135" i="1"/>
  <c r="K138" i="1"/>
  <c r="L138" i="1"/>
  <c r="M138" i="1"/>
  <c r="N138" i="1" s="1"/>
  <c r="V136" i="1"/>
  <c r="X136" i="1"/>
  <c r="Y136" i="1"/>
  <c r="Z136" i="1"/>
  <c r="K139" i="1"/>
  <c r="L139" i="1"/>
  <c r="M139" i="1"/>
  <c r="N139" i="1" s="1"/>
  <c r="V137" i="1"/>
  <c r="P74" i="3" s="1"/>
  <c r="X137" i="1"/>
  <c r="Y137" i="1"/>
  <c r="Z137" i="1"/>
  <c r="K140" i="1"/>
  <c r="L140" i="1"/>
  <c r="M140" i="1"/>
  <c r="N140" i="1" s="1"/>
  <c r="V138" i="1"/>
  <c r="X138" i="1"/>
  <c r="Y138" i="1"/>
  <c r="Z138" i="1"/>
  <c r="K141" i="1"/>
  <c r="L141" i="1"/>
  <c r="M141" i="1"/>
  <c r="N141" i="1" s="1"/>
  <c r="V139" i="1"/>
  <c r="X139" i="1"/>
  <c r="Y139" i="1"/>
  <c r="Z139" i="1"/>
  <c r="V140" i="1"/>
  <c r="P76" i="3" s="1"/>
  <c r="X140" i="1"/>
  <c r="Y140" i="1"/>
  <c r="Z140" i="1"/>
  <c r="V141" i="1"/>
  <c r="X141" i="1"/>
  <c r="Y141" i="1"/>
  <c r="Z141" i="1"/>
  <c r="P73" i="3" l="1"/>
  <c r="P75" i="3"/>
  <c r="U136" i="1"/>
  <c r="S136" i="1" s="1"/>
  <c r="U140" i="1"/>
  <c r="S140" i="1" s="1"/>
  <c r="U131" i="1"/>
  <c r="S131" i="1" s="1"/>
  <c r="U134" i="1"/>
  <c r="S134" i="1" s="1"/>
  <c r="U137" i="1"/>
  <c r="S137" i="1" s="1"/>
  <c r="U138" i="1"/>
  <c r="S138" i="1" s="1"/>
  <c r="U139" i="1"/>
  <c r="S139" i="1" s="1"/>
  <c r="U135" i="1"/>
  <c r="S135" i="1" s="1"/>
  <c r="U141" i="1"/>
  <c r="S141" i="1" s="1"/>
  <c r="S133" i="1"/>
  <c r="AA135" i="1"/>
  <c r="W135" i="1" s="1"/>
  <c r="AA136" i="1"/>
  <c r="W136" i="1" s="1"/>
  <c r="AA131" i="1"/>
  <c r="W131" i="1" s="1"/>
  <c r="AA138" i="1"/>
  <c r="W138" i="1" s="1"/>
  <c r="AA137" i="1"/>
  <c r="W137" i="1" s="1"/>
  <c r="AA133" i="1"/>
  <c r="W133" i="1" s="1"/>
  <c r="AA139" i="1"/>
  <c r="W139" i="1" s="1"/>
  <c r="AA141" i="1"/>
  <c r="W141" i="1" s="1"/>
  <c r="AA134" i="1"/>
  <c r="W134" i="1" s="1"/>
  <c r="AA140" i="1"/>
  <c r="W140" i="1" s="1"/>
  <c r="X63" i="1" l="1"/>
  <c r="X64" i="1"/>
  <c r="X65" i="1"/>
  <c r="X66" i="1"/>
  <c r="X67" i="1"/>
  <c r="X68" i="1"/>
  <c r="V15" i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Z25" i="1"/>
  <c r="V26" i="1"/>
  <c r="X26" i="1"/>
  <c r="Y26" i="1"/>
  <c r="Z26" i="1"/>
  <c r="V27" i="1"/>
  <c r="X27" i="1"/>
  <c r="Y27" i="1"/>
  <c r="Z27" i="1"/>
  <c r="V28" i="1"/>
  <c r="X28" i="1"/>
  <c r="Y28" i="1"/>
  <c r="Z28" i="1"/>
  <c r="V29" i="1"/>
  <c r="X29" i="1"/>
  <c r="Y29" i="1"/>
  <c r="Z29" i="1"/>
  <c r="V30" i="1"/>
  <c r="X30" i="1"/>
  <c r="Y30" i="1"/>
  <c r="U30" i="1" s="1"/>
  <c r="Z30" i="1"/>
  <c r="V31" i="1"/>
  <c r="X31" i="1"/>
  <c r="Y31" i="1"/>
  <c r="Z31" i="1"/>
  <c r="V32" i="1"/>
  <c r="X32" i="1"/>
  <c r="Y32" i="1"/>
  <c r="Z32" i="1"/>
  <c r="V33" i="1"/>
  <c r="X33" i="1"/>
  <c r="Y33" i="1"/>
  <c r="Z33" i="1"/>
  <c r="V34" i="1"/>
  <c r="X34" i="1"/>
  <c r="Y34" i="1"/>
  <c r="Z34" i="1"/>
  <c r="V36" i="1"/>
  <c r="X36" i="1"/>
  <c r="Y36" i="1"/>
  <c r="Z36" i="1"/>
  <c r="V35" i="1"/>
  <c r="X35" i="1"/>
  <c r="Y35" i="1"/>
  <c r="Z35" i="1"/>
  <c r="V37" i="1"/>
  <c r="X37" i="1"/>
  <c r="Y37" i="1"/>
  <c r="Z37" i="1"/>
  <c r="V38" i="1"/>
  <c r="X38" i="1"/>
  <c r="Y38" i="1"/>
  <c r="Z38" i="1"/>
  <c r="V39" i="1"/>
  <c r="X39" i="1"/>
  <c r="Y39" i="1"/>
  <c r="Z39" i="1"/>
  <c r="V40" i="1"/>
  <c r="X40" i="1"/>
  <c r="Y40" i="1"/>
  <c r="Z40" i="1"/>
  <c r="V41" i="1"/>
  <c r="X41" i="1"/>
  <c r="Y41" i="1"/>
  <c r="Z41" i="1"/>
  <c r="V42" i="1"/>
  <c r="X42" i="1"/>
  <c r="Y42" i="1"/>
  <c r="Z42" i="1"/>
  <c r="V43" i="1"/>
  <c r="X43" i="1"/>
  <c r="Y43" i="1"/>
  <c r="Z43" i="1"/>
  <c r="V45" i="1"/>
  <c r="X45" i="1"/>
  <c r="Y45" i="1"/>
  <c r="Z45" i="1"/>
  <c r="V44" i="1"/>
  <c r="X44" i="1"/>
  <c r="Y44" i="1"/>
  <c r="Z44" i="1"/>
  <c r="V46" i="1"/>
  <c r="X46" i="1"/>
  <c r="Y46" i="1"/>
  <c r="Z46" i="1"/>
  <c r="V47" i="1"/>
  <c r="P25" i="3" s="1"/>
  <c r="X47" i="1"/>
  <c r="Y47" i="1"/>
  <c r="Z47" i="1"/>
  <c r="V48" i="1"/>
  <c r="X48" i="1"/>
  <c r="Y48" i="1"/>
  <c r="V49" i="1"/>
  <c r="X49" i="1"/>
  <c r="Y49" i="1"/>
  <c r="Z49" i="1"/>
  <c r="V50" i="1"/>
  <c r="X50" i="1"/>
  <c r="Y50" i="1"/>
  <c r="Z50" i="1"/>
  <c r="V51" i="1"/>
  <c r="X51" i="1"/>
  <c r="Y51" i="1"/>
  <c r="Z51" i="1"/>
  <c r="V52" i="1"/>
  <c r="X52" i="1"/>
  <c r="Y52" i="1"/>
  <c r="Z52" i="1"/>
  <c r="V53" i="1"/>
  <c r="X53" i="1"/>
  <c r="Y53" i="1"/>
  <c r="Z53" i="1"/>
  <c r="V54" i="1"/>
  <c r="X54" i="1"/>
  <c r="Y54" i="1"/>
  <c r="Z54" i="1"/>
  <c r="V55" i="1"/>
  <c r="X55" i="1"/>
  <c r="Y55" i="1"/>
  <c r="Z55" i="1"/>
  <c r="V56" i="1"/>
  <c r="X56" i="1"/>
  <c r="Y56" i="1"/>
  <c r="Z56" i="1"/>
  <c r="V57" i="1"/>
  <c r="X57" i="1"/>
  <c r="Y57" i="1"/>
  <c r="Z57" i="1"/>
  <c r="V58" i="1"/>
  <c r="X58" i="1"/>
  <c r="Y58" i="1"/>
  <c r="Z58" i="1"/>
  <c r="V59" i="1"/>
  <c r="X59" i="1"/>
  <c r="Y59" i="1"/>
  <c r="Z59" i="1"/>
  <c r="S60" i="1"/>
  <c r="V62" i="1"/>
  <c r="X62" i="1"/>
  <c r="Y62" i="1"/>
  <c r="Z62" i="1"/>
  <c r="V63" i="1"/>
  <c r="Y63" i="1"/>
  <c r="Z63" i="1"/>
  <c r="V64" i="1"/>
  <c r="Y64" i="1"/>
  <c r="U64" i="1" s="1"/>
  <c r="Z64" i="1"/>
  <c r="V65" i="1"/>
  <c r="Y65" i="1"/>
  <c r="Z65" i="1"/>
  <c r="V66" i="1"/>
  <c r="Y66" i="1"/>
  <c r="Z66" i="1"/>
  <c r="V67" i="1"/>
  <c r="Y67" i="1"/>
  <c r="Z67" i="1"/>
  <c r="V68" i="1"/>
  <c r="Y68" i="1"/>
  <c r="Z68" i="1"/>
  <c r="V69" i="1"/>
  <c r="X69" i="1"/>
  <c r="Y69" i="1"/>
  <c r="Z69" i="1"/>
  <c r="V70" i="1"/>
  <c r="X70" i="1"/>
  <c r="Y70" i="1"/>
  <c r="Z70" i="1"/>
  <c r="V71" i="1"/>
  <c r="X71" i="1"/>
  <c r="Y71" i="1"/>
  <c r="U71" i="1" s="1"/>
  <c r="Z71" i="1"/>
  <c r="V72" i="1"/>
  <c r="X72" i="1"/>
  <c r="Y72" i="1"/>
  <c r="Z72" i="1"/>
  <c r="V73" i="1"/>
  <c r="Y73" i="1"/>
  <c r="Z73" i="1"/>
  <c r="V74" i="1"/>
  <c r="Y74" i="1"/>
  <c r="Z74" i="1"/>
  <c r="V75" i="1"/>
  <c r="Y75" i="1"/>
  <c r="Z75" i="1"/>
  <c r="V76" i="1"/>
  <c r="Y76" i="1"/>
  <c r="Z76" i="1"/>
  <c r="V77" i="1"/>
  <c r="Y77" i="1"/>
  <c r="Z77" i="1"/>
  <c r="V78" i="1"/>
  <c r="X78" i="1"/>
  <c r="Y78" i="1"/>
  <c r="Z78" i="1"/>
  <c r="V79" i="1"/>
  <c r="X79" i="1"/>
  <c r="Y79" i="1"/>
  <c r="Z79" i="1"/>
  <c r="V80" i="1"/>
  <c r="X80" i="1"/>
  <c r="Y80" i="1"/>
  <c r="Z80" i="1"/>
  <c r="V81" i="1"/>
  <c r="X81" i="1"/>
  <c r="Y81" i="1"/>
  <c r="Z81" i="1"/>
  <c r="V83" i="1"/>
  <c r="X83" i="1"/>
  <c r="Y83" i="1"/>
  <c r="Z83" i="1"/>
  <c r="V82" i="1"/>
  <c r="Y82" i="1"/>
  <c r="Z82" i="1"/>
  <c r="V84" i="1"/>
  <c r="Y84" i="1"/>
  <c r="Z84" i="1"/>
  <c r="V85" i="1"/>
  <c r="X85" i="1"/>
  <c r="Y85" i="1"/>
  <c r="Z85" i="1"/>
  <c r="V87" i="1"/>
  <c r="X87" i="1"/>
  <c r="Y87" i="1"/>
  <c r="Z87" i="1"/>
  <c r="V86" i="1"/>
  <c r="X86" i="1"/>
  <c r="Y86" i="1"/>
  <c r="Z86" i="1"/>
  <c r="V88" i="1"/>
  <c r="X88" i="1"/>
  <c r="Y88" i="1"/>
  <c r="Z88" i="1"/>
  <c r="V89" i="1"/>
  <c r="X89" i="1"/>
  <c r="Y89" i="1"/>
  <c r="Z89" i="1"/>
  <c r="V90" i="1"/>
  <c r="X90" i="1"/>
  <c r="Y90" i="1"/>
  <c r="Z90" i="1"/>
  <c r="V92" i="1"/>
  <c r="X92" i="1"/>
  <c r="Y92" i="1"/>
  <c r="Z92" i="1"/>
  <c r="V91" i="1"/>
  <c r="X91" i="1"/>
  <c r="Y91" i="1"/>
  <c r="Z91" i="1"/>
  <c r="V93" i="1"/>
  <c r="X93" i="1"/>
  <c r="Y93" i="1"/>
  <c r="Z93" i="1"/>
  <c r="V94" i="1"/>
  <c r="X94" i="1"/>
  <c r="Y94" i="1"/>
  <c r="Z94" i="1"/>
  <c r="V95" i="1"/>
  <c r="X95" i="1"/>
  <c r="Y95" i="1"/>
  <c r="Z95" i="1"/>
  <c r="V96" i="1"/>
  <c r="X96" i="1"/>
  <c r="Y96" i="1"/>
  <c r="Z96" i="1"/>
  <c r="V97" i="1"/>
  <c r="X97" i="1"/>
  <c r="Y97" i="1"/>
  <c r="Z97" i="1"/>
  <c r="V98" i="1"/>
  <c r="X98" i="1"/>
  <c r="Y98" i="1"/>
  <c r="Z98" i="1"/>
  <c r="V102" i="1"/>
  <c r="X102" i="1"/>
  <c r="Y102" i="1"/>
  <c r="Z102" i="1"/>
  <c r="V103" i="1"/>
  <c r="X103" i="1"/>
  <c r="Y103" i="1"/>
  <c r="Z103" i="1"/>
  <c r="V104" i="1"/>
  <c r="X104" i="1"/>
  <c r="Y104" i="1"/>
  <c r="Z104" i="1"/>
  <c r="V105" i="1"/>
  <c r="X105" i="1"/>
  <c r="Y105" i="1"/>
  <c r="Z105" i="1"/>
  <c r="V106" i="1"/>
  <c r="X106" i="1"/>
  <c r="Y106" i="1"/>
  <c r="Z106" i="1"/>
  <c r="V107" i="1"/>
  <c r="X107" i="1"/>
  <c r="Y107" i="1"/>
  <c r="Z107" i="1"/>
  <c r="V109" i="1"/>
  <c r="X109" i="1"/>
  <c r="Y109" i="1"/>
  <c r="Z109" i="1"/>
  <c r="V110" i="1"/>
  <c r="X110" i="1"/>
  <c r="Y110" i="1"/>
  <c r="Z110" i="1"/>
  <c r="V111" i="1"/>
  <c r="X111" i="1"/>
  <c r="Y111" i="1"/>
  <c r="Z111" i="1"/>
  <c r="V112" i="1"/>
  <c r="X112" i="1"/>
  <c r="Y112" i="1"/>
  <c r="Z112" i="1"/>
  <c r="V113" i="1"/>
  <c r="X113" i="1"/>
  <c r="Y113" i="1"/>
  <c r="Z113" i="1"/>
  <c r="V114" i="1"/>
  <c r="X114" i="1"/>
  <c r="Y114" i="1"/>
  <c r="Z114" i="1"/>
  <c r="V115" i="1"/>
  <c r="Y115" i="1"/>
  <c r="Z115" i="1"/>
  <c r="V117" i="1"/>
  <c r="Y117" i="1"/>
  <c r="Z117" i="1"/>
  <c r="V116" i="1"/>
  <c r="Y116" i="1"/>
  <c r="Z116" i="1"/>
  <c r="V118" i="1"/>
  <c r="Y118" i="1"/>
  <c r="Z118" i="1"/>
  <c r="V119" i="1"/>
  <c r="X119" i="1"/>
  <c r="Y119" i="1"/>
  <c r="Z119" i="1"/>
  <c r="V120" i="1"/>
  <c r="X120" i="1"/>
  <c r="Y120" i="1"/>
  <c r="Z120" i="1"/>
  <c r="V121" i="1"/>
  <c r="P70" i="3" s="1"/>
  <c r="X121" i="1"/>
  <c r="Y121" i="1"/>
  <c r="Z121" i="1"/>
  <c r="V122" i="1"/>
  <c r="P71" i="3" s="1"/>
  <c r="X122" i="1"/>
  <c r="Y122" i="1"/>
  <c r="Z122" i="1"/>
  <c r="V123" i="1"/>
  <c r="X123" i="1"/>
  <c r="Y123" i="1"/>
  <c r="Z123" i="1"/>
  <c r="V124" i="1"/>
  <c r="P72" i="3" s="1"/>
  <c r="X124" i="1"/>
  <c r="Y124" i="1"/>
  <c r="Z124" i="1"/>
  <c r="V125" i="1"/>
  <c r="X125" i="1"/>
  <c r="Y125" i="1"/>
  <c r="Z125" i="1"/>
  <c r="V126" i="1"/>
  <c r="Y126" i="1"/>
  <c r="Z126" i="1"/>
  <c r="V127" i="1"/>
  <c r="Y127" i="1"/>
  <c r="Z127" i="1"/>
  <c r="V129" i="1"/>
  <c r="Y129" i="1"/>
  <c r="Z129" i="1"/>
  <c r="V128" i="1"/>
  <c r="Y128" i="1"/>
  <c r="Z128" i="1"/>
  <c r="V130" i="1"/>
  <c r="X130" i="1"/>
  <c r="Y130" i="1"/>
  <c r="Z130" i="1"/>
  <c r="K65" i="1"/>
  <c r="L65" i="1"/>
  <c r="M65" i="1"/>
  <c r="N65" i="1" s="1"/>
  <c r="K120" i="1"/>
  <c r="L120" i="1"/>
  <c r="M120" i="1"/>
  <c r="N120" i="1" s="1"/>
  <c r="P55" i="3" l="1"/>
  <c r="U24" i="1"/>
  <c r="U45" i="1"/>
  <c r="U38" i="1"/>
  <c r="U32" i="1"/>
  <c r="U26" i="1"/>
  <c r="U20" i="1"/>
  <c r="P61" i="3"/>
  <c r="P40" i="3"/>
  <c r="P30" i="3"/>
  <c r="U63" i="1"/>
  <c r="S63" i="1" s="1"/>
  <c r="U66" i="1"/>
  <c r="S66" i="1" s="1"/>
  <c r="U44" i="1"/>
  <c r="U39" i="1"/>
  <c r="S39" i="1" s="1"/>
  <c r="U33" i="1"/>
  <c r="S33" i="1" s="1"/>
  <c r="U27" i="1"/>
  <c r="S27" i="1" s="1"/>
  <c r="U21" i="1"/>
  <c r="S21" i="1" s="1"/>
  <c r="U83" i="1"/>
  <c r="U82" i="1"/>
  <c r="S82" i="1" s="1"/>
  <c r="U18" i="1"/>
  <c r="S18" i="1" s="1"/>
  <c r="U67" i="1"/>
  <c r="S67" i="1" s="1"/>
  <c r="U129" i="1"/>
  <c r="S129" i="1" s="1"/>
  <c r="U121" i="1"/>
  <c r="S121" i="1" s="1"/>
  <c r="U114" i="1"/>
  <c r="S114" i="1" s="1"/>
  <c r="U107" i="1"/>
  <c r="S107" i="1" s="1"/>
  <c r="U98" i="1"/>
  <c r="S98" i="1" s="1"/>
  <c r="U91" i="1"/>
  <c r="U87" i="1"/>
  <c r="U41" i="1"/>
  <c r="S41" i="1" s="1"/>
  <c r="U106" i="1"/>
  <c r="S106" i="1" s="1"/>
  <c r="U65" i="1"/>
  <c r="S65" i="1" s="1"/>
  <c r="U128" i="1"/>
  <c r="S128" i="1" s="1"/>
  <c r="U113" i="1"/>
  <c r="S113" i="1" s="1"/>
  <c r="U85" i="1"/>
  <c r="S85" i="1" s="1"/>
  <c r="U126" i="1"/>
  <c r="S126" i="1" s="1"/>
  <c r="U15" i="1"/>
  <c r="S15" i="1" s="1"/>
  <c r="U78" i="1"/>
  <c r="S78" i="1" s="1"/>
  <c r="U56" i="1"/>
  <c r="S56" i="1" s="1"/>
  <c r="U50" i="1"/>
  <c r="S50" i="1" s="1"/>
  <c r="U94" i="1"/>
  <c r="S94" i="1" s="1"/>
  <c r="U40" i="1"/>
  <c r="S40" i="1" s="1"/>
  <c r="U22" i="1"/>
  <c r="S22" i="1" s="1"/>
  <c r="U80" i="1"/>
  <c r="S80" i="1" s="1"/>
  <c r="U73" i="1"/>
  <c r="S73" i="1" s="1"/>
  <c r="U127" i="1"/>
  <c r="U112" i="1"/>
  <c r="S112" i="1" s="1"/>
  <c r="U84" i="1"/>
  <c r="S84" i="1" s="1"/>
  <c r="U103" i="1"/>
  <c r="S103" i="1" s="1"/>
  <c r="U47" i="1"/>
  <c r="S47" i="1" s="1"/>
  <c r="U122" i="1"/>
  <c r="S122" i="1" s="1"/>
  <c r="U109" i="1"/>
  <c r="U102" i="1"/>
  <c r="U93" i="1"/>
  <c r="S93" i="1" s="1"/>
  <c r="U86" i="1"/>
  <c r="S86" i="1" s="1"/>
  <c r="U74" i="1"/>
  <c r="S74" i="1" s="1"/>
  <c r="U58" i="1"/>
  <c r="S58" i="1" s="1"/>
  <c r="U57" i="1"/>
  <c r="S57" i="1" s="1"/>
  <c r="U120" i="1"/>
  <c r="S120" i="1" s="1"/>
  <c r="U92" i="1"/>
  <c r="S92" i="1" s="1"/>
  <c r="U125" i="1"/>
  <c r="S125" i="1" s="1"/>
  <c r="U105" i="1"/>
  <c r="S105" i="1" s="1"/>
  <c r="U90" i="1"/>
  <c r="S90" i="1" s="1"/>
  <c r="U43" i="1"/>
  <c r="S43" i="1" s="1"/>
  <c r="U37" i="1"/>
  <c r="U31" i="1"/>
  <c r="S31" i="1" s="1"/>
  <c r="U25" i="1"/>
  <c r="S25" i="1" s="1"/>
  <c r="U19" i="1"/>
  <c r="S19" i="1" s="1"/>
  <c r="U54" i="1"/>
  <c r="S54" i="1" s="1"/>
  <c r="U116" i="1"/>
  <c r="S116" i="1" s="1"/>
  <c r="U75" i="1"/>
  <c r="S75" i="1" s="1"/>
  <c r="U36" i="1"/>
  <c r="S36" i="1" s="1"/>
  <c r="U23" i="1"/>
  <c r="S23" i="1" s="1"/>
  <c r="U17" i="1"/>
  <c r="S17" i="1" s="1"/>
  <c r="U52" i="1"/>
  <c r="S52" i="1" s="1"/>
  <c r="U77" i="1"/>
  <c r="S77" i="1" s="1"/>
  <c r="U55" i="1"/>
  <c r="U49" i="1"/>
  <c r="S49" i="1" s="1"/>
  <c r="U69" i="1"/>
  <c r="S69" i="1" s="1"/>
  <c r="U81" i="1"/>
  <c r="S81" i="1" s="1"/>
  <c r="U53" i="1"/>
  <c r="S53" i="1" s="1"/>
  <c r="U68" i="1"/>
  <c r="S68" i="1" s="1"/>
  <c r="U34" i="1"/>
  <c r="S34" i="1" s="1"/>
  <c r="U28" i="1"/>
  <c r="S28" i="1" s="1"/>
  <c r="U16" i="1"/>
  <c r="S16" i="1" s="1"/>
  <c r="U70" i="1"/>
  <c r="S70" i="1" s="1"/>
  <c r="U130" i="1"/>
  <c r="S130" i="1" s="1"/>
  <c r="U110" i="1"/>
  <c r="S110" i="1" s="1"/>
  <c r="U29" i="1"/>
  <c r="S29" i="1" s="1"/>
  <c r="U59" i="1"/>
  <c r="S59" i="1" s="1"/>
  <c r="U115" i="1"/>
  <c r="S115" i="1" s="1"/>
  <c r="U46" i="1"/>
  <c r="S46" i="1" s="1"/>
  <c r="U79" i="1"/>
  <c r="S79" i="1" s="1"/>
  <c r="U51" i="1"/>
  <c r="S51" i="1" s="1"/>
  <c r="U97" i="1"/>
  <c r="U119" i="1"/>
  <c r="S119" i="1" s="1"/>
  <c r="U96" i="1"/>
  <c r="S96" i="1" s="1"/>
  <c r="U118" i="1"/>
  <c r="S118" i="1" s="1"/>
  <c r="U104" i="1"/>
  <c r="S104" i="1" s="1"/>
  <c r="U95" i="1"/>
  <c r="U89" i="1"/>
  <c r="S89" i="1" s="1"/>
  <c r="U123" i="1"/>
  <c r="S123" i="1" s="1"/>
  <c r="U88" i="1"/>
  <c r="S88" i="1" s="1"/>
  <c r="U117" i="1"/>
  <c r="S117" i="1" s="1"/>
  <c r="U72" i="1"/>
  <c r="S72" i="1" s="1"/>
  <c r="U124" i="1"/>
  <c r="S124" i="1" s="1"/>
  <c r="U111" i="1"/>
  <c r="S111" i="1" s="1"/>
  <c r="U76" i="1"/>
  <c r="S76" i="1" s="1"/>
  <c r="U62" i="1"/>
  <c r="S62" i="1" s="1"/>
  <c r="U48" i="1"/>
  <c r="S48" i="1" s="1"/>
  <c r="U42" i="1"/>
  <c r="S42" i="1" s="1"/>
  <c r="U35" i="1"/>
  <c r="S35" i="1" s="1"/>
  <c r="P37" i="3"/>
  <c r="P14" i="3"/>
  <c r="P29" i="3"/>
  <c r="P58" i="3"/>
  <c r="P60" i="3"/>
  <c r="S30" i="1"/>
  <c r="P50" i="3"/>
  <c r="P56" i="3"/>
  <c r="S127" i="1"/>
  <c r="P17" i="3"/>
  <c r="P18" i="3"/>
  <c r="P68" i="3"/>
  <c r="P67" i="3"/>
  <c r="P44" i="3"/>
  <c r="P33" i="3"/>
  <c r="P38" i="3"/>
  <c r="P21" i="3"/>
  <c r="P64" i="3"/>
  <c r="P51" i="3"/>
  <c r="P10" i="3"/>
  <c r="P34" i="3"/>
  <c r="P65" i="3"/>
  <c r="P69" i="3"/>
  <c r="P28" i="3"/>
  <c r="P57" i="3"/>
  <c r="P27" i="3"/>
  <c r="P45" i="3"/>
  <c r="P59" i="3"/>
  <c r="P66" i="3"/>
  <c r="P22" i="3"/>
  <c r="P49" i="3"/>
  <c r="P42" i="3"/>
  <c r="P62" i="3"/>
  <c r="P63" i="3"/>
  <c r="P19" i="3"/>
  <c r="P20" i="3"/>
  <c r="P9" i="3"/>
  <c r="P53" i="3"/>
  <c r="P54" i="3"/>
  <c r="P52" i="3"/>
  <c r="P26" i="3"/>
  <c r="P31" i="3"/>
  <c r="P36" i="3"/>
  <c r="P39" i="3"/>
  <c r="P24" i="3"/>
  <c r="P23" i="3"/>
  <c r="P48" i="3"/>
  <c r="P47" i="3"/>
  <c r="P46" i="3"/>
  <c r="P16" i="3"/>
  <c r="P15" i="3"/>
  <c r="P12" i="3"/>
  <c r="P13" i="3"/>
  <c r="P43" i="3"/>
  <c r="P35" i="3"/>
  <c r="S55" i="1"/>
  <c r="S24" i="1"/>
  <c r="P7" i="3"/>
  <c r="U14" i="1"/>
  <c r="S14" i="1" s="1"/>
  <c r="S102" i="1"/>
  <c r="S91" i="1"/>
  <c r="S64" i="1"/>
  <c r="S20" i="1"/>
  <c r="S32" i="1"/>
  <c r="S26" i="1"/>
  <c r="S109" i="1"/>
  <c r="S99" i="1"/>
  <c r="S87" i="1"/>
  <c r="S71" i="1"/>
  <c r="S95" i="1"/>
  <c r="S101" i="1"/>
  <c r="P8" i="3"/>
  <c r="P11" i="3"/>
  <c r="AA29" i="1"/>
  <c r="W29" i="1" s="1"/>
  <c r="AA14" i="1"/>
  <c r="W14" i="1" s="1"/>
  <c r="AA55" i="1"/>
  <c r="W55" i="1" s="1"/>
  <c r="AA41" i="1"/>
  <c r="W41" i="1" s="1"/>
  <c r="AA20" i="1"/>
  <c r="W20" i="1" s="1"/>
  <c r="AA16" i="1"/>
  <c r="W16" i="1" s="1"/>
  <c r="AA26" i="1"/>
  <c r="W26" i="1" s="1"/>
  <c r="AA30" i="1"/>
  <c r="W30" i="1" s="1"/>
  <c r="AA43" i="1"/>
  <c r="W43" i="1" s="1"/>
  <c r="AA111" i="1"/>
  <c r="W111" i="1" s="1"/>
  <c r="AA57" i="1"/>
  <c r="W57" i="1" s="1"/>
  <c r="AA115" i="1"/>
  <c r="W115" i="1" s="1"/>
  <c r="AA89" i="1"/>
  <c r="W89" i="1" s="1"/>
  <c r="AA37" i="1"/>
  <c r="W37" i="1" s="1"/>
  <c r="AA67" i="1"/>
  <c r="W67" i="1" s="1"/>
  <c r="AA105" i="1"/>
  <c r="W105" i="1" s="1"/>
  <c r="AA81" i="1"/>
  <c r="W81" i="1" s="1"/>
  <c r="AA38" i="1"/>
  <c r="W38" i="1" s="1"/>
  <c r="AA79" i="1"/>
  <c r="W79" i="1" s="1"/>
  <c r="AA25" i="1"/>
  <c r="W25" i="1" s="1"/>
  <c r="AA94" i="1"/>
  <c r="W94" i="1" s="1"/>
  <c r="AA15" i="1"/>
  <c r="W15" i="1" s="1"/>
  <c r="AA23" i="1"/>
  <c r="W23" i="1" s="1"/>
  <c r="AA114" i="1"/>
  <c r="W114" i="1" s="1"/>
  <c r="AA91" i="1"/>
  <c r="W91" i="1" s="1"/>
  <c r="AA76" i="1"/>
  <c r="W76" i="1" s="1"/>
  <c r="AA32" i="1"/>
  <c r="W32" i="1" s="1"/>
  <c r="AA47" i="1"/>
  <c r="W47" i="1" s="1"/>
  <c r="AA68" i="1"/>
  <c r="W68" i="1" s="1"/>
  <c r="AA110" i="1"/>
  <c r="W110" i="1" s="1"/>
  <c r="AA62" i="1"/>
  <c r="W62" i="1" s="1"/>
  <c r="AA123" i="1"/>
  <c r="W123" i="1" s="1"/>
  <c r="AA46" i="1"/>
  <c r="W46" i="1" s="1"/>
  <c r="AA122" i="1"/>
  <c r="W122" i="1" s="1"/>
  <c r="AA59" i="1"/>
  <c r="W59" i="1" s="1"/>
  <c r="AA104" i="1"/>
  <c r="W104" i="1" s="1"/>
  <c r="AA130" i="1"/>
  <c r="W130" i="1" s="1"/>
  <c r="AA92" i="1"/>
  <c r="W92" i="1" s="1"/>
  <c r="AA95" i="1"/>
  <c r="W95" i="1" s="1"/>
  <c r="AA28" i="1"/>
  <c r="W28" i="1" s="1"/>
  <c r="AA50" i="1"/>
  <c r="W50" i="1" s="1"/>
  <c r="AA129" i="1"/>
  <c r="W129" i="1" s="1"/>
  <c r="AA126" i="1"/>
  <c r="W126" i="1" s="1"/>
  <c r="AA88" i="1"/>
  <c r="W88" i="1" s="1"/>
  <c r="AA33" i="1"/>
  <c r="W33" i="1" s="1"/>
  <c r="AA19" i="1"/>
  <c r="W19" i="1" s="1"/>
  <c r="AA86" i="1"/>
  <c r="W86" i="1" s="1"/>
  <c r="AA71" i="1"/>
  <c r="W71" i="1" s="1"/>
  <c r="AA102" i="1"/>
  <c r="W102" i="1" s="1"/>
  <c r="AA82" i="1"/>
  <c r="W82" i="1" s="1"/>
  <c r="AA106" i="1"/>
  <c r="W106" i="1" s="1"/>
  <c r="AA87" i="1"/>
  <c r="W87" i="1" s="1"/>
  <c r="AA65" i="1"/>
  <c r="W65" i="1" s="1"/>
  <c r="AA54" i="1"/>
  <c r="W54" i="1" s="1"/>
  <c r="AA117" i="1"/>
  <c r="W117" i="1" s="1"/>
  <c r="AA64" i="1"/>
  <c r="W64" i="1" s="1"/>
  <c r="AA58" i="1"/>
  <c r="W58" i="1" s="1"/>
  <c r="AA128" i="1"/>
  <c r="W128" i="1" s="1"/>
  <c r="AA116" i="1"/>
  <c r="W116" i="1" s="1"/>
  <c r="AA103" i="1"/>
  <c r="W103" i="1" s="1"/>
  <c r="AA97" i="1"/>
  <c r="W97" i="1" s="1"/>
  <c r="AA96" i="1"/>
  <c r="W96" i="1" s="1"/>
  <c r="AA83" i="1"/>
  <c r="W83" i="1" s="1"/>
  <c r="AA112" i="1"/>
  <c r="W112" i="1" s="1"/>
  <c r="AA93" i="1"/>
  <c r="W93" i="1" s="1"/>
  <c r="AA120" i="1"/>
  <c r="W120" i="1" s="1"/>
  <c r="AA70" i="1"/>
  <c r="W70" i="1" s="1"/>
  <c r="AA84" i="1"/>
  <c r="W84" i="1" s="1"/>
  <c r="AA90" i="1"/>
  <c r="W90" i="1" s="1"/>
  <c r="AA119" i="1"/>
  <c r="W119" i="1" s="1"/>
  <c r="AA98" i="1"/>
  <c r="W98" i="1" s="1"/>
  <c r="AA51" i="1"/>
  <c r="W51" i="1" s="1"/>
  <c r="AA125" i="1"/>
  <c r="W125" i="1" s="1"/>
  <c r="AA18" i="1"/>
  <c r="W18" i="1" s="1"/>
  <c r="AA85" i="1"/>
  <c r="W85" i="1" s="1"/>
  <c r="AA27" i="1"/>
  <c r="W27" i="1" s="1"/>
  <c r="AA22" i="1"/>
  <c r="W22" i="1" s="1"/>
  <c r="AA74" i="1"/>
  <c r="W74" i="1" s="1"/>
  <c r="AA31" i="1"/>
  <c r="W31" i="1" s="1"/>
  <c r="AA109" i="1"/>
  <c r="W109" i="1" s="1"/>
  <c r="AA113" i="1"/>
  <c r="W113" i="1" s="1"/>
  <c r="AA53" i="1"/>
  <c r="W53" i="1" s="1"/>
  <c r="AA45" i="1"/>
  <c r="W45" i="1" s="1"/>
  <c r="AA52" i="1"/>
  <c r="W52" i="1" s="1"/>
  <c r="AA77" i="1"/>
  <c r="W77" i="1" s="1"/>
  <c r="AA72" i="1"/>
  <c r="W72" i="1" s="1"/>
  <c r="AA56" i="1"/>
  <c r="W56" i="1" s="1"/>
  <c r="AA121" i="1"/>
  <c r="W121" i="1" s="1"/>
  <c r="AA35" i="1"/>
  <c r="W35" i="1" s="1"/>
  <c r="AA118" i="1"/>
  <c r="W118" i="1" s="1"/>
  <c r="AA78" i="1"/>
  <c r="W78" i="1" s="1"/>
  <c r="AA44" i="1"/>
  <c r="W44" i="1" s="1"/>
  <c r="AA40" i="1"/>
  <c r="W40" i="1" s="1"/>
  <c r="AA107" i="1"/>
  <c r="W107" i="1" s="1"/>
  <c r="AA80" i="1"/>
  <c r="W80" i="1" s="1"/>
  <c r="AA73" i="1"/>
  <c r="W73" i="1" s="1"/>
  <c r="AA39" i="1"/>
  <c r="W39" i="1" s="1"/>
  <c r="AA124" i="1"/>
  <c r="W124" i="1" s="1"/>
  <c r="AA34" i="1"/>
  <c r="W34" i="1" s="1"/>
  <c r="AA42" i="1"/>
  <c r="W42" i="1" s="1"/>
  <c r="AA21" i="1"/>
  <c r="W21" i="1" s="1"/>
  <c r="AA24" i="1"/>
  <c r="W24" i="1" s="1"/>
  <c r="AA127" i="1"/>
  <c r="W127" i="1" s="1"/>
  <c r="AA63" i="1"/>
  <c r="W63" i="1" s="1"/>
  <c r="AA49" i="1"/>
  <c r="W49" i="1" s="1"/>
  <c r="AA75" i="1"/>
  <c r="W75" i="1" s="1"/>
  <c r="AA69" i="1"/>
  <c r="W69" i="1" s="1"/>
  <c r="AA66" i="1"/>
  <c r="W66" i="1" s="1"/>
  <c r="AA48" i="1"/>
  <c r="W48" i="1" s="1"/>
  <c r="AA36" i="1"/>
  <c r="W36" i="1" s="1"/>
  <c r="AA17" i="1"/>
  <c r="W17" i="1" s="1"/>
  <c r="K13" i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P33" i="1" s="1"/>
  <c r="K34" i="1"/>
  <c r="L34" i="1"/>
  <c r="M34" i="1"/>
  <c r="P34" i="1" s="1"/>
  <c r="K36" i="1"/>
  <c r="L36" i="1"/>
  <c r="M36" i="1"/>
  <c r="N36" i="1" s="1"/>
  <c r="K35" i="1"/>
  <c r="L35" i="1"/>
  <c r="M35" i="1"/>
  <c r="N35" i="1" s="1"/>
  <c r="K37" i="1"/>
  <c r="L37" i="1"/>
  <c r="M37" i="1"/>
  <c r="K38" i="1"/>
  <c r="L38" i="1"/>
  <c r="M38" i="1"/>
  <c r="K39" i="1"/>
  <c r="L39" i="1"/>
  <c r="M39" i="1"/>
  <c r="P39" i="1" s="1"/>
  <c r="K40" i="1"/>
  <c r="L40" i="1"/>
  <c r="M40" i="1"/>
  <c r="N40" i="1" s="1"/>
  <c r="K41" i="1"/>
  <c r="L41" i="1"/>
  <c r="M41" i="1"/>
  <c r="N41" i="1" s="1"/>
  <c r="K43" i="1"/>
  <c r="L43" i="1"/>
  <c r="M43" i="1"/>
  <c r="N43" i="1" s="1"/>
  <c r="K45" i="1"/>
  <c r="L45" i="1"/>
  <c r="M45" i="1"/>
  <c r="K44" i="1"/>
  <c r="L44" i="1"/>
  <c r="M44" i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6" i="1"/>
  <c r="L66" i="1"/>
  <c r="M66" i="1"/>
  <c r="P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P74" i="1" s="1"/>
  <c r="K75" i="1"/>
  <c r="L75" i="1"/>
  <c r="M75" i="1"/>
  <c r="N75" i="1" s="1"/>
  <c r="K76" i="1"/>
  <c r="L76" i="1"/>
  <c r="M76" i="1"/>
  <c r="P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3" i="1"/>
  <c r="L83" i="1"/>
  <c r="M83" i="1"/>
  <c r="K82" i="1"/>
  <c r="L82" i="1"/>
  <c r="M82" i="1"/>
  <c r="P82" i="1" s="1"/>
  <c r="K84" i="1"/>
  <c r="L84" i="1"/>
  <c r="M84" i="1"/>
  <c r="N84" i="1" s="1"/>
  <c r="K85" i="1"/>
  <c r="L85" i="1"/>
  <c r="M85" i="1"/>
  <c r="N85" i="1" s="1"/>
  <c r="K87" i="1"/>
  <c r="L87" i="1"/>
  <c r="M87" i="1"/>
  <c r="N87" i="1" s="1"/>
  <c r="K86" i="1"/>
  <c r="L86" i="1"/>
  <c r="M86" i="1"/>
  <c r="N86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M92" i="1"/>
  <c r="N92" i="1" s="1"/>
  <c r="K91" i="1"/>
  <c r="L91" i="1"/>
  <c r="M91" i="1"/>
  <c r="N91" i="1" s="1"/>
  <c r="K93" i="1"/>
  <c r="L93" i="1"/>
  <c r="M93" i="1"/>
  <c r="N93" i="1" s="1"/>
  <c r="K95" i="1"/>
  <c r="L95" i="1"/>
  <c r="M95" i="1"/>
  <c r="N95" i="1" s="1"/>
  <c r="K94" i="1"/>
  <c r="L94" i="1"/>
  <c r="M94" i="1"/>
  <c r="N94" i="1" s="1"/>
  <c r="K97" i="1"/>
  <c r="L97" i="1"/>
  <c r="M97" i="1"/>
  <c r="P97" i="1" s="1"/>
  <c r="K96" i="1"/>
  <c r="L96" i="1"/>
  <c r="M96" i="1"/>
  <c r="N96" i="1" s="1"/>
  <c r="K99" i="1"/>
  <c r="L99" i="1"/>
  <c r="M99" i="1"/>
  <c r="K98" i="1"/>
  <c r="L98" i="1"/>
  <c r="M98" i="1"/>
  <c r="N98" i="1" s="1"/>
  <c r="K101" i="1"/>
  <c r="L101" i="1"/>
  <c r="M101" i="1"/>
  <c r="N101" i="1" s="1"/>
  <c r="K104" i="1"/>
  <c r="L104" i="1"/>
  <c r="M104" i="1"/>
  <c r="N104" i="1" s="1"/>
  <c r="K103" i="1"/>
  <c r="L103" i="1"/>
  <c r="M103" i="1"/>
  <c r="N103" i="1" s="1"/>
  <c r="K102" i="1"/>
  <c r="L102" i="1"/>
  <c r="M102" i="1"/>
  <c r="N102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9" i="1"/>
  <c r="L109" i="1"/>
  <c r="M109" i="1"/>
  <c r="N109" i="1" s="1"/>
  <c r="K111" i="1"/>
  <c r="L111" i="1"/>
  <c r="M111" i="1"/>
  <c r="N111" i="1" s="1"/>
  <c r="K110" i="1"/>
  <c r="L110" i="1"/>
  <c r="M110" i="1"/>
  <c r="N110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7" i="1"/>
  <c r="L117" i="1"/>
  <c r="M117" i="1"/>
  <c r="N117" i="1" s="1"/>
  <c r="K116" i="1"/>
  <c r="L116" i="1"/>
  <c r="M116" i="1"/>
  <c r="N116" i="1" s="1"/>
  <c r="K118" i="1"/>
  <c r="L118" i="1"/>
  <c r="M118" i="1"/>
  <c r="K119" i="1"/>
  <c r="L119" i="1"/>
  <c r="M119" i="1"/>
  <c r="N119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9" i="1"/>
  <c r="L129" i="1"/>
  <c r="M129" i="1"/>
  <c r="N129" i="1" s="1"/>
  <c r="K127" i="1"/>
  <c r="L127" i="1"/>
  <c r="M127" i="1"/>
  <c r="N127" i="1" s="1"/>
  <c r="K128" i="1"/>
  <c r="L128" i="1"/>
  <c r="M128" i="1"/>
  <c r="N128" i="1" s="1"/>
  <c r="K130" i="1"/>
  <c r="L130" i="1"/>
  <c r="M130" i="1"/>
  <c r="N130" i="1" s="1"/>
  <c r="K131" i="1"/>
  <c r="L131" i="1"/>
  <c r="M131" i="1"/>
  <c r="N131" i="1" s="1"/>
  <c r="K133" i="1"/>
  <c r="L133" i="1"/>
  <c r="M133" i="1"/>
  <c r="N133" i="1" s="1"/>
  <c r="S37" i="1" l="1"/>
  <c r="S44" i="1"/>
  <c r="S97" i="1"/>
  <c r="S152" i="1"/>
  <c r="P44" i="1"/>
  <c r="P37" i="1"/>
  <c r="O5" i="1"/>
  <c r="J8" i="1"/>
  <c r="N8" i="1"/>
  <c r="N5" i="1"/>
  <c r="J5" i="1"/>
  <c r="O8" i="1"/>
  <c r="M5" i="1"/>
  <c r="M8" i="1"/>
  <c r="J7" i="1"/>
  <c r="X13" i="1"/>
  <c r="J4" i="1" l="1"/>
  <c r="J9" i="1" s="1"/>
  <c r="V13" i="1"/>
  <c r="P32" i="3" s="1"/>
  <c r="Y13" i="1"/>
  <c r="Z13" i="1"/>
  <c r="P41" i="3" l="1"/>
  <c r="U13" i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<sst xmlns="http://schemas.openxmlformats.org/spreadsheetml/2006/main" count="2108" uniqueCount="556">
  <si>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</si>
  <si>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</si>
  <si>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</si>
  <si>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</si>
  <si>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</si>
  <si>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</si>
  <si>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</si>
  <si>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</si>
  <si>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</si>
  <si>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</si>
  <si>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</si>
  <si>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</si>
  <si>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</si>
  <si>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</si>
  <si>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</si>
  <si>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</si>
  <si>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</si>
  <si>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</si>
  <si>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</si>
  <si>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</si>
  <si>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</si>
  <si>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</si>
  <si>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</si>
  <si>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</si>
  <si>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</si>
  <si>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</si>
  <si>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</si>
  <si>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</si>
  <si>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</si>
  <si>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</si>
  <si>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</si>
  <si>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</si>
  <si>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</si>
  <si>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</si>
  <si>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</si>
  <si>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</si>
  <si>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</si>
  <si>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</si>
  <si>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</si>
  <si>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</si>
  <si>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</si>
  <si>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</si>
  <si>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</si>
  <si>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</si>
  <si>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</si>
  <si>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</si>
  <si>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</si>
  <si>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</si>
  <si>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</si>
  <si>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</si>
  <si>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</si>
  <si>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</si>
  <si>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</si>
  <si>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</si>
  <si>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</si>
  <si>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</si>
  <si>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</si>
  <si>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</si>
  <si>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</si>
  <si>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</si>
  <si>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</si>
  <si>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</si>
  <si>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</si>
  <si>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</si>
  <si>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</si>
  <si>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</si>
  <si>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</si>
  <si>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</si>
  <si>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</si>
  <si>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</si>
  <si>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</si>
  <si>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</si>
  <si>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</si>
  <si>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</si>
  <si>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</si>
  <si>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</si>
  <si>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</si>
  <si>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</si>
  <si>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</si>
  <si>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</si>
  <si>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</si>
  <si>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204:453</t>
  </si>
  <si>
    <t>rtdc.l.rtdc.4043:itc</t>
  </si>
  <si>
    <t>204:232978</t>
  </si>
  <si>
    <t>204:154</t>
  </si>
  <si>
    <t>204:233304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</si>
  <si>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</si>
  <si>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</si>
  <si>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</si>
  <si>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</si>
  <si>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</si>
  <si>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</si>
  <si>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</si>
  <si>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204:233315</t>
  </si>
  <si>
    <t>204:232975</t>
  </si>
  <si>
    <t>204:464</t>
  </si>
  <si>
    <t>STORY</t>
  </si>
  <si>
    <t>rtdc.l.rtdc.4024:itc</t>
  </si>
  <si>
    <t>rtdc.l.rtdc.4008:itc</t>
  </si>
  <si>
    <t>rtdc.l.rtdc.4030:itc</t>
  </si>
  <si>
    <t>rtdc.l.rtdc.4007:itc</t>
  </si>
  <si>
    <t>rtdc.l.rtdc.4044:itc</t>
  </si>
  <si>
    <t>rtdc.l.rtdc.4031:itc</t>
  </si>
  <si>
    <t>ROCHA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</si>
  <si>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</si>
  <si>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</si>
  <si>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</si>
  <si>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</si>
  <si>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</si>
  <si>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</si>
  <si>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</si>
  <si>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</si>
  <si>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</si>
  <si>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</si>
  <si>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204:233289</t>
  </si>
  <si>
    <t>rtdc.l.rtdc.4025:itc</t>
  </si>
  <si>
    <t>rtdc.l.rtdc.4026:itc</t>
  </si>
  <si>
    <t>204:449</t>
  </si>
  <si>
    <t>204:158</t>
  </si>
  <si>
    <t>204:233309</t>
  </si>
  <si>
    <t>204:233297</t>
  </si>
  <si>
    <t>rtdc.l.rtdc.4011:itc</t>
  </si>
  <si>
    <t>rtdc.l.rtdc.4041:itc</t>
  </si>
  <si>
    <t>rtdc.l.rtdc.4042:itc</t>
  </si>
  <si>
    <t>rtdc.l.rtdc.4012:itc</t>
  </si>
  <si>
    <t>204:232973</t>
  </si>
  <si>
    <t>204:232998</t>
  </si>
  <si>
    <t>204:170</t>
  </si>
  <si>
    <t>204:163</t>
  </si>
  <si>
    <t>204:469</t>
  </si>
  <si>
    <t>204:233291</t>
  </si>
  <si>
    <t>204:139</t>
  </si>
  <si>
    <t>MAELZER</t>
  </si>
  <si>
    <t>204:455</t>
  </si>
  <si>
    <t>204:467</t>
  </si>
  <si>
    <t>204:233303</t>
  </si>
  <si>
    <t>Recorded Loco</t>
  </si>
  <si>
    <t>Recorded time</t>
  </si>
  <si>
    <t>LOCKLEAR</t>
  </si>
  <si>
    <t>COOLAHAN</t>
  </si>
  <si>
    <t>ACKERMAN</t>
  </si>
  <si>
    <t>STURGEON</t>
  </si>
  <si>
    <t>204:233314</t>
  </si>
  <si>
    <t>204:233312</t>
  </si>
  <si>
    <t>204:233310</t>
  </si>
  <si>
    <t>204:233307</t>
  </si>
  <si>
    <t>204:444</t>
  </si>
  <si>
    <t>204:150</t>
  </si>
  <si>
    <t>204:232986</t>
  </si>
  <si>
    <t>204:232983</t>
  </si>
  <si>
    <t>204:431</t>
  </si>
  <si>
    <t>204:167</t>
  </si>
  <si>
    <t>204:233301</t>
  </si>
  <si>
    <t>Xing Completion Percentage</t>
  </si>
  <si>
    <t>204:233278</t>
  </si>
  <si>
    <t>204:232981</t>
  </si>
  <si>
    <t>204:451</t>
  </si>
  <si>
    <t>204:233013</t>
  </si>
  <si>
    <t>204:233332</t>
  </si>
  <si>
    <t>204:232984</t>
  </si>
  <si>
    <t>MOSES</t>
  </si>
  <si>
    <t>REBOLETTI</t>
  </si>
  <si>
    <t>DE LA ROSA</t>
  </si>
  <si>
    <t>HELVIE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</si>
  <si>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</si>
  <si>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</si>
  <si>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</si>
  <si>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</si>
  <si>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</si>
  <si>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</si>
  <si>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</si>
  <si>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</si>
  <si>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</si>
  <si>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</si>
  <si>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</si>
  <si>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</si>
  <si>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</si>
  <si>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</si>
  <si>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</si>
  <si>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</si>
  <si>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</si>
  <si>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</si>
  <si>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</si>
  <si>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</si>
  <si>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204:232989</t>
  </si>
  <si>
    <t>204:233274</t>
  </si>
  <si>
    <t>204:232967</t>
  </si>
  <si>
    <t>204:484</t>
  </si>
  <si>
    <t>204:446</t>
  </si>
  <si>
    <t>204:19145</t>
  </si>
  <si>
    <t>218-21</t>
  </si>
  <si>
    <t>219-21</t>
  </si>
  <si>
    <t>220-21</t>
  </si>
  <si>
    <t>204:233270</t>
  </si>
  <si>
    <t>204:233000</t>
  </si>
  <si>
    <t>204:1160</t>
  </si>
  <si>
    <t>204:233288</t>
  </si>
  <si>
    <t>204:442</t>
  </si>
  <si>
    <t>241-21</t>
  </si>
  <si>
    <t>204:134</t>
  </si>
  <si>
    <t>109-21</t>
  </si>
  <si>
    <t>204:437</t>
  </si>
  <si>
    <t>125-21</t>
  </si>
  <si>
    <t>204:138</t>
  </si>
  <si>
    <t>131-21</t>
  </si>
  <si>
    <t>135-21</t>
  </si>
  <si>
    <t>204:473</t>
  </si>
  <si>
    <t>140-21</t>
  </si>
  <si>
    <t>204:232988</t>
  </si>
  <si>
    <t>146-21</t>
  </si>
  <si>
    <t>204:232940</t>
  </si>
  <si>
    <t>147-21</t>
  </si>
  <si>
    <t>150-21</t>
  </si>
  <si>
    <t>156-21</t>
  </si>
  <si>
    <t>204:233306</t>
  </si>
  <si>
    <t>162-21</t>
  </si>
  <si>
    <t>165-21</t>
  </si>
  <si>
    <t>167-21</t>
  </si>
  <si>
    <t>171-21</t>
  </si>
  <si>
    <t>204:233008</t>
  </si>
  <si>
    <t>180-21</t>
  </si>
  <si>
    <t>181-21</t>
  </si>
  <si>
    <t>204:489</t>
  </si>
  <si>
    <t>182-21</t>
  </si>
  <si>
    <t>183-21</t>
  </si>
  <si>
    <t>185-21</t>
  </si>
  <si>
    <t>188-21</t>
  </si>
  <si>
    <t>189-21</t>
  </si>
  <si>
    <t>191-21</t>
  </si>
  <si>
    <t>192-21</t>
  </si>
  <si>
    <t>198-21</t>
  </si>
  <si>
    <t>204:232993</t>
  </si>
  <si>
    <t>204:482</t>
  </si>
  <si>
    <t>802-21</t>
  </si>
  <si>
    <t>814-21</t>
  </si>
  <si>
    <t>823-21</t>
  </si>
  <si>
    <t>825-21</t>
  </si>
  <si>
    <t>829-21</t>
  </si>
  <si>
    <t>190-21</t>
  </si>
  <si>
    <t>rtdc.l.rtdc.4028:itc</t>
  </si>
  <si>
    <t>RIVERA</t>
  </si>
  <si>
    <t>DAVIS</t>
  </si>
  <si>
    <t>KILLION</t>
  </si>
  <si>
    <t>STARKS</t>
  </si>
  <si>
    <t>NEWELL</t>
  </si>
  <si>
    <t>ADANE</t>
  </si>
  <si>
    <t>rtdc.l.rtdc.4027:itc</t>
  </si>
  <si>
    <t>BONDS</t>
  </si>
  <si>
    <t>GEBRETEKLE</t>
  </si>
  <si>
    <t>SWITCH UNKNOWN</t>
  </si>
  <si>
    <t>Track device (7)</t>
  </si>
  <si>
    <t>Y</t>
  </si>
  <si>
    <t>N</t>
  </si>
  <si>
    <t>Comms</t>
  </si>
  <si>
    <t>Dispatcher Error</t>
  </si>
  <si>
    <t>Form C</t>
  </si>
  <si>
    <t>Early Arival</t>
  </si>
  <si>
    <t>Poor GPS at DUS</t>
  </si>
  <si>
    <t>Possible System Enforcement</t>
  </si>
  <si>
    <t>Training enforcement</t>
  </si>
  <si>
    <t>101-22</t>
  </si>
  <si>
    <t>204:633</t>
  </si>
  <si>
    <t>204:233299</t>
  </si>
  <si>
    <t>102-22</t>
  </si>
  <si>
    <t>204:232652</t>
  </si>
  <si>
    <t>103-22</t>
  </si>
  <si>
    <t>204:772</t>
  </si>
  <si>
    <t>204:233382</t>
  </si>
  <si>
    <t>104-22</t>
  </si>
  <si>
    <t>204:232771</t>
  </si>
  <si>
    <t>204:435</t>
  </si>
  <si>
    <t>105-22</t>
  </si>
  <si>
    <t>204:737</t>
  </si>
  <si>
    <t>106-22</t>
  </si>
  <si>
    <t>204:232642</t>
  </si>
  <si>
    <t>204:130</t>
  </si>
  <si>
    <t>107-22</t>
  </si>
  <si>
    <t>204:233263</t>
  </si>
  <si>
    <t>108-22</t>
  </si>
  <si>
    <t>204:232949</t>
  </si>
  <si>
    <t>204:125</t>
  </si>
  <si>
    <t>109-22</t>
  </si>
  <si>
    <t>204:233305</t>
  </si>
  <si>
    <t>110-22</t>
  </si>
  <si>
    <t>111-22</t>
  </si>
  <si>
    <t>204:781</t>
  </si>
  <si>
    <t>112-22</t>
  </si>
  <si>
    <t>204:232979</t>
  </si>
  <si>
    <t>113-22</t>
  </si>
  <si>
    <t>114-22</t>
  </si>
  <si>
    <t>115-22</t>
  </si>
  <si>
    <t>204:766</t>
  </si>
  <si>
    <t>204:233298</t>
  </si>
  <si>
    <t>116-22</t>
  </si>
  <si>
    <t>117-22</t>
  </si>
  <si>
    <t>204:233318</t>
  </si>
  <si>
    <t>118-22</t>
  </si>
  <si>
    <t>204:233003</t>
  </si>
  <si>
    <t>119-22</t>
  </si>
  <si>
    <t>204:710</t>
  </si>
  <si>
    <t>120-22</t>
  </si>
  <si>
    <t>204:232960</t>
  </si>
  <si>
    <t>121-22</t>
  </si>
  <si>
    <t>204:420</t>
  </si>
  <si>
    <t>204:1618</t>
  </si>
  <si>
    <t>122-22</t>
  </si>
  <si>
    <t>204:233072</t>
  </si>
  <si>
    <t>204:18779</t>
  </si>
  <si>
    <t>123-22</t>
  </si>
  <si>
    <t>204:232675</t>
  </si>
  <si>
    <t>124-22</t>
  </si>
  <si>
    <t>125-22</t>
  </si>
  <si>
    <t>126-22</t>
  </si>
  <si>
    <t>204:18765</t>
  </si>
  <si>
    <t>127-22</t>
  </si>
  <si>
    <t>128-22</t>
  </si>
  <si>
    <t>204:232987</t>
  </si>
  <si>
    <t>129-22</t>
  </si>
  <si>
    <t>204:466</t>
  </si>
  <si>
    <t>130-22</t>
  </si>
  <si>
    <t>204:362</t>
  </si>
  <si>
    <t>131-22</t>
  </si>
  <si>
    <t>204:233285</t>
  </si>
  <si>
    <t>204:471</t>
  </si>
  <si>
    <t>204:1014</t>
  </si>
  <si>
    <t>132-22</t>
  </si>
  <si>
    <t>204:232974</t>
  </si>
  <si>
    <t>204:211</t>
  </si>
  <si>
    <t>133-22</t>
  </si>
  <si>
    <t>134-22</t>
  </si>
  <si>
    <t>204:232938</t>
  </si>
  <si>
    <t>135-22</t>
  </si>
  <si>
    <t>204:1492</t>
  </si>
  <si>
    <t>136-22</t>
  </si>
  <si>
    <t>137-22</t>
  </si>
  <si>
    <t>204:233128</t>
  </si>
  <si>
    <t>139-22</t>
  </si>
  <si>
    <t>204:1154</t>
  </si>
  <si>
    <t>140-22</t>
  </si>
  <si>
    <t>204:165</t>
  </si>
  <si>
    <t>141-22</t>
  </si>
  <si>
    <t>204:233320</t>
  </si>
  <si>
    <t>142-22</t>
  </si>
  <si>
    <t>143-22</t>
  </si>
  <si>
    <t>204:646</t>
  </si>
  <si>
    <t>144-22</t>
  </si>
  <si>
    <t>204:143</t>
  </si>
  <si>
    <t>145-22</t>
  </si>
  <si>
    <t>204:520</t>
  </si>
  <si>
    <t>204:233401</t>
  </si>
  <si>
    <t>146-22</t>
  </si>
  <si>
    <t>204:233074</t>
  </si>
  <si>
    <t>204:110</t>
  </si>
  <si>
    <t>147-22</t>
  </si>
  <si>
    <t>148-22</t>
  </si>
  <si>
    <t>149-22</t>
  </si>
  <si>
    <t>204:233324</t>
  </si>
  <si>
    <t>150-22</t>
  </si>
  <si>
    <t>151-22</t>
  </si>
  <si>
    <t>204:233164</t>
  </si>
  <si>
    <t>152-22</t>
  </si>
  <si>
    <t>204:232862</t>
  </si>
  <si>
    <t>153-22</t>
  </si>
  <si>
    <t>204:36933</t>
  </si>
  <si>
    <t>154-22</t>
  </si>
  <si>
    <t>155-22</t>
  </si>
  <si>
    <t>156-22</t>
  </si>
  <si>
    <t>157-22</t>
  </si>
  <si>
    <t>158-22</t>
  </si>
  <si>
    <t>204:232980</t>
  </si>
  <si>
    <t>159-22</t>
  </si>
  <si>
    <t>204:409</t>
  </si>
  <si>
    <t>204:233276</t>
  </si>
  <si>
    <t>160-22</t>
  </si>
  <si>
    <t>161-22</t>
  </si>
  <si>
    <t>204:37194</t>
  </si>
  <si>
    <t>162-22</t>
  </si>
  <si>
    <t>163-22</t>
  </si>
  <si>
    <t>204:233338</t>
  </si>
  <si>
    <t>164-22</t>
  </si>
  <si>
    <t>204:233019</t>
  </si>
  <si>
    <t>165-22</t>
  </si>
  <si>
    <t>204:233107</t>
  </si>
  <si>
    <t>166-22</t>
  </si>
  <si>
    <t>204:232785</t>
  </si>
  <si>
    <t>167-22</t>
  </si>
  <si>
    <t>204:233317</t>
  </si>
  <si>
    <t>168-22</t>
  </si>
  <si>
    <t>169-22</t>
  </si>
  <si>
    <t>204:19140</t>
  </si>
  <si>
    <t>204:20192</t>
  </si>
  <si>
    <t>204:11777</t>
  </si>
  <si>
    <t>170-22</t>
  </si>
  <si>
    <t>171-22</t>
  </si>
  <si>
    <t>172-22</t>
  </si>
  <si>
    <t>173-22</t>
  </si>
  <si>
    <t>204:233308</t>
  </si>
  <si>
    <t>175-22</t>
  </si>
  <si>
    <t>176-22</t>
  </si>
  <si>
    <t>204:5405</t>
  </si>
  <si>
    <t>177-22</t>
  </si>
  <si>
    <t>178-22</t>
  </si>
  <si>
    <t>204:233015</t>
  </si>
  <si>
    <t>179-22</t>
  </si>
  <si>
    <t>180-22</t>
  </si>
  <si>
    <t>181-22</t>
  </si>
  <si>
    <t>204:233302</t>
  </si>
  <si>
    <t>182-22</t>
  </si>
  <si>
    <t>183-22</t>
  </si>
  <si>
    <t>184-22</t>
  </si>
  <si>
    <t>204:63313</t>
  </si>
  <si>
    <t>185-22</t>
  </si>
  <si>
    <t>186-22</t>
  </si>
  <si>
    <t>187-22</t>
  </si>
  <si>
    <t>204:1503</t>
  </si>
  <si>
    <t>188-22</t>
  </si>
  <si>
    <t>189-22</t>
  </si>
  <si>
    <t>204:233140</t>
  </si>
  <si>
    <t>190-22</t>
  </si>
  <si>
    <t>204:232809</t>
  </si>
  <si>
    <t>204:262</t>
  </si>
  <si>
    <t>191-22</t>
  </si>
  <si>
    <t>204:774</t>
  </si>
  <si>
    <t>204:233351</t>
  </si>
  <si>
    <t>192-22</t>
  </si>
  <si>
    <t>204:233025</t>
  </si>
  <si>
    <t>193-22</t>
  </si>
  <si>
    <t>194-22</t>
  </si>
  <si>
    <t>204:233005</t>
  </si>
  <si>
    <t>196-22</t>
  </si>
  <si>
    <t>204:233006</t>
  </si>
  <si>
    <t>197-22</t>
  </si>
  <si>
    <t>204:233282</t>
  </si>
  <si>
    <t>198-22</t>
  </si>
  <si>
    <t>199-22</t>
  </si>
  <si>
    <t>200-22</t>
  </si>
  <si>
    <t>201-22</t>
  </si>
  <si>
    <t>204:233349</t>
  </si>
  <si>
    <t>202-22</t>
  </si>
  <si>
    <t>204:233034</t>
  </si>
  <si>
    <t>204:344</t>
  </si>
  <si>
    <t>203-22</t>
  </si>
  <si>
    <t>204:580</t>
  </si>
  <si>
    <t>204:233374</t>
  </si>
  <si>
    <t>204-22</t>
  </si>
  <si>
    <t>204:233036</t>
  </si>
  <si>
    <t>205-22</t>
  </si>
  <si>
    <t>206-22</t>
  </si>
  <si>
    <t>207-22</t>
  </si>
  <si>
    <t>204:233142</t>
  </si>
  <si>
    <t>208-22</t>
  </si>
  <si>
    <t>204:232823</t>
  </si>
  <si>
    <t>209-22</t>
  </si>
  <si>
    <t>204:1169</t>
  </si>
  <si>
    <t>210-22</t>
  </si>
  <si>
    <t>211-22</t>
  </si>
  <si>
    <t>212-22</t>
  </si>
  <si>
    <t>204:233059</t>
  </si>
  <si>
    <t>213-22</t>
  </si>
  <si>
    <t>204:233280</t>
  </si>
  <si>
    <t>214-22</t>
  </si>
  <si>
    <t>204:232962</t>
  </si>
  <si>
    <t>215-22</t>
  </si>
  <si>
    <t>204:650</t>
  </si>
  <si>
    <t>216-22</t>
  </si>
  <si>
    <t>217-22</t>
  </si>
  <si>
    <t>218-22</t>
  </si>
  <si>
    <t>204:232994</t>
  </si>
  <si>
    <t>220-22</t>
  </si>
  <si>
    <t>221-22</t>
  </si>
  <si>
    <t>222-22</t>
  </si>
  <si>
    <t>223-22</t>
  </si>
  <si>
    <t>204:233215</t>
  </si>
  <si>
    <t>224-22</t>
  </si>
  <si>
    <t>225-22</t>
  </si>
  <si>
    <t>204:475</t>
  </si>
  <si>
    <t>204:233180</t>
  </si>
  <si>
    <t>226-22</t>
  </si>
  <si>
    <t>204:232857</t>
  </si>
  <si>
    <t>227-22</t>
  </si>
  <si>
    <t>228-22</t>
  </si>
  <si>
    <t>229-22</t>
  </si>
  <si>
    <t>230-22</t>
  </si>
  <si>
    <t>231-22</t>
  </si>
  <si>
    <t>232-22</t>
  </si>
  <si>
    <t>233-22</t>
  </si>
  <si>
    <t>234-22</t>
  </si>
  <si>
    <t>235-22</t>
  </si>
  <si>
    <t>236-22</t>
  </si>
  <si>
    <t>237-22</t>
  </si>
  <si>
    <t>204:493</t>
  </si>
  <si>
    <t>238-22</t>
  </si>
  <si>
    <t>239-22</t>
  </si>
  <si>
    <t>204:19113</t>
  </si>
  <si>
    <t>204:1266</t>
  </si>
  <si>
    <t>240-22</t>
  </si>
  <si>
    <t>241-22</t>
  </si>
  <si>
    <t>242-22</t>
  </si>
  <si>
    <t>204:232992</t>
  </si>
  <si>
    <t>243-22</t>
  </si>
  <si>
    <t>204:233080</t>
  </si>
  <si>
    <t>244-22</t>
  </si>
  <si>
    <t>204:232761</t>
  </si>
  <si>
    <t>800-22</t>
  </si>
  <si>
    <t>801-22</t>
  </si>
  <si>
    <t>802-22</t>
  </si>
  <si>
    <t>803-22</t>
  </si>
  <si>
    <t>804-22</t>
  </si>
  <si>
    <t>805-22</t>
  </si>
  <si>
    <t>806-22</t>
  </si>
  <si>
    <t>807-22</t>
  </si>
  <si>
    <t>808-22</t>
  </si>
  <si>
    <t>809-22</t>
  </si>
  <si>
    <t>810-22</t>
  </si>
  <si>
    <t>811-22</t>
  </si>
  <si>
    <t>812-22</t>
  </si>
  <si>
    <t>813-22</t>
  </si>
  <si>
    <t>814-22</t>
  </si>
  <si>
    <t>815-22</t>
  </si>
  <si>
    <t>816-22</t>
  </si>
  <si>
    <t>817-22</t>
  </si>
  <si>
    <t>818-22</t>
  </si>
  <si>
    <t>819-22</t>
  </si>
  <si>
    <t>820-22</t>
  </si>
  <si>
    <t>821-22</t>
  </si>
  <si>
    <t>822-22</t>
  </si>
  <si>
    <t>823-22</t>
  </si>
  <si>
    <t>824-22</t>
  </si>
  <si>
    <t>825-22</t>
  </si>
  <si>
    <t>826-22</t>
  </si>
  <si>
    <t>rtdc.l.rtdc.4039:itc</t>
  </si>
  <si>
    <t>rtdc.l.rtdc.4055:itc</t>
  </si>
  <si>
    <t>rtdc.l.rtdc.4056:itc</t>
  </si>
  <si>
    <t>rtdc.l.rtdc.4010:itc</t>
  </si>
  <si>
    <t>rtdc.l.rtdc.4053:itc</t>
  </si>
  <si>
    <t>rtdc.l.rtdc.4009:itc</t>
  </si>
  <si>
    <t>195-22</t>
  </si>
  <si>
    <t>rtdc.l.rtdc.4040:itc</t>
  </si>
  <si>
    <t>rtdc.l.rtdc.4054:itc</t>
  </si>
  <si>
    <t>MAYBERRY</t>
  </si>
  <si>
    <t>SANTIZO</t>
  </si>
  <si>
    <t>LOZA</t>
  </si>
  <si>
    <t>STEWART</t>
  </si>
  <si>
    <t>STRICKLAND</t>
  </si>
  <si>
    <t>YORK</t>
  </si>
  <si>
    <t>219-22</t>
  </si>
  <si>
    <t>CUSHING</t>
  </si>
  <si>
    <t>LYNN</t>
  </si>
  <si>
    <t>138-22</t>
  </si>
  <si>
    <t>174-22</t>
  </si>
  <si>
    <t>Onboard In-Route Failure</t>
  </si>
  <si>
    <t>Signal at stop with warning</t>
  </si>
  <si>
    <t>Signal at stop no system warning due to beginning of train run.</t>
  </si>
  <si>
    <t>Signal at Stop little warnng</t>
  </si>
  <si>
    <t>GPS Errors</t>
  </si>
  <si>
    <t>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</si>
</sst>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12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2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3">
        <f>Variables!A2</f>
        <v>42543</v>
      </c>
      <c r="J2" s="84"/>
      <c r="K2" s="52"/>
      <c r="L2" s="52"/>
      <c r="M2" s="85" t="s">
        <v>8</v>
      </c>
      <c r="N2" s="86"/>
      <c r="O2" s="87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8" t="s">
        <v>10</v>
      </c>
      <c r="J3" s="89"/>
      <c r="K3" s="75"/>
      <c r="L3" s="75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COUNT(N13:P1998)</f>
        <v>142</v>
      </c>
      <c r="K4" s="3"/>
      <c r="L4" s="3"/>
      <c r="M4" s="47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COUNT($N$13:$N$1998)</f>
        <v>126</v>
      </c>
      <c r="K5" s="3"/>
      <c r="L5" s="3"/>
      <c r="M5" s="47">
        <f>AVERAGE($N$13:$N$998)</f>
        <v>44.351851851845694</v>
      </c>
      <c r="N5" s="5">
        <f>MIN($N$13:$N$998)</f>
        <v>35.966666660970077</v>
      </c>
      <c r="O5" s="6">
        <f>MAX($N$13:$N$998)</f>
        <v>56.366666662506759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COUNT($O$13:$O$998)</f>
        <v>0</v>
      </c>
      <c r="K6" s="3"/>
      <c r="L6" s="3"/>
      <c r="M6" s="47">
        <f>IFERROR(AVERAGE($O$13:$O$998),0)</f>
        <v>0</v>
      </c>
      <c r="N6" s="5">
        <f>MIN($O$13:$O$998)</f>
        <v>0</v>
      </c>
      <c r="O6" s="6">
        <f>MAX($O$13:$O$998)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COUNT($P$13:$P$998)</f>
        <v>16</v>
      </c>
      <c r="K7" s="3"/>
      <c r="L7" s="3"/>
      <c r="M7" s="47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COUNT($N$13:$O$998)</f>
        <v>126</v>
      </c>
      <c r="K8" s="3"/>
      <c r="L8" s="3"/>
      <c r="M8" s="47">
        <f>AVERAGE($N$13:$P$998)</f>
        <v>40.907511736948408</v>
      </c>
      <c r="N8" s="5">
        <f>MIN($N$13:$O$998)</f>
        <v>35.966666660970077</v>
      </c>
      <c r="O8" s="6">
        <f>MAX($N$13:$O$998)</f>
        <v>56.366666662506759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0.88732394366197187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2" t="str">
        <f>"Eagle P3 System Performance - "&amp;TEXT(Variables!A2,"yyyy-mm-dd")</f>
        <v>Eagle P3 System Performance - 2016-06-22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S11" s="92">
        <f>AVERAGE(S13:S99999)</f>
        <v>0.93838028169014087</v>
      </c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153</v>
      </c>
      <c r="T12" s="9" t="s">
        <v>166</v>
      </c>
      <c r="U12" s="9" t="s">
        <v>167</v>
      </c>
      <c r="V12" s="48" t="s">
        <v>45</v>
      </c>
      <c r="W12" s="48" t="s">
        <v>23</v>
      </c>
      <c r="X12" s="48" t="s">
        <v>49</v>
      </c>
      <c r="Y12" s="48" t="s">
        <v>20</v>
      </c>
      <c r="Z12" s="48" t="s">
        <v>21</v>
      </c>
      <c r="AA12" s="48" t="s">
        <v>22</v>
      </c>
      <c r="AB12" s="49" t="s">
        <v>39</v>
      </c>
      <c r="AC12" s="49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260</v>
      </c>
      <c r="B13" s="43">
        <v>4044</v>
      </c>
      <c r="C13" s="43" t="s">
        <v>60</v>
      </c>
      <c r="D13" s="43" t="s">
        <v>261</v>
      </c>
      <c r="E13" s="25">
        <v>42543.125115740739</v>
      </c>
      <c r="F13" s="25">
        <v>42543.125972222224</v>
      </c>
      <c r="G13" s="31">
        <v>1</v>
      </c>
      <c r="H13" s="25" t="s">
        <v>262</v>
      </c>
      <c r="I13" s="25">
        <v>42543.160775462966</v>
      </c>
      <c r="J13" s="43">
        <v>0</v>
      </c>
      <c r="K13" s="43" t="str">
        <f t="shared" ref="K13:K44" si="0">IF(ISEVEN(B13),(B13-1)&amp;"/"&amp;B13,B13&amp;"/"&amp;(B13+1))</f>
        <v>4043/4044</v>
      </c>
      <c r="L13" s="43" t="str">
        <f>VLOOKUP(A13,'Trips&amp;Operators'!$C$1:$E$10000,3,FALSE)</f>
        <v>YORK</v>
      </c>
      <c r="M13" s="11">
        <f t="shared" ref="M13:M44" si="1">I13-F13</f>
        <v>3.4803240741894115E-2</v>
      </c>
      <c r="N13" s="12">
        <f t="shared" ref="N13:N32" si="2">24*60*SUM($M13:$M13)</f>
        <v>50.116666668327525</v>
      </c>
      <c r="O13" s="12"/>
      <c r="P13" s="12"/>
      <c r="Q13" s="44"/>
      <c r="R13" s="44"/>
      <c r="S13" s="72">
        <f t="shared" ref="S13:S36" si="3">SUM(U13:U13)/12</f>
        <v>1</v>
      </c>
      <c r="T13" s="2" t="str">
        <f t="shared" ref="T13:T44" si="4">IF(ISEVEN(LEFT(A13,3)),"Southbound","NorthBound")</f>
        <v>NorthBound</v>
      </c>
      <c r="U13" s="2">
        <f>COUNTIFS(Variables!$M$2:$M$19, "&gt;=" &amp; Y13, Variables!$M$2:$M$19, "&lt;=" &amp; Z13)</f>
        <v>12</v>
      </c>
      <c r="V13" s="50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https://search-rtdc-monitor-bjffxe2xuh6vdkpspy63sjmuny.us-east-1.es.amazonaws.com/_plugin/kibana/#/discover/Steve-Slow-Train-Analysis-(2080s-and-2083s)?_g=(refreshInterval:(display:Off,section:0,value:0),time:(from:'2016-06-22 02:59:10-0600',mode:absolute,to:'2016-06-22 03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" s="50" t="str">
        <f t="shared" ref="W13:W44" si="6">IF(AA13&lt;23,"Y","N")</f>
        <v>N</v>
      </c>
      <c r="X13" s="50" t="e">
        <f t="shared" ref="X13:X44" si="7">VALUE(LEFT(A13,3))-VALUE(LEFT(A12,3))</f>
        <v>#VALUE!</v>
      </c>
      <c r="Y13" s="50">
        <f t="shared" ref="Y13:Y60" si="8">RIGHT(D13,LEN(D13)-4)/10000</f>
        <v>6.3299999999999995E-2</v>
      </c>
      <c r="Z13" s="50">
        <f t="shared" ref="Z13:Z47" si="9">RIGHT(H13,LEN(H13)-4)/10000</f>
        <v>23.329899999999999</v>
      </c>
      <c r="AA13" s="50">
        <f t="shared" ref="AA13:AA44" si="10">ABS(Z13-Y13)</f>
        <v>23.266599999999997</v>
      </c>
      <c r="AB13" s="51" t="e">
        <f>VLOOKUP(A13,Enforcements!$C$7:$J$74,8,0)</f>
        <v>#N/A</v>
      </c>
      <c r="AC13" s="51" t="e">
        <f>VLOOKUP(A13,Enforcements!$C$7:$E$74,3,0)</f>
        <v>#N/A</v>
      </c>
    </row>
    <row r="14" spans="1:91" s="2" customFormat="1" x14ac:dyDescent="0.25">
      <c r="A14" s="43" t="s">
        <v>263</v>
      </c>
      <c r="B14" s="43">
        <v>4010</v>
      </c>
      <c r="C14" s="43" t="s">
        <v>60</v>
      </c>
      <c r="D14" s="43" t="s">
        <v>264</v>
      </c>
      <c r="E14" s="25">
        <v>42543.162638888891</v>
      </c>
      <c r="F14" s="25">
        <v>42543.163495370369</v>
      </c>
      <c r="G14" s="31">
        <v>1</v>
      </c>
      <c r="H14" s="25" t="s">
        <v>147</v>
      </c>
      <c r="I14" s="25">
        <v>42543.199953703705</v>
      </c>
      <c r="J14" s="43">
        <v>0</v>
      </c>
      <c r="K14" s="43" t="str">
        <f t="shared" si="0"/>
        <v>4009/4010</v>
      </c>
      <c r="L14" s="43" t="str">
        <f>VLOOKUP(A14,'Trips&amp;Operators'!$C$1:$E$10000,3,FALSE)</f>
        <v>YORK</v>
      </c>
      <c r="M14" s="11">
        <f t="shared" si="1"/>
        <v>3.6458333335758653E-2</v>
      </c>
      <c r="N14" s="12">
        <f t="shared" si="2"/>
        <v>52.50000000349246</v>
      </c>
      <c r="O14" s="12"/>
      <c r="P14" s="12"/>
      <c r="Q14" s="44"/>
      <c r="R14" s="44"/>
      <c r="S14" s="72">
        <f t="shared" si="3"/>
        <v>1</v>
      </c>
      <c r="T14" s="2" t="str">
        <f t="shared" si="4"/>
        <v>Southbound</v>
      </c>
      <c r="U14" s="2">
        <f>COUNTIFS(Variables!$M$2:$M$19, "&lt;=" &amp; Y14, Variables!$M$2:$M$19, "&gt;=" &amp; Z14)</f>
        <v>12</v>
      </c>
      <c r="V1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03:53:12-0600',mode:absolute,to:'2016-06-22 04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" s="50" t="str">
        <f t="shared" si="6"/>
        <v>N</v>
      </c>
      <c r="X14" s="50">
        <f t="shared" si="7"/>
        <v>1</v>
      </c>
      <c r="Y14" s="50">
        <f t="shared" si="8"/>
        <v>23.2652</v>
      </c>
      <c r="Z14" s="50">
        <f t="shared" si="9"/>
        <v>1.4999999999999999E-2</v>
      </c>
      <c r="AA14" s="50">
        <f t="shared" si="10"/>
        <v>23.2502</v>
      </c>
      <c r="AB14" s="51" t="e">
        <f>VLOOKUP(A14,Enforcements!$C$7:$J$74,8,0)</f>
        <v>#N/A</v>
      </c>
      <c r="AC14" s="51" t="e">
        <f>VLOOKUP(A14,Enforcements!$C$7:$E$74,3,0)</f>
        <v>#N/A</v>
      </c>
    </row>
    <row r="15" spans="1:91" s="2" customFormat="1" x14ac:dyDescent="0.25">
      <c r="A15" s="43" t="s">
        <v>265</v>
      </c>
      <c r="B15" s="43">
        <v>4027</v>
      </c>
      <c r="C15" s="43" t="s">
        <v>60</v>
      </c>
      <c r="D15" s="43" t="s">
        <v>266</v>
      </c>
      <c r="E15" s="25">
        <v>42543.154143518521</v>
      </c>
      <c r="F15" s="25">
        <v>42543.154988425929</v>
      </c>
      <c r="G15" s="31">
        <v>1</v>
      </c>
      <c r="H15" s="25" t="s">
        <v>267</v>
      </c>
      <c r="I15" s="25">
        <v>42543.18340277778</v>
      </c>
      <c r="J15" s="43">
        <v>0</v>
      </c>
      <c r="K15" s="43" t="str">
        <f t="shared" si="0"/>
        <v>4027/4028</v>
      </c>
      <c r="L15" s="43" t="str">
        <f>VLOOKUP(A15,'Trips&amp;Operators'!$C$1:$E$10000,3,FALSE)</f>
        <v>STARKS</v>
      </c>
      <c r="M15" s="11">
        <f t="shared" si="1"/>
        <v>2.8414351851097308E-2</v>
      </c>
      <c r="N15" s="12">
        <f t="shared" si="2"/>
        <v>40.916666665580124</v>
      </c>
      <c r="O15" s="12"/>
      <c r="P15" s="12"/>
      <c r="Q15" s="44"/>
      <c r="R15" s="44"/>
      <c r="S15" s="72">
        <f t="shared" si="3"/>
        <v>1</v>
      </c>
      <c r="T15" s="2" t="str">
        <f t="shared" si="4"/>
        <v>NorthBound</v>
      </c>
      <c r="U15" s="2">
        <f>COUNTIFS(Variables!$M$2:$M$19, "&gt;=" &amp; Y15, Variables!$M$2:$M$19, "&lt;=" &amp; Z15)</f>
        <v>12</v>
      </c>
      <c r="V15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03:40:58-0600',mode:absolute,to:'2016-06-22 04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" s="50" t="str">
        <f t="shared" si="6"/>
        <v>N</v>
      </c>
      <c r="X15" s="50">
        <f t="shared" si="7"/>
        <v>1</v>
      </c>
      <c r="Y15" s="50">
        <f t="shared" si="8"/>
        <v>7.7200000000000005E-2</v>
      </c>
      <c r="Z15" s="50">
        <f t="shared" si="9"/>
        <v>23.338200000000001</v>
      </c>
      <c r="AA15" s="50">
        <f t="shared" si="10"/>
        <v>23.260999999999999</v>
      </c>
      <c r="AB15" s="51" t="e">
        <f>VLOOKUP(A15,Enforcements!$C$7:$J$74,8,0)</f>
        <v>#N/A</v>
      </c>
      <c r="AC15" s="51" t="e">
        <f>VLOOKUP(A15,Enforcements!$C$7:$E$74,3,0)</f>
        <v>#N/A</v>
      </c>
    </row>
    <row r="16" spans="1:91" s="2" customFormat="1" x14ac:dyDescent="0.25">
      <c r="A16" s="43" t="s">
        <v>268</v>
      </c>
      <c r="B16" s="43">
        <v>4012</v>
      </c>
      <c r="C16" s="43" t="s">
        <v>60</v>
      </c>
      <c r="D16" s="43" t="s">
        <v>269</v>
      </c>
      <c r="E16" s="25">
        <v>42543.192824074074</v>
      </c>
      <c r="F16" s="25">
        <v>42543.193749999999</v>
      </c>
      <c r="G16" s="31">
        <v>1</v>
      </c>
      <c r="H16" s="25" t="s">
        <v>270</v>
      </c>
      <c r="I16" s="25">
        <v>42543.223032407404</v>
      </c>
      <c r="J16" s="43">
        <v>1</v>
      </c>
      <c r="K16" s="43" t="str">
        <f t="shared" si="0"/>
        <v>4011/4012</v>
      </c>
      <c r="L16" s="43" t="str">
        <f>VLOOKUP(A16,'Trips&amp;Operators'!$C$1:$E$10000,3,FALSE)</f>
        <v>STARKS</v>
      </c>
      <c r="M16" s="11">
        <f t="shared" si="1"/>
        <v>2.9282407405844424E-2</v>
      </c>
      <c r="N16" s="12">
        <f t="shared" si="2"/>
        <v>42.16666666441597</v>
      </c>
      <c r="O16" s="12"/>
      <c r="P16" s="12"/>
      <c r="Q16" s="44"/>
      <c r="R16" s="44"/>
      <c r="S16" s="72">
        <f t="shared" si="3"/>
        <v>1</v>
      </c>
      <c r="T16" s="2" t="str">
        <f t="shared" si="4"/>
        <v>Southbound</v>
      </c>
      <c r="U16" s="2">
        <f>COUNTIFS(Variables!$M$2:$M$19, "&lt;=" &amp; Y16, Variables!$M$2:$M$19, "&gt;=" &amp; Z16)</f>
        <v>12</v>
      </c>
      <c r="V16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04:36:40-0600',mode:absolute,to:'2016-06-22 05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6" s="50" t="str">
        <f t="shared" si="6"/>
        <v>N</v>
      </c>
      <c r="X16" s="50">
        <f t="shared" si="7"/>
        <v>1</v>
      </c>
      <c r="Y16" s="50">
        <f t="shared" si="8"/>
        <v>23.277100000000001</v>
      </c>
      <c r="Z16" s="50">
        <f t="shared" si="9"/>
        <v>4.3499999999999997E-2</v>
      </c>
      <c r="AA16" s="50">
        <f t="shared" si="10"/>
        <v>23.233599999999999</v>
      </c>
      <c r="AB16" s="51">
        <f>VLOOKUP(A16,Enforcements!$C$7:$J$74,8,0)</f>
        <v>1</v>
      </c>
      <c r="AC16" s="51" t="str">
        <f>VLOOKUP(A16,Enforcements!$C$7:$E$74,3,0)</f>
        <v>TRACK WARRANT AUTHORITY</v>
      </c>
    </row>
    <row r="17" spans="1:29" s="2" customFormat="1" x14ac:dyDescent="0.25">
      <c r="A17" s="43" t="s">
        <v>271</v>
      </c>
      <c r="B17" s="43">
        <v>4024</v>
      </c>
      <c r="C17" s="43" t="s">
        <v>60</v>
      </c>
      <c r="D17" s="43" t="s">
        <v>272</v>
      </c>
      <c r="E17" s="25">
        <v>42543.170694444445</v>
      </c>
      <c r="F17" s="25">
        <v>42543.17255787037</v>
      </c>
      <c r="G17" s="31">
        <v>2</v>
      </c>
      <c r="H17" s="25" t="s">
        <v>130</v>
      </c>
      <c r="I17" s="25">
        <v>42543.203356481485</v>
      </c>
      <c r="J17" s="43">
        <v>0</v>
      </c>
      <c r="K17" s="43" t="str">
        <f t="shared" si="0"/>
        <v>4023/4024</v>
      </c>
      <c r="L17" s="43" t="str">
        <f>VLOOKUP(A17,'Trips&amp;Operators'!$C$1:$E$10000,3,FALSE)</f>
        <v>STAMBAUGH</v>
      </c>
      <c r="M17" s="11">
        <f t="shared" si="1"/>
        <v>3.0798611114732921E-2</v>
      </c>
      <c r="N17" s="12">
        <f t="shared" si="2"/>
        <v>44.350000005215406</v>
      </c>
      <c r="O17" s="12"/>
      <c r="P17" s="12"/>
      <c r="Q17" s="44"/>
      <c r="R17" s="44"/>
      <c r="S17" s="72">
        <f t="shared" si="3"/>
        <v>1</v>
      </c>
      <c r="T17" s="2" t="str">
        <f t="shared" si="4"/>
        <v>NorthBound</v>
      </c>
      <c r="U17" s="2">
        <f>COUNTIFS(Variables!$M$2:$M$19, "&gt;=" &amp; Y17, Variables!$M$2:$M$19, "&lt;=" &amp; Z17)</f>
        <v>12</v>
      </c>
      <c r="V17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04:04:48-0600',mode:absolute,to:'2016-06-22 04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7" s="50" t="str">
        <f t="shared" si="6"/>
        <v>N</v>
      </c>
      <c r="X17" s="50">
        <f t="shared" si="7"/>
        <v>1</v>
      </c>
      <c r="Y17" s="50">
        <f t="shared" si="8"/>
        <v>7.3700000000000002E-2</v>
      </c>
      <c r="Z17" s="50">
        <f t="shared" si="9"/>
        <v>23.3291</v>
      </c>
      <c r="AA17" s="50">
        <f t="shared" si="10"/>
        <v>23.255400000000002</v>
      </c>
      <c r="AB17" s="51" t="e">
        <f>VLOOKUP(A17,Enforcements!$C$7:$J$74,8,0)</f>
        <v>#N/A</v>
      </c>
      <c r="AC17" s="51" t="e">
        <f>VLOOKUP(A17,Enforcements!$C$7:$E$74,3,0)</f>
        <v>#N/A</v>
      </c>
    </row>
    <row r="18" spans="1:29" s="2" customFormat="1" x14ac:dyDescent="0.25">
      <c r="A18" s="43" t="s">
        <v>273</v>
      </c>
      <c r="B18" s="43">
        <v>4039</v>
      </c>
      <c r="C18" s="43" t="s">
        <v>60</v>
      </c>
      <c r="D18" s="43" t="s">
        <v>274</v>
      </c>
      <c r="E18" s="25">
        <v>42543.210914351854</v>
      </c>
      <c r="F18" s="25">
        <v>42543.213356481479</v>
      </c>
      <c r="G18" s="31">
        <v>3</v>
      </c>
      <c r="H18" s="25" t="s">
        <v>275</v>
      </c>
      <c r="I18" s="25">
        <v>42543.244583333333</v>
      </c>
      <c r="J18" s="43">
        <v>1</v>
      </c>
      <c r="K18" s="43" t="str">
        <f t="shared" si="0"/>
        <v>4039/4040</v>
      </c>
      <c r="L18" s="43" t="str">
        <f>VLOOKUP(A18,'Trips&amp;Operators'!$C$1:$E$10000,3,FALSE)</f>
        <v>STAMBAUGH</v>
      </c>
      <c r="M18" s="11">
        <f t="shared" si="1"/>
        <v>3.1226851853716653E-2</v>
      </c>
      <c r="N18" s="12">
        <f t="shared" si="2"/>
        <v>44.96666666935198</v>
      </c>
      <c r="O18" s="12"/>
      <c r="P18" s="12"/>
      <c r="Q18" s="44"/>
      <c r="R18" s="44"/>
      <c r="S18" s="72">
        <f t="shared" si="3"/>
        <v>1</v>
      </c>
      <c r="T18" s="2" t="str">
        <f t="shared" si="4"/>
        <v>Southbound</v>
      </c>
      <c r="U18" s="2">
        <f>COUNTIFS(Variables!$M$2:$M$19, "&lt;=" &amp; Y18, Variables!$M$2:$M$19, "&gt;=" &amp; Z18)</f>
        <v>12</v>
      </c>
      <c r="V18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05:02:43-0600',mode:absolute,to:'2016-06-22 05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" s="50" t="str">
        <f t="shared" si="6"/>
        <v>N</v>
      </c>
      <c r="X18" s="50">
        <f t="shared" si="7"/>
        <v>1</v>
      </c>
      <c r="Y18" s="50">
        <f t="shared" si="8"/>
        <v>23.264199999999999</v>
      </c>
      <c r="Z18" s="50">
        <f t="shared" si="9"/>
        <v>1.2999999999999999E-2</v>
      </c>
      <c r="AA18" s="50">
        <f t="shared" si="10"/>
        <v>23.251199999999997</v>
      </c>
      <c r="AB18" s="51">
        <f>VLOOKUP(A18,Enforcements!$C$7:$J$74,8,0)</f>
        <v>1</v>
      </c>
      <c r="AC18" s="51" t="str">
        <f>VLOOKUP(A18,Enforcements!$C$7:$E$74,3,0)</f>
        <v>TRACK WARRANT AUTHORITY</v>
      </c>
    </row>
    <row r="19" spans="1:29" s="2" customFormat="1" x14ac:dyDescent="0.25">
      <c r="A19" s="43" t="s">
        <v>276</v>
      </c>
      <c r="B19" s="43">
        <v>4007</v>
      </c>
      <c r="C19" s="43" t="s">
        <v>60</v>
      </c>
      <c r="D19" s="43" t="s">
        <v>187</v>
      </c>
      <c r="E19" s="25">
        <v>42543.180381944447</v>
      </c>
      <c r="F19" s="25">
        <v>42543.181458333333</v>
      </c>
      <c r="G19" s="31">
        <v>1</v>
      </c>
      <c r="H19" s="25" t="s">
        <v>277</v>
      </c>
      <c r="I19" s="25">
        <v>42543.214826388888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KILLION</v>
      </c>
      <c r="M19" s="11">
        <f t="shared" si="1"/>
        <v>3.3368055555911269E-2</v>
      </c>
      <c r="N19" s="12">
        <f t="shared" si="2"/>
        <v>48.050000000512227</v>
      </c>
      <c r="O19" s="12"/>
      <c r="P19" s="12"/>
      <c r="Q19" s="44"/>
      <c r="R19" s="44"/>
      <c r="S19" s="72">
        <f t="shared" si="3"/>
        <v>1</v>
      </c>
      <c r="T19" s="2" t="str">
        <f t="shared" si="4"/>
        <v>NorthBound</v>
      </c>
      <c r="U19" s="2">
        <f>COUNTIFS(Variables!$M$2:$M$19, "&gt;=" &amp; Y19, Variables!$M$2:$M$19, "&lt;=" &amp; Z19)</f>
        <v>12</v>
      </c>
      <c r="V19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04:18:45-0600',mode:absolute,to:'2016-06-22 05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50" t="str">
        <f t="shared" si="6"/>
        <v>N</v>
      </c>
      <c r="X19" s="50">
        <f t="shared" si="7"/>
        <v>1</v>
      </c>
      <c r="Y19" s="50">
        <f t="shared" si="8"/>
        <v>4.8399999999999999E-2</v>
      </c>
      <c r="Z19" s="50">
        <f t="shared" si="9"/>
        <v>23.3263</v>
      </c>
      <c r="AA19" s="50">
        <f t="shared" si="10"/>
        <v>23.277899999999999</v>
      </c>
      <c r="AB19" s="51" t="e">
        <f>VLOOKUP(A19,Enforcements!$C$7:$J$74,8,0)</f>
        <v>#N/A</v>
      </c>
      <c r="AC19" s="51" t="e">
        <f>VLOOKUP(A19,Enforcements!$C$7:$E$74,3,0)</f>
        <v>#N/A</v>
      </c>
    </row>
    <row r="20" spans="1:29" s="2" customFormat="1" x14ac:dyDescent="0.25">
      <c r="A20" s="43" t="s">
        <v>278</v>
      </c>
      <c r="B20" s="43">
        <v>4008</v>
      </c>
      <c r="C20" s="43" t="s">
        <v>60</v>
      </c>
      <c r="D20" s="43" t="s">
        <v>279</v>
      </c>
      <c r="E20" s="25">
        <v>42543.219918981478</v>
      </c>
      <c r="F20" s="25">
        <v>42543.221215277779</v>
      </c>
      <c r="G20" s="31">
        <v>1</v>
      </c>
      <c r="H20" s="25" t="s">
        <v>280</v>
      </c>
      <c r="I20" s="25">
        <v>42543.253831018519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KILLION</v>
      </c>
      <c r="M20" s="11">
        <f t="shared" si="1"/>
        <v>3.2615740739856847E-2</v>
      </c>
      <c r="N20" s="12">
        <f t="shared" si="2"/>
        <v>46.966666665393859</v>
      </c>
      <c r="O20" s="12"/>
      <c r="P20" s="12"/>
      <c r="Q20" s="44"/>
      <c r="R20" s="44"/>
      <c r="S20" s="72">
        <f t="shared" si="3"/>
        <v>1</v>
      </c>
      <c r="T20" s="2" t="str">
        <f t="shared" si="4"/>
        <v>Southbound</v>
      </c>
      <c r="U20" s="2">
        <f>COUNTIFS(Variables!$M$2:$M$19, "&lt;=" &amp; Y20, Variables!$M$2:$M$19, "&gt;=" &amp; Z20)</f>
        <v>12</v>
      </c>
      <c r="V20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05:15:41-0600',mode:absolute,to:'2016-06-22 06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50" t="str">
        <f t="shared" si="6"/>
        <v>N</v>
      </c>
      <c r="X20" s="50">
        <f t="shared" si="7"/>
        <v>1</v>
      </c>
      <c r="Y20" s="50">
        <f t="shared" si="8"/>
        <v>23.294899999999998</v>
      </c>
      <c r="Z20" s="50">
        <f t="shared" si="9"/>
        <v>1.2500000000000001E-2</v>
      </c>
      <c r="AA20" s="50">
        <f t="shared" si="10"/>
        <v>23.282399999999999</v>
      </c>
      <c r="AB20" s="51" t="e">
        <f>VLOOKUP(A20,Enforcements!$C$7:$J$74,8,0)</f>
        <v>#N/A</v>
      </c>
      <c r="AC20" s="51" t="e">
        <f>VLOOKUP(A20,Enforcements!$C$7:$E$74,3,0)</f>
        <v>#N/A</v>
      </c>
    </row>
    <row r="21" spans="1:29" s="2" customFormat="1" x14ac:dyDescent="0.25">
      <c r="A21" s="43" t="s">
        <v>281</v>
      </c>
      <c r="B21" s="43">
        <v>4042</v>
      </c>
      <c r="C21" s="43" t="s">
        <v>60</v>
      </c>
      <c r="D21" s="43" t="s">
        <v>133</v>
      </c>
      <c r="E21" s="25">
        <v>42543.192361111112</v>
      </c>
      <c r="F21" s="25">
        <v>42543.193807870368</v>
      </c>
      <c r="G21" s="31">
        <v>2</v>
      </c>
      <c r="H21" s="25" t="s">
        <v>282</v>
      </c>
      <c r="I21" s="25">
        <v>42543.22388888889</v>
      </c>
      <c r="J21" s="43">
        <v>0</v>
      </c>
      <c r="K21" s="43" t="str">
        <f t="shared" si="0"/>
        <v>4041/4042</v>
      </c>
      <c r="L21" s="43" t="str">
        <f>VLOOKUP(A21,'Trips&amp;Operators'!$C$1:$E$10000,3,FALSE)</f>
        <v>ACKERMAN</v>
      </c>
      <c r="M21" s="11">
        <f t="shared" si="1"/>
        <v>3.0081018521741498E-2</v>
      </c>
      <c r="N21" s="12">
        <f t="shared" si="2"/>
        <v>43.316666671307757</v>
      </c>
      <c r="O21" s="12"/>
      <c r="P21" s="12"/>
      <c r="Q21" s="44"/>
      <c r="R21" s="44"/>
      <c r="S21" s="72">
        <f t="shared" si="3"/>
        <v>1</v>
      </c>
      <c r="T21" s="2" t="str">
        <f t="shared" si="4"/>
        <v>NorthBound</v>
      </c>
      <c r="U21" s="2">
        <f>COUNTIFS(Variables!$M$2:$M$19, "&gt;=" &amp; Y21, Variables!$M$2:$M$19, "&lt;=" &amp; Z21)</f>
        <v>12</v>
      </c>
      <c r="V21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04:36:00-0600',mode:absolute,to:'2016-06-22 05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1" s="50" t="str">
        <f t="shared" si="6"/>
        <v>N</v>
      </c>
      <c r="X21" s="50">
        <f t="shared" si="7"/>
        <v>1</v>
      </c>
      <c r="Y21" s="50">
        <f t="shared" si="8"/>
        <v>4.5499999999999999E-2</v>
      </c>
      <c r="Z21" s="50">
        <f t="shared" si="9"/>
        <v>23.330500000000001</v>
      </c>
      <c r="AA21" s="50">
        <f t="shared" si="10"/>
        <v>23.285</v>
      </c>
      <c r="AB21" s="51" t="e">
        <f>VLOOKUP(A21,Enforcements!$C$7:$J$74,8,0)</f>
        <v>#N/A</v>
      </c>
      <c r="AC21" s="51" t="e">
        <f>VLOOKUP(A21,Enforcements!$C$7:$E$74,3,0)</f>
        <v>#N/A</v>
      </c>
    </row>
    <row r="22" spans="1:29" s="2" customFormat="1" x14ac:dyDescent="0.25">
      <c r="A22" s="43" t="s">
        <v>283</v>
      </c>
      <c r="B22" s="43">
        <v>4041</v>
      </c>
      <c r="C22" s="43" t="s">
        <v>60</v>
      </c>
      <c r="D22" s="43" t="s">
        <v>94</v>
      </c>
      <c r="E22" s="25">
        <v>42543.231458333335</v>
      </c>
      <c r="F22" s="25">
        <v>42543.232511574075</v>
      </c>
      <c r="G22" s="31">
        <v>1</v>
      </c>
      <c r="H22" s="25" t="s">
        <v>199</v>
      </c>
      <c r="I22" s="25">
        <v>42543.26662037037</v>
      </c>
      <c r="J22" s="43">
        <v>0</v>
      </c>
      <c r="K22" s="43" t="str">
        <f t="shared" si="0"/>
        <v>4041/4042</v>
      </c>
      <c r="L22" s="43" t="str">
        <f>VLOOKUP(A22,'Trips&amp;Operators'!$C$1:$E$10000,3,FALSE)</f>
        <v>ACKERMAN</v>
      </c>
      <c r="M22" s="11">
        <f t="shared" si="1"/>
        <v>3.4108796295186039E-2</v>
      </c>
      <c r="N22" s="12">
        <f t="shared" si="2"/>
        <v>49.116666665067896</v>
      </c>
      <c r="O22" s="12"/>
      <c r="P22" s="12"/>
      <c r="Q22" s="44"/>
      <c r="R22" s="44"/>
      <c r="S22" s="72">
        <f t="shared" si="3"/>
        <v>1</v>
      </c>
      <c r="T22" s="2" t="str">
        <f t="shared" si="4"/>
        <v>Southbound</v>
      </c>
      <c r="U22" s="2">
        <f>COUNTIFS(Variables!$M$2:$M$19, "&lt;=" &amp; Y22, Variables!$M$2:$M$19, "&gt;=" &amp; Z22)</f>
        <v>12</v>
      </c>
      <c r="V22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05:32:18-0600',mode:absolute,to:'2016-06-22 06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50" t="str">
        <f t="shared" si="6"/>
        <v>N</v>
      </c>
      <c r="X22" s="50">
        <f t="shared" si="7"/>
        <v>1</v>
      </c>
      <c r="Y22" s="50">
        <f t="shared" si="8"/>
        <v>23.297499999999999</v>
      </c>
      <c r="Z22" s="50">
        <f t="shared" si="9"/>
        <v>1.34E-2</v>
      </c>
      <c r="AA22" s="50">
        <f t="shared" si="10"/>
        <v>23.284099999999999</v>
      </c>
      <c r="AB22" s="51" t="e">
        <f>VLOOKUP(A22,Enforcements!$C$7:$J$74,8,0)</f>
        <v>#N/A</v>
      </c>
      <c r="AC22" s="51" t="e">
        <f>VLOOKUP(A22,Enforcements!$C$7:$E$74,3,0)</f>
        <v>#N/A</v>
      </c>
    </row>
    <row r="23" spans="1:29" s="2" customFormat="1" x14ac:dyDescent="0.25">
      <c r="A23" s="43" t="s">
        <v>284</v>
      </c>
      <c r="B23" s="43">
        <v>4044</v>
      </c>
      <c r="C23" s="43" t="s">
        <v>60</v>
      </c>
      <c r="D23" s="43" t="s">
        <v>285</v>
      </c>
      <c r="E23" s="25">
        <v>42543.202604166669</v>
      </c>
      <c r="F23" s="25">
        <v>42543.204641203702</v>
      </c>
      <c r="G23" s="31">
        <v>2</v>
      </c>
      <c r="H23" s="25" t="s">
        <v>114</v>
      </c>
      <c r="I23" s="25">
        <v>42543.23609953704</v>
      </c>
      <c r="J23" s="43">
        <v>0</v>
      </c>
      <c r="K23" s="43" t="str">
        <f t="shared" si="0"/>
        <v>4043/4044</v>
      </c>
      <c r="L23" s="43" t="str">
        <f>VLOOKUP(A23,'Trips&amp;Operators'!$C$1:$E$10000,3,FALSE)</f>
        <v>MAYBERRY</v>
      </c>
      <c r="M23" s="11">
        <f t="shared" si="1"/>
        <v>3.1458333338377997E-2</v>
      </c>
      <c r="N23" s="12">
        <f t="shared" si="2"/>
        <v>45.300000007264316</v>
      </c>
      <c r="O23" s="12"/>
      <c r="P23" s="12"/>
      <c r="Q23" s="44"/>
      <c r="R23" s="44"/>
      <c r="S23" s="72">
        <f t="shared" si="3"/>
        <v>1</v>
      </c>
      <c r="T23" s="2" t="str">
        <f t="shared" si="4"/>
        <v>NorthBound</v>
      </c>
      <c r="U23" s="2">
        <f>COUNTIFS(Variables!$M$2:$M$19, "&gt;=" &amp; Y23, Variables!$M$2:$M$19, "&lt;=" &amp; Z23)</f>
        <v>12</v>
      </c>
      <c r="V23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04:50:45-0600',mode:absolute,to:'2016-06-22 05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3" s="50" t="str">
        <f t="shared" si="6"/>
        <v>N</v>
      </c>
      <c r="X23" s="50">
        <f t="shared" si="7"/>
        <v>1</v>
      </c>
      <c r="Y23" s="50">
        <f t="shared" si="8"/>
        <v>7.8100000000000003E-2</v>
      </c>
      <c r="Z23" s="50">
        <f t="shared" si="9"/>
        <v>23.328900000000001</v>
      </c>
      <c r="AA23" s="50">
        <f t="shared" si="10"/>
        <v>23.250800000000002</v>
      </c>
      <c r="AB23" s="51" t="e">
        <f>VLOOKUP(A23,Enforcements!$C$7:$J$74,8,0)</f>
        <v>#N/A</v>
      </c>
      <c r="AC23" s="51" t="e">
        <f>VLOOKUP(A23,Enforcements!$C$7:$E$74,3,0)</f>
        <v>#N/A</v>
      </c>
    </row>
    <row r="24" spans="1:29" s="2" customFormat="1" x14ac:dyDescent="0.25">
      <c r="A24" s="43" t="s">
        <v>286</v>
      </c>
      <c r="B24" s="43">
        <v>4043</v>
      </c>
      <c r="C24" s="43" t="s">
        <v>60</v>
      </c>
      <c r="D24" s="43" t="s">
        <v>287</v>
      </c>
      <c r="E24" s="25">
        <v>42543.238645833335</v>
      </c>
      <c r="F24" s="25">
        <v>42543.239803240744</v>
      </c>
      <c r="G24" s="31">
        <v>1</v>
      </c>
      <c r="H24" s="25" t="s">
        <v>127</v>
      </c>
      <c r="I24" s="25">
        <v>42543.274398148147</v>
      </c>
      <c r="J24" s="43">
        <v>0</v>
      </c>
      <c r="K24" s="43" t="str">
        <f t="shared" si="0"/>
        <v>4043/4044</v>
      </c>
      <c r="L24" s="43" t="str">
        <f>VLOOKUP(A24,'Trips&amp;Operators'!$C$1:$E$10000,3,FALSE)</f>
        <v>MAYBERRY</v>
      </c>
      <c r="M24" s="11">
        <f t="shared" si="1"/>
        <v>3.4594907403516117E-2</v>
      </c>
      <c r="N24" s="12">
        <f t="shared" si="2"/>
        <v>49.816666661063209</v>
      </c>
      <c r="O24" s="12"/>
      <c r="P24" s="12"/>
      <c r="Q24" s="44"/>
      <c r="R24" s="44"/>
      <c r="S24" s="72">
        <f t="shared" si="3"/>
        <v>1</v>
      </c>
      <c r="T24" s="2" t="str">
        <f t="shared" si="4"/>
        <v>Southbound</v>
      </c>
      <c r="U24" s="2">
        <f>COUNTIFS(Variables!$M$2:$M$19, "&lt;=" &amp; Y24, Variables!$M$2:$M$19, "&gt;=" &amp; Z24)</f>
        <v>12</v>
      </c>
      <c r="V2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05:42:39-0600',mode:absolute,to:'2016-06-22 06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4" s="50" t="str">
        <f t="shared" si="6"/>
        <v>N</v>
      </c>
      <c r="X24" s="50">
        <f t="shared" si="7"/>
        <v>1</v>
      </c>
      <c r="Y24" s="50">
        <f t="shared" si="8"/>
        <v>23.297899999999998</v>
      </c>
      <c r="Z24" s="50">
        <f t="shared" si="9"/>
        <v>1.7000000000000001E-2</v>
      </c>
      <c r="AA24" s="50">
        <f t="shared" si="10"/>
        <v>23.280899999999999</v>
      </c>
      <c r="AB24" s="51" t="e">
        <f>VLOOKUP(A24,Enforcements!$C$7:$J$74,8,0)</f>
        <v>#N/A</v>
      </c>
      <c r="AC24" s="51" t="e">
        <f>VLOOKUP(A24,Enforcements!$C$7:$E$74,3,0)</f>
        <v>#N/A</v>
      </c>
    </row>
    <row r="25" spans="1:29" s="2" customFormat="1" x14ac:dyDescent="0.25">
      <c r="A25" s="43" t="s">
        <v>288</v>
      </c>
      <c r="B25" s="43">
        <v>4009</v>
      </c>
      <c r="C25" s="43" t="s">
        <v>60</v>
      </c>
      <c r="D25" s="43" t="s">
        <v>156</v>
      </c>
      <c r="E25" s="25">
        <v>42543.204363425924</v>
      </c>
      <c r="F25" s="25">
        <v>42543.205717592595</v>
      </c>
      <c r="G25" s="31">
        <v>1</v>
      </c>
      <c r="H25" s="25" t="s">
        <v>262</v>
      </c>
      <c r="I25" s="25">
        <v>42543.244259259256</v>
      </c>
      <c r="J25" s="43">
        <v>0</v>
      </c>
      <c r="K25" s="43" t="str">
        <f t="shared" si="0"/>
        <v>4009/4010</v>
      </c>
      <c r="L25" s="43" t="str">
        <f>VLOOKUP(A25,'Trips&amp;Operators'!$C$1:$E$10000,3,FALSE)</f>
        <v>YORK</v>
      </c>
      <c r="M25" s="11">
        <f t="shared" si="1"/>
        <v>3.8541666661330964E-2</v>
      </c>
      <c r="N25" s="12">
        <f t="shared" si="2"/>
        <v>55.499999992316589</v>
      </c>
      <c r="O25" s="12"/>
      <c r="P25" s="12"/>
      <c r="Q25" s="44"/>
      <c r="R25" s="44"/>
      <c r="S25" s="72">
        <f t="shared" si="3"/>
        <v>1</v>
      </c>
      <c r="T25" s="2" t="str">
        <f t="shared" si="4"/>
        <v>NorthBound</v>
      </c>
      <c r="U25" s="2">
        <f>COUNTIFS(Variables!$M$2:$M$19, "&gt;=" &amp; Y25, Variables!$M$2:$M$19, "&lt;=" &amp; Z25)</f>
        <v>12</v>
      </c>
      <c r="V25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04:53:17-0600',mode:absolute,to:'2016-06-22 05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5" s="50" t="str">
        <f t="shared" si="6"/>
        <v>N</v>
      </c>
      <c r="X25" s="50">
        <f t="shared" si="7"/>
        <v>1</v>
      </c>
      <c r="Y25" s="50">
        <f t="shared" si="8"/>
        <v>4.5100000000000001E-2</v>
      </c>
      <c r="Z25" s="50">
        <f t="shared" si="9"/>
        <v>23.329899999999999</v>
      </c>
      <c r="AA25" s="50">
        <f t="shared" si="10"/>
        <v>23.284799999999997</v>
      </c>
      <c r="AB25" s="51" t="e">
        <f>VLOOKUP(A25,Enforcements!$C$7:$J$74,8,0)</f>
        <v>#N/A</v>
      </c>
      <c r="AC25" s="51" t="e">
        <f>VLOOKUP(A25,Enforcements!$C$7:$E$74,3,0)</f>
        <v>#N/A</v>
      </c>
    </row>
    <row r="26" spans="1:29" s="2" customFormat="1" x14ac:dyDescent="0.25">
      <c r="A26" s="43" t="s">
        <v>289</v>
      </c>
      <c r="B26" s="43">
        <v>4010</v>
      </c>
      <c r="C26" s="43" t="s">
        <v>60</v>
      </c>
      <c r="D26" s="43" t="s">
        <v>71</v>
      </c>
      <c r="E26" s="25">
        <v>42543.245625000003</v>
      </c>
      <c r="F26" s="25">
        <v>42543.246249999997</v>
      </c>
      <c r="G26" s="31">
        <v>0</v>
      </c>
      <c r="H26" s="25" t="s">
        <v>131</v>
      </c>
      <c r="I26" s="25">
        <v>42543.283784722225</v>
      </c>
      <c r="J26" s="43">
        <v>1</v>
      </c>
      <c r="K26" s="43" t="str">
        <f t="shared" si="0"/>
        <v>4009/4010</v>
      </c>
      <c r="L26" s="43" t="str">
        <f>VLOOKUP(A26,'Trips&amp;Operators'!$C$1:$E$10000,3,FALSE)</f>
        <v>YORK</v>
      </c>
      <c r="M26" s="11">
        <f t="shared" si="1"/>
        <v>3.7534722228883766E-2</v>
      </c>
      <c r="N26" s="12">
        <f t="shared" si="2"/>
        <v>54.050000009592623</v>
      </c>
      <c r="O26" s="12"/>
      <c r="P26" s="12"/>
      <c r="Q26" s="44"/>
      <c r="R26" s="44"/>
      <c r="S26" s="72">
        <f t="shared" si="3"/>
        <v>1</v>
      </c>
      <c r="T26" s="2" t="str">
        <f t="shared" si="4"/>
        <v>Southbound</v>
      </c>
      <c r="U26" s="2">
        <f>COUNTIFS(Variables!$M$2:$M$19, "&lt;=" &amp; Y26, Variables!$M$2:$M$19, "&gt;=" &amp; Z26)</f>
        <v>12</v>
      </c>
      <c r="V26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05:52:42-0600',mode:absolute,to:'2016-06-22 06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6" s="50" t="str">
        <f t="shared" si="6"/>
        <v>N</v>
      </c>
      <c r="X26" s="50">
        <f t="shared" si="7"/>
        <v>1</v>
      </c>
      <c r="Y26" s="50">
        <f t="shared" si="8"/>
        <v>23.297699999999999</v>
      </c>
      <c r="Z26" s="50">
        <f t="shared" si="9"/>
        <v>1.3899999999999999E-2</v>
      </c>
      <c r="AA26" s="50">
        <f t="shared" si="10"/>
        <v>23.283799999999999</v>
      </c>
      <c r="AB26" s="51">
        <f>VLOOKUP(A26,Enforcements!$C$7:$J$74,8,0)</f>
        <v>127587</v>
      </c>
      <c r="AC26" s="51" t="str">
        <f>VLOOKUP(A26,Enforcements!$C$7:$E$74,3,0)</f>
        <v>SIGNAL</v>
      </c>
    </row>
    <row r="27" spans="1:29" s="2" customFormat="1" x14ac:dyDescent="0.25">
      <c r="A27" s="43" t="s">
        <v>290</v>
      </c>
      <c r="B27" s="43">
        <v>4027</v>
      </c>
      <c r="C27" s="43" t="s">
        <v>60</v>
      </c>
      <c r="D27" s="43" t="s">
        <v>291</v>
      </c>
      <c r="E27" s="25">
        <v>42543.226944444446</v>
      </c>
      <c r="F27" s="25">
        <v>42543.228402777779</v>
      </c>
      <c r="G27" s="31">
        <v>2</v>
      </c>
      <c r="H27" s="25" t="s">
        <v>292</v>
      </c>
      <c r="I27" s="25">
        <v>42543.254733796297</v>
      </c>
      <c r="J27" s="43">
        <v>1</v>
      </c>
      <c r="K27" s="43" t="str">
        <f t="shared" si="0"/>
        <v>4027/4028</v>
      </c>
      <c r="L27" s="43" t="str">
        <f>VLOOKUP(A27,'Trips&amp;Operators'!$C$1:$E$10000,3,FALSE)</f>
        <v>ROCHA</v>
      </c>
      <c r="M27" s="11">
        <f t="shared" si="1"/>
        <v>2.6331018518249039E-2</v>
      </c>
      <c r="N27" s="12">
        <f t="shared" si="2"/>
        <v>37.916666666278616</v>
      </c>
      <c r="O27" s="12"/>
      <c r="P27" s="12"/>
      <c r="Q27" s="44"/>
      <c r="R27" s="44"/>
      <c r="S27" s="72">
        <f t="shared" si="3"/>
        <v>1</v>
      </c>
      <c r="T27" s="2" t="str">
        <f t="shared" si="4"/>
        <v>NorthBound</v>
      </c>
      <c r="U27" s="2">
        <f>COUNTIFS(Variables!$M$2:$M$19, "&gt;=" &amp; Y27, Variables!$M$2:$M$19, "&lt;=" &amp; Z27)</f>
        <v>12</v>
      </c>
      <c r="V27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05:25:48-0600',mode:absolute,to:'2016-06-22 06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7" s="50" t="str">
        <f t="shared" si="6"/>
        <v>N</v>
      </c>
      <c r="X27" s="50">
        <f t="shared" si="7"/>
        <v>1</v>
      </c>
      <c r="Y27" s="50">
        <f t="shared" si="8"/>
        <v>7.6600000000000001E-2</v>
      </c>
      <c r="Z27" s="50">
        <f t="shared" si="9"/>
        <v>23.329799999999999</v>
      </c>
      <c r="AA27" s="50">
        <f t="shared" si="10"/>
        <v>23.2532</v>
      </c>
      <c r="AB27" s="51">
        <f>VLOOKUP(A27,Enforcements!$C$7:$J$74,8,0)</f>
        <v>233491</v>
      </c>
      <c r="AC27" s="51" t="str">
        <f>VLOOKUP(A27,Enforcements!$C$7:$E$74,3,0)</f>
        <v>TRACK WARRANT AUTHORITY</v>
      </c>
    </row>
    <row r="28" spans="1:29" s="2" customFormat="1" x14ac:dyDescent="0.25">
      <c r="A28" s="43" t="s">
        <v>293</v>
      </c>
      <c r="B28" s="43">
        <v>4028</v>
      </c>
      <c r="C28" s="43" t="s">
        <v>60</v>
      </c>
      <c r="D28" s="43" t="s">
        <v>184</v>
      </c>
      <c r="E28" s="25">
        <v>42543.266875000001</v>
      </c>
      <c r="F28" s="25">
        <v>42543.26766203704</v>
      </c>
      <c r="G28" s="31">
        <v>1</v>
      </c>
      <c r="H28" s="25" t="s">
        <v>61</v>
      </c>
      <c r="I28" s="25">
        <v>42543.295324074075</v>
      </c>
      <c r="J28" s="43">
        <v>0</v>
      </c>
      <c r="K28" s="43" t="str">
        <f t="shared" si="0"/>
        <v>4027/4028</v>
      </c>
      <c r="L28" s="43" t="str">
        <f>VLOOKUP(A28,'Trips&amp;Operators'!$C$1:$E$10000,3,FALSE)</f>
        <v>ROCHA</v>
      </c>
      <c r="M28" s="11">
        <f t="shared" si="1"/>
        <v>2.7662037035042886E-2</v>
      </c>
      <c r="N28" s="12">
        <f t="shared" si="2"/>
        <v>39.833333330461755</v>
      </c>
      <c r="O28" s="12"/>
      <c r="P28" s="12"/>
      <c r="Q28" s="44"/>
      <c r="R28" s="44"/>
      <c r="S28" s="72">
        <f t="shared" si="3"/>
        <v>1</v>
      </c>
      <c r="T28" s="2" t="str">
        <f t="shared" si="4"/>
        <v>Southbound</v>
      </c>
      <c r="U28" s="2">
        <f>COUNTIFS(Variables!$M$2:$M$19, "&lt;=" &amp; Y28, Variables!$M$2:$M$19, "&gt;=" &amp; Z28)</f>
        <v>12</v>
      </c>
      <c r="V28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06:23:18-0600',mode:absolute,to:'2016-06-22 07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8" s="50" t="str">
        <f t="shared" si="6"/>
        <v>N</v>
      </c>
      <c r="X28" s="50">
        <f t="shared" si="7"/>
        <v>1</v>
      </c>
      <c r="Y28" s="50">
        <f t="shared" si="8"/>
        <v>23.2989</v>
      </c>
      <c r="Z28" s="50">
        <f t="shared" si="9"/>
        <v>1.4500000000000001E-2</v>
      </c>
      <c r="AA28" s="50">
        <f t="shared" si="10"/>
        <v>23.284399999999998</v>
      </c>
      <c r="AB28" s="51" t="e">
        <f>VLOOKUP(A28,Enforcements!$C$7:$J$74,8,0)</f>
        <v>#N/A</v>
      </c>
      <c r="AC28" s="51" t="e">
        <f>VLOOKUP(A28,Enforcements!$C$7:$E$74,3,0)</f>
        <v>#N/A</v>
      </c>
    </row>
    <row r="29" spans="1:29" s="2" customFormat="1" x14ac:dyDescent="0.25">
      <c r="A29" s="43" t="s">
        <v>294</v>
      </c>
      <c r="B29" s="43">
        <v>4011</v>
      </c>
      <c r="C29" s="43" t="s">
        <v>60</v>
      </c>
      <c r="D29" s="43" t="s">
        <v>133</v>
      </c>
      <c r="E29" s="25">
        <v>42543.234074074076</v>
      </c>
      <c r="F29" s="25">
        <v>42543.235937500001</v>
      </c>
      <c r="G29" s="31">
        <v>2</v>
      </c>
      <c r="H29" s="25" t="s">
        <v>295</v>
      </c>
      <c r="I29" s="25">
        <v>42543.2658912037</v>
      </c>
      <c r="J29" s="43">
        <v>1</v>
      </c>
      <c r="K29" s="43" t="str">
        <f t="shared" si="0"/>
        <v>4011/4012</v>
      </c>
      <c r="L29" s="43" t="str">
        <f>VLOOKUP(A29,'Trips&amp;Operators'!$C$1:$E$10000,3,FALSE)</f>
        <v>STARKS</v>
      </c>
      <c r="M29" s="11">
        <f t="shared" si="1"/>
        <v>2.9953703698993195E-2</v>
      </c>
      <c r="N29" s="12">
        <f t="shared" si="2"/>
        <v>43.133333326550201</v>
      </c>
      <c r="O29" s="12"/>
      <c r="P29" s="12"/>
      <c r="Q29" s="44"/>
      <c r="R29" s="44"/>
      <c r="S29" s="72">
        <f t="shared" si="3"/>
        <v>1</v>
      </c>
      <c r="T29" s="2" t="str">
        <f t="shared" si="4"/>
        <v>NorthBound</v>
      </c>
      <c r="U29" s="2">
        <f>COUNTIFS(Variables!$M$2:$M$19, "&gt;=" &amp; Y29, Variables!$M$2:$M$19, "&lt;=" &amp; Z29)</f>
        <v>12</v>
      </c>
      <c r="V29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05:36:04-0600',mode:absolute,to:'2016-06-22 06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9" s="50" t="str">
        <f t="shared" si="6"/>
        <v>N</v>
      </c>
      <c r="X29" s="50">
        <f t="shared" si="7"/>
        <v>1</v>
      </c>
      <c r="Y29" s="50">
        <f t="shared" si="8"/>
        <v>4.5499999999999999E-2</v>
      </c>
      <c r="Z29" s="50">
        <f t="shared" si="9"/>
        <v>23.331800000000001</v>
      </c>
      <c r="AA29" s="50">
        <f t="shared" si="10"/>
        <v>23.286300000000001</v>
      </c>
      <c r="AB29" s="51">
        <f>VLOOKUP(A29,Enforcements!$C$7:$J$74,8,0)</f>
        <v>233491</v>
      </c>
      <c r="AC29" s="51" t="str">
        <f>VLOOKUP(A29,Enforcements!$C$7:$E$74,3,0)</f>
        <v>TRACK WARRANT AUTHORITY</v>
      </c>
    </row>
    <row r="30" spans="1:29" s="2" customFormat="1" x14ac:dyDescent="0.25">
      <c r="A30" s="43" t="s">
        <v>296</v>
      </c>
      <c r="B30" s="43">
        <v>4012</v>
      </c>
      <c r="C30" s="43" t="s">
        <v>60</v>
      </c>
      <c r="D30" s="43" t="s">
        <v>297</v>
      </c>
      <c r="E30" s="25">
        <v>42543.276284722226</v>
      </c>
      <c r="F30" s="25">
        <v>42543.277418981481</v>
      </c>
      <c r="G30" s="31">
        <v>1</v>
      </c>
      <c r="H30" s="25" t="s">
        <v>118</v>
      </c>
      <c r="I30" s="25">
        <v>42543.306770833333</v>
      </c>
      <c r="J30" s="43">
        <v>1</v>
      </c>
      <c r="K30" s="43" t="str">
        <f t="shared" si="0"/>
        <v>4011/4012</v>
      </c>
      <c r="L30" s="43" t="str">
        <f>VLOOKUP(A30,'Trips&amp;Operators'!$C$1:$E$10000,3,FALSE)</f>
        <v>STARKS</v>
      </c>
      <c r="M30" s="11">
        <f t="shared" si="1"/>
        <v>2.9351851851970423E-2</v>
      </c>
      <c r="N30" s="12">
        <f t="shared" si="2"/>
        <v>42.266666666837409</v>
      </c>
      <c r="O30" s="12"/>
      <c r="P30" s="12"/>
      <c r="Q30" s="44"/>
      <c r="R30" s="44"/>
      <c r="S30" s="72">
        <f t="shared" si="3"/>
        <v>1</v>
      </c>
      <c r="T30" s="2" t="str">
        <f t="shared" si="4"/>
        <v>Southbound</v>
      </c>
      <c r="U30" s="2">
        <f>COUNTIFS(Variables!$M$2:$M$19, "&lt;=" &amp; Y30, Variables!$M$2:$M$19, "&gt;=" &amp; Z30)</f>
        <v>12</v>
      </c>
      <c r="V30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06:36:51-0600',mode:absolute,to:'2016-06-22 07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0" s="50" t="str">
        <f t="shared" si="6"/>
        <v>N</v>
      </c>
      <c r="X30" s="50">
        <f t="shared" si="7"/>
        <v>1</v>
      </c>
      <c r="Y30" s="50">
        <f t="shared" si="8"/>
        <v>23.3003</v>
      </c>
      <c r="Z30" s="50">
        <f t="shared" si="9"/>
        <v>1.5800000000000002E-2</v>
      </c>
      <c r="AA30" s="50">
        <f t="shared" si="10"/>
        <v>23.284500000000001</v>
      </c>
      <c r="AB30" s="51">
        <f>VLOOKUP(A30,Enforcements!$C$7:$J$74,8,0)</f>
        <v>1</v>
      </c>
      <c r="AC30" s="51" t="str">
        <f>VLOOKUP(A30,Enforcements!$C$7:$E$74,3,0)</f>
        <v>TRACK WARRANT AUTHORITY</v>
      </c>
    </row>
    <row r="31" spans="1:29" s="2" customFormat="1" x14ac:dyDescent="0.25">
      <c r="A31" s="43" t="s">
        <v>298</v>
      </c>
      <c r="B31" s="43">
        <v>4024</v>
      </c>
      <c r="C31" s="43" t="s">
        <v>60</v>
      </c>
      <c r="D31" s="43" t="s">
        <v>299</v>
      </c>
      <c r="E31" s="25">
        <v>42543.248379629629</v>
      </c>
      <c r="F31" s="25">
        <v>42543.249479166669</v>
      </c>
      <c r="G31" s="31">
        <v>1</v>
      </c>
      <c r="H31" s="25" t="s">
        <v>114</v>
      </c>
      <c r="I31" s="25">
        <v>42543.277777777781</v>
      </c>
      <c r="J31" s="43">
        <v>0</v>
      </c>
      <c r="K31" s="43" t="str">
        <f t="shared" si="0"/>
        <v>4023/4024</v>
      </c>
      <c r="L31" s="43" t="str">
        <f>VLOOKUP(A31,'Trips&amp;Operators'!$C$1:$E$10000,3,FALSE)</f>
        <v>STAMBAUGH</v>
      </c>
      <c r="M31" s="11">
        <f t="shared" si="1"/>
        <v>2.8298611112404615E-2</v>
      </c>
      <c r="N31" s="12">
        <f t="shared" si="2"/>
        <v>40.750000001862645</v>
      </c>
      <c r="O31" s="12"/>
      <c r="P31" s="12"/>
      <c r="Q31" s="44"/>
      <c r="R31" s="44"/>
      <c r="S31" s="72">
        <f t="shared" si="3"/>
        <v>1</v>
      </c>
      <c r="T31" s="2" t="str">
        <f t="shared" si="4"/>
        <v>NorthBound</v>
      </c>
      <c r="U31" s="2">
        <f>COUNTIFS(Variables!$M$2:$M$19, "&gt;=" &amp; Y31, Variables!$M$2:$M$19, "&lt;=" &amp; Z31)</f>
        <v>12</v>
      </c>
      <c r="V31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05:56:40-0600',mode:absolute,to:'2016-06-22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1" s="50" t="str">
        <f t="shared" si="6"/>
        <v>N</v>
      </c>
      <c r="X31" s="50">
        <f t="shared" si="7"/>
        <v>1</v>
      </c>
      <c r="Y31" s="50">
        <f t="shared" si="8"/>
        <v>7.0999999999999994E-2</v>
      </c>
      <c r="Z31" s="50">
        <f t="shared" si="9"/>
        <v>23.328900000000001</v>
      </c>
      <c r="AA31" s="50">
        <f t="shared" si="10"/>
        <v>23.257899999999999</v>
      </c>
      <c r="AB31" s="51" t="e">
        <f>VLOOKUP(A31,Enforcements!$C$7:$J$74,8,0)</f>
        <v>#N/A</v>
      </c>
      <c r="AC31" s="51" t="e">
        <f>VLOOKUP(A31,Enforcements!$C$7:$E$74,3,0)</f>
        <v>#N/A</v>
      </c>
    </row>
    <row r="32" spans="1:29" s="2" customFormat="1" x14ac:dyDescent="0.25">
      <c r="A32" s="43" t="s">
        <v>300</v>
      </c>
      <c r="B32" s="43">
        <v>4023</v>
      </c>
      <c r="C32" s="43" t="s">
        <v>60</v>
      </c>
      <c r="D32" s="43" t="s">
        <v>301</v>
      </c>
      <c r="E32" s="25">
        <v>42543.284849537034</v>
      </c>
      <c r="F32" s="25">
        <v>42543.286296296297</v>
      </c>
      <c r="G32" s="31">
        <v>2</v>
      </c>
      <c r="H32" s="25" t="s">
        <v>84</v>
      </c>
      <c r="I32" s="25">
        <v>42543.317291666666</v>
      </c>
      <c r="J32" s="43">
        <v>1</v>
      </c>
      <c r="K32" s="43" t="str">
        <f t="shared" si="0"/>
        <v>4023/4024</v>
      </c>
      <c r="L32" s="43" t="str">
        <f>VLOOKUP(A32,'Trips&amp;Operators'!$C$1:$E$10000,3,FALSE)</f>
        <v>STAMBAUGH</v>
      </c>
      <c r="M32" s="11">
        <f t="shared" si="1"/>
        <v>3.0995370369055308E-2</v>
      </c>
      <c r="N32" s="12">
        <f t="shared" si="2"/>
        <v>44.633333331439644</v>
      </c>
      <c r="O32" s="12"/>
      <c r="P32" s="12"/>
      <c r="Q32" s="44"/>
      <c r="R32" s="44"/>
      <c r="S32" s="72">
        <f t="shared" si="3"/>
        <v>1</v>
      </c>
      <c r="T32" s="2" t="str">
        <f t="shared" si="4"/>
        <v>Southbound</v>
      </c>
      <c r="U32" s="2">
        <f>COUNTIFS(Variables!$M$2:$M$19, "&lt;=" &amp; Y32, Variables!$M$2:$M$19, "&gt;=" &amp; Z32)</f>
        <v>12</v>
      </c>
      <c r="V32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06:49:11-0600',mode:absolute,to:'2016-06-22 07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2" s="50" t="str">
        <f t="shared" si="6"/>
        <v>N</v>
      </c>
      <c r="X32" s="50">
        <f t="shared" si="7"/>
        <v>1</v>
      </c>
      <c r="Y32" s="50">
        <f t="shared" si="8"/>
        <v>23.295999999999999</v>
      </c>
      <c r="Z32" s="50">
        <f t="shared" si="9"/>
        <v>1.54E-2</v>
      </c>
      <c r="AA32" s="50">
        <f t="shared" si="10"/>
        <v>23.2806</v>
      </c>
      <c r="AB32" s="51">
        <f>VLOOKUP(A32,Enforcements!$C$7:$J$74,8,0)</f>
        <v>1</v>
      </c>
      <c r="AC32" s="51" t="str">
        <f>VLOOKUP(A32,Enforcements!$C$7:$E$74,3,0)</f>
        <v>TRACK WARRANT AUTHORITY</v>
      </c>
    </row>
    <row r="33" spans="1:29" s="2" customFormat="1" x14ac:dyDescent="0.25">
      <c r="A33" s="43" t="s">
        <v>302</v>
      </c>
      <c r="B33" s="43">
        <v>4007</v>
      </c>
      <c r="C33" s="43" t="s">
        <v>60</v>
      </c>
      <c r="D33" s="43" t="s">
        <v>303</v>
      </c>
      <c r="E33" s="25">
        <v>42543.257407407407</v>
      </c>
      <c r="F33" s="25">
        <v>42543.258564814816</v>
      </c>
      <c r="G33" s="31">
        <v>1</v>
      </c>
      <c r="H33" s="25" t="s">
        <v>304</v>
      </c>
      <c r="I33" s="25">
        <v>42543.259791666664</v>
      </c>
      <c r="J33" s="43">
        <v>1</v>
      </c>
      <c r="K33" s="43" t="str">
        <f t="shared" si="0"/>
        <v>4007/4008</v>
      </c>
      <c r="L33" s="43" t="str">
        <f>VLOOKUP(A33,'Trips&amp;Operators'!$C$1:$E$10000,3,FALSE)</f>
        <v>KILLION</v>
      </c>
      <c r="M33" s="11">
        <f t="shared" si="1"/>
        <v>1.2268518476048484E-3</v>
      </c>
      <c r="N33" s="12"/>
      <c r="O33" s="12"/>
      <c r="P33" s="12">
        <f>24*60*SUM($M33:$M33)</f>
        <v>1.7666666605509818</v>
      </c>
      <c r="Q33" s="44"/>
      <c r="R33" s="44" t="s">
        <v>550</v>
      </c>
      <c r="S33" s="72">
        <f t="shared" si="3"/>
        <v>0</v>
      </c>
      <c r="T33" s="2" t="str">
        <f t="shared" si="4"/>
        <v>NorthBound</v>
      </c>
      <c r="U33" s="2">
        <f>COUNTIFS(Variables!$M$2:$M$19, "&gt;=" &amp; Y33, Variables!$M$2:$M$19, "&lt;=" &amp; Z33)</f>
        <v>0</v>
      </c>
      <c r="V33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06:09:40-0600',mode:absolute,to:'2016-06-22 06:15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3" s="50" t="str">
        <f t="shared" si="6"/>
        <v>Y</v>
      </c>
      <c r="X33" s="50">
        <f t="shared" si="7"/>
        <v>1</v>
      </c>
      <c r="Y33" s="50">
        <f t="shared" si="8"/>
        <v>4.2000000000000003E-2</v>
      </c>
      <c r="Z33" s="50">
        <f t="shared" si="9"/>
        <v>0.1618</v>
      </c>
      <c r="AA33" s="50">
        <f t="shared" si="10"/>
        <v>0.11979999999999999</v>
      </c>
      <c r="AB33" s="51" t="e">
        <f>VLOOKUP(A33,Enforcements!$C$7:$J$74,8,0)</f>
        <v>#N/A</v>
      </c>
      <c r="AC33" s="51" t="e">
        <f>VLOOKUP(A33,Enforcements!$C$7:$E$74,3,0)</f>
        <v>#N/A</v>
      </c>
    </row>
    <row r="34" spans="1:29" s="2" customFormat="1" x14ac:dyDescent="0.25">
      <c r="A34" s="43" t="s">
        <v>305</v>
      </c>
      <c r="B34" s="43">
        <v>4008</v>
      </c>
      <c r="C34" s="43" t="s">
        <v>60</v>
      </c>
      <c r="D34" s="43" t="s">
        <v>306</v>
      </c>
      <c r="E34" s="25">
        <v>42543.294895833336</v>
      </c>
      <c r="F34" s="25">
        <v>42543.296111111114</v>
      </c>
      <c r="G34" s="31">
        <v>1</v>
      </c>
      <c r="H34" s="25" t="s">
        <v>307</v>
      </c>
      <c r="I34" s="25">
        <v>42543.322164351855</v>
      </c>
      <c r="J34" s="43">
        <v>0</v>
      </c>
      <c r="K34" s="43" t="str">
        <f t="shared" si="0"/>
        <v>4007/4008</v>
      </c>
      <c r="L34" s="43" t="str">
        <f>VLOOKUP(A34,'Trips&amp;Operators'!$C$1:$E$10000,3,FALSE)</f>
        <v>KILLION</v>
      </c>
      <c r="M34" s="11">
        <f t="shared" si="1"/>
        <v>2.6053240741021E-2</v>
      </c>
      <c r="N34" s="12"/>
      <c r="O34" s="12"/>
      <c r="P34" s="12">
        <f>24*60*SUM($M34:$M34)</f>
        <v>37.51666666707024</v>
      </c>
      <c r="Q34" s="44"/>
      <c r="R34" s="44" t="s">
        <v>554</v>
      </c>
      <c r="S34" s="72">
        <f t="shared" si="3"/>
        <v>1</v>
      </c>
      <c r="T34" s="2" t="str">
        <f t="shared" si="4"/>
        <v>Southbound</v>
      </c>
      <c r="U34" s="2">
        <f>COUNTIFS(Variables!$M$2:$M$19, "&lt;=" &amp; Y34, Variables!$M$2:$M$19, "&gt;=" &amp; Z34)</f>
        <v>12</v>
      </c>
      <c r="V3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07:03:39-0600',mode:absolute,to:'2016-06-22 07:44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4" s="50" t="str">
        <f t="shared" si="6"/>
        <v>Y</v>
      </c>
      <c r="X34" s="50">
        <f t="shared" si="7"/>
        <v>1</v>
      </c>
      <c r="Y34" s="50">
        <f t="shared" si="8"/>
        <v>23.307200000000002</v>
      </c>
      <c r="Z34" s="50">
        <f t="shared" si="9"/>
        <v>1.8778999999999999</v>
      </c>
      <c r="AA34" s="50">
        <f t="shared" si="10"/>
        <v>21.429300000000001</v>
      </c>
      <c r="AB34" s="51" t="e">
        <f>VLOOKUP(A34,Enforcements!$C$7:$J$74,8,0)</f>
        <v>#N/A</v>
      </c>
      <c r="AC34" s="51" t="e">
        <f>VLOOKUP(A34,Enforcements!$C$7:$E$74,3,0)</f>
        <v>#N/A</v>
      </c>
    </row>
    <row r="35" spans="1:29" s="2" customFormat="1" x14ac:dyDescent="0.25">
      <c r="A35" s="43" t="s">
        <v>308</v>
      </c>
      <c r="B35" s="43">
        <v>4042</v>
      </c>
      <c r="C35" s="43" t="s">
        <v>60</v>
      </c>
      <c r="D35" s="43" t="s">
        <v>156</v>
      </c>
      <c r="E35" s="25">
        <v>42543.268333333333</v>
      </c>
      <c r="F35" s="25">
        <v>42543.26939814815</v>
      </c>
      <c r="G35" s="31">
        <v>1</v>
      </c>
      <c r="H35" s="25" t="s">
        <v>309</v>
      </c>
      <c r="I35" s="25">
        <v>42543.297789351855</v>
      </c>
      <c r="J35" s="43">
        <v>3</v>
      </c>
      <c r="K35" s="43" t="str">
        <f t="shared" si="0"/>
        <v>4041/4042</v>
      </c>
      <c r="L35" s="43" t="str">
        <f>VLOOKUP(A35,'Trips&amp;Operators'!$C$1:$E$10000,3,FALSE)</f>
        <v>ACKERMAN</v>
      </c>
      <c r="M35" s="11">
        <f t="shared" si="1"/>
        <v>2.8391203704813961E-2</v>
      </c>
      <c r="N35" s="12">
        <f>24*60*SUM($M35:$M35)</f>
        <v>40.883333334932104</v>
      </c>
      <c r="O35" s="12"/>
      <c r="P35" s="12"/>
      <c r="Q35" s="44"/>
      <c r="R35" s="44"/>
      <c r="S35" s="72">
        <f t="shared" si="3"/>
        <v>1</v>
      </c>
      <c r="T35" s="2" t="str">
        <f t="shared" si="4"/>
        <v>NorthBound</v>
      </c>
      <c r="U35" s="2">
        <f>COUNTIFS(Variables!$M$2:$M$19, "&gt;=" &amp; Y35, Variables!$M$2:$M$19, "&lt;=" &amp; Z35)</f>
        <v>12</v>
      </c>
      <c r="V35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50" t="str">
        <f t="shared" si="6"/>
        <v>N</v>
      </c>
      <c r="X35" s="50">
        <f t="shared" si="7"/>
        <v>1</v>
      </c>
      <c r="Y35" s="50">
        <f t="shared" si="8"/>
        <v>4.5100000000000001E-2</v>
      </c>
      <c r="Z35" s="50">
        <f t="shared" si="9"/>
        <v>23.267499999999998</v>
      </c>
      <c r="AA35" s="50">
        <f t="shared" si="10"/>
        <v>23.222399999999997</v>
      </c>
      <c r="AB35" s="51">
        <f>VLOOKUP(A35,Enforcements!$C$7:$J$74,8,0)</f>
        <v>95978</v>
      </c>
      <c r="AC35" s="51" t="str">
        <f>VLOOKUP(A35,Enforcements!$C$7:$E$74,3,0)</f>
        <v>SIGNAL</v>
      </c>
    </row>
    <row r="36" spans="1:29" s="2" customFormat="1" x14ac:dyDescent="0.25">
      <c r="A36" s="43" t="s">
        <v>310</v>
      </c>
      <c r="B36" s="43">
        <v>4041</v>
      </c>
      <c r="C36" s="43" t="s">
        <v>60</v>
      </c>
      <c r="D36" s="43" t="s">
        <v>75</v>
      </c>
      <c r="E36" s="25">
        <v>42543.305787037039</v>
      </c>
      <c r="F36" s="25">
        <v>42543.306875000002</v>
      </c>
      <c r="G36" s="31">
        <v>1</v>
      </c>
      <c r="H36" s="25" t="s">
        <v>147</v>
      </c>
      <c r="I36" s="25">
        <v>42543.336967592593</v>
      </c>
      <c r="J36" s="43">
        <v>1</v>
      </c>
      <c r="K36" s="43" t="str">
        <f t="shared" si="0"/>
        <v>4041/4042</v>
      </c>
      <c r="L36" s="43" t="str">
        <f>VLOOKUP(A36,'Trips&amp;Operators'!$C$1:$E$10000,3,FALSE)</f>
        <v>ACKERMAN</v>
      </c>
      <c r="M36" s="11">
        <f t="shared" si="1"/>
        <v>3.0092592591245193E-2</v>
      </c>
      <c r="N36" s="12">
        <f>24*60*SUM($M36:$M36)</f>
        <v>43.333333331393078</v>
      </c>
      <c r="O36" s="12"/>
      <c r="P36" s="12"/>
      <c r="Q36" s="44"/>
      <c r="R36" s="44"/>
      <c r="S36" s="72">
        <f t="shared" si="3"/>
        <v>1</v>
      </c>
      <c r="T36" s="2" t="str">
        <f t="shared" si="4"/>
        <v>Southbound</v>
      </c>
      <c r="U36" s="2">
        <f>COUNTIFS(Variables!$M$2:$M$19, "&lt;=" &amp; Y36, Variables!$M$2:$M$19, "&gt;=" &amp; Z36)</f>
        <v>12</v>
      </c>
      <c r="V36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07:19:20-0600',mode:absolute,to:'2016-06-22 08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50" t="str">
        <f t="shared" si="6"/>
        <v>N</v>
      </c>
      <c r="X36" s="50">
        <f t="shared" si="7"/>
        <v>1</v>
      </c>
      <c r="Y36" s="50">
        <f t="shared" si="8"/>
        <v>23.299099999999999</v>
      </c>
      <c r="Z36" s="50">
        <f t="shared" si="9"/>
        <v>1.4999999999999999E-2</v>
      </c>
      <c r="AA36" s="50">
        <f t="shared" si="10"/>
        <v>23.284099999999999</v>
      </c>
      <c r="AB36" s="51">
        <f>VLOOKUP(A36,Enforcements!$C$7:$J$74,8,0)</f>
        <v>1</v>
      </c>
      <c r="AC36" s="51" t="str">
        <f>VLOOKUP(A36,Enforcements!$C$7:$E$74,3,0)</f>
        <v>TRACK WARRANT AUTHORITY</v>
      </c>
    </row>
    <row r="37" spans="1:29" s="2" customFormat="1" x14ac:dyDescent="0.25">
      <c r="A37" s="43" t="s">
        <v>311</v>
      </c>
      <c r="B37" s="43">
        <v>4044</v>
      </c>
      <c r="C37" s="43" t="s">
        <v>60</v>
      </c>
      <c r="D37" s="43" t="s">
        <v>150</v>
      </c>
      <c r="E37" s="25">
        <v>42543.276319444441</v>
      </c>
      <c r="F37" s="25">
        <v>42543.278495370374</v>
      </c>
      <c r="G37" s="31">
        <v>3</v>
      </c>
      <c r="H37" s="25" t="s">
        <v>150</v>
      </c>
      <c r="I37" s="25">
        <v>42543.279120370367</v>
      </c>
      <c r="J37" s="43">
        <v>0</v>
      </c>
      <c r="K37" s="43" t="str">
        <f t="shared" si="0"/>
        <v>4043/4044</v>
      </c>
      <c r="L37" s="43" t="str">
        <f>VLOOKUP(A37,'Trips&amp;Operators'!$C$1:$E$10000,3,FALSE)</f>
        <v>MAYBERRY</v>
      </c>
      <c r="M37" s="11">
        <f t="shared" si="1"/>
        <v>6.2499999330611899E-4</v>
      </c>
      <c r="N37" s="12"/>
      <c r="O37" s="12"/>
      <c r="P37" s="12">
        <f>24*60*SUM($M37:$M38)</f>
        <v>0.91666665044613183</v>
      </c>
      <c r="Q37" s="44"/>
      <c r="R37" s="44" t="s">
        <v>550</v>
      </c>
      <c r="S37" s="72">
        <f>SUM(U37:U38)/12</f>
        <v>1</v>
      </c>
      <c r="T37" s="2" t="str">
        <f t="shared" si="4"/>
        <v>NorthBound</v>
      </c>
      <c r="U37" s="2">
        <f>COUNTIFS(Variables!$M$2:$M$19, "&gt;=" &amp; Y37, Variables!$M$2:$M$19, "&lt;=" &amp; Z37)</f>
        <v>0</v>
      </c>
      <c r="V37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06:36:54-0600',mode:absolute,to:'2016-06-22 06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7" s="50" t="str">
        <f t="shared" si="6"/>
        <v>Y</v>
      </c>
      <c r="X37" s="50">
        <f t="shared" si="7"/>
        <v>1</v>
      </c>
      <c r="Y37" s="50">
        <f t="shared" si="8"/>
        <v>4.3099999999999999E-2</v>
      </c>
      <c r="Z37" s="50">
        <f t="shared" si="9"/>
        <v>4.3099999999999999E-2</v>
      </c>
      <c r="AA37" s="50">
        <f t="shared" si="10"/>
        <v>0</v>
      </c>
      <c r="AB37" s="51" t="e">
        <f>VLOOKUP(A37,Enforcements!$C$7:$J$74,8,0)</f>
        <v>#N/A</v>
      </c>
      <c r="AC37" s="51" t="e">
        <f>VLOOKUP(A37,Enforcements!$C$7:$E$74,3,0)</f>
        <v>#N/A</v>
      </c>
    </row>
    <row r="38" spans="1:29" s="2" customFormat="1" x14ac:dyDescent="0.25">
      <c r="A38" s="43" t="s">
        <v>311</v>
      </c>
      <c r="B38" s="43">
        <v>4044</v>
      </c>
      <c r="C38" s="43" t="s">
        <v>60</v>
      </c>
      <c r="D38" s="43" t="s">
        <v>188</v>
      </c>
      <c r="E38" s="25">
        <v>42543.276319444441</v>
      </c>
      <c r="F38" s="25">
        <v>42543.279386574075</v>
      </c>
      <c r="G38" s="31">
        <v>4</v>
      </c>
      <c r="H38" s="25" t="s">
        <v>143</v>
      </c>
      <c r="I38" s="25">
        <v>42543.279398148145</v>
      </c>
      <c r="J38" s="43">
        <v>3</v>
      </c>
      <c r="K38" s="43" t="str">
        <f t="shared" si="0"/>
        <v>4043/4044</v>
      </c>
      <c r="L38" s="43" t="str">
        <f>VLOOKUP(A38,'Trips&amp;Operators'!$C$1:$E$10000,3,FALSE)</f>
        <v>MAYBERRY</v>
      </c>
      <c r="M38" s="11">
        <f t="shared" si="1"/>
        <v>1.1574069503694773E-5</v>
      </c>
      <c r="N38" s="12"/>
      <c r="O38" s="12"/>
      <c r="P38" s="12"/>
      <c r="Q38" s="44"/>
      <c r="R38" s="44"/>
      <c r="S38" s="72"/>
      <c r="T38" s="2" t="str">
        <f t="shared" si="4"/>
        <v>NorthBound</v>
      </c>
      <c r="U38" s="2">
        <f>COUNTIFS(Variables!$M$2:$M$19, "&gt;=" &amp; Y38, Variables!$M$2:$M$19, "&lt;=" &amp; Z38)</f>
        <v>12</v>
      </c>
      <c r="V38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06:36:54-0600',mode:absolute,to:'2016-06-22 06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8" s="50" t="str">
        <f t="shared" si="6"/>
        <v>N</v>
      </c>
      <c r="X38" s="50">
        <f t="shared" si="7"/>
        <v>0</v>
      </c>
      <c r="Y38" s="50">
        <f t="shared" si="8"/>
        <v>4.4600000000000001E-2</v>
      </c>
      <c r="Z38" s="50">
        <f t="shared" si="9"/>
        <v>23.331199999999999</v>
      </c>
      <c r="AA38" s="50">
        <f t="shared" si="10"/>
        <v>23.2866</v>
      </c>
      <c r="AB38" s="51" t="e">
        <f>VLOOKUP(A38,Enforcements!$C$7:$J$74,8,0)</f>
        <v>#N/A</v>
      </c>
      <c r="AC38" s="51" t="e">
        <f>VLOOKUP(A38,Enforcements!$C$7:$E$74,3,0)</f>
        <v>#N/A</v>
      </c>
    </row>
    <row r="39" spans="1:29" s="2" customFormat="1" x14ac:dyDescent="0.25">
      <c r="A39" s="43" t="s">
        <v>312</v>
      </c>
      <c r="B39" s="43">
        <v>4043</v>
      </c>
      <c r="C39" s="43" t="s">
        <v>60</v>
      </c>
      <c r="D39" s="43" t="s">
        <v>183</v>
      </c>
      <c r="E39" s="25">
        <v>42543.309050925927</v>
      </c>
      <c r="F39" s="25">
        <v>42543.310196759259</v>
      </c>
      <c r="G39" s="31">
        <v>1</v>
      </c>
      <c r="H39" s="25" t="s">
        <v>313</v>
      </c>
      <c r="I39" s="25">
        <v>42543.343865740739</v>
      </c>
      <c r="J39" s="43">
        <v>0</v>
      </c>
      <c r="K39" s="43" t="str">
        <f t="shared" si="0"/>
        <v>4043/4044</v>
      </c>
      <c r="L39" s="43" t="str">
        <f>VLOOKUP(A39,'Trips&amp;Operators'!$C$1:$E$10000,3,FALSE)</f>
        <v>MAYBERRY</v>
      </c>
      <c r="M39" s="11">
        <f t="shared" si="1"/>
        <v>3.3668981479422655E-2</v>
      </c>
      <c r="N39" s="12"/>
      <c r="O39" s="12"/>
      <c r="P39" s="12">
        <f>24*60*SUM($M39:$M39)</f>
        <v>48.483333330368623</v>
      </c>
      <c r="Q39" s="44"/>
      <c r="R39" s="44" t="s">
        <v>554</v>
      </c>
      <c r="S39" s="72">
        <f>SUM(U39:U39)/12</f>
        <v>1</v>
      </c>
      <c r="T39" s="2" t="str">
        <f t="shared" si="4"/>
        <v>Southbound</v>
      </c>
      <c r="U39" s="2">
        <f>COUNTIFS(Variables!$M$2:$M$19, "&lt;=" &amp; Y39, Variables!$M$2:$M$19, "&gt;=" &amp; Z39)</f>
        <v>12</v>
      </c>
      <c r="V39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07:24:02-0600',mode:absolute,to:'2016-06-22 08:16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9" s="50" t="str">
        <f t="shared" si="6"/>
        <v>Y</v>
      </c>
      <c r="X39" s="50">
        <f t="shared" si="7"/>
        <v>1</v>
      </c>
      <c r="Y39" s="50">
        <f t="shared" si="8"/>
        <v>23.298200000000001</v>
      </c>
      <c r="Z39" s="50">
        <f t="shared" si="9"/>
        <v>1.8765000000000001</v>
      </c>
      <c r="AA39" s="50">
        <f t="shared" si="10"/>
        <v>21.421700000000001</v>
      </c>
      <c r="AB39" s="51" t="e">
        <f>VLOOKUP(A39,Enforcements!$C$7:$J$74,8,0)</f>
        <v>#N/A</v>
      </c>
      <c r="AC39" s="51" t="e">
        <f>VLOOKUP(A39,Enforcements!$C$7:$E$74,3,0)</f>
        <v>#N/A</v>
      </c>
    </row>
    <row r="40" spans="1:29" s="2" customFormat="1" x14ac:dyDescent="0.25">
      <c r="A40" s="43" t="s">
        <v>314</v>
      </c>
      <c r="B40" s="43">
        <v>4009</v>
      </c>
      <c r="C40" s="43" t="s">
        <v>60</v>
      </c>
      <c r="D40" s="43" t="s">
        <v>201</v>
      </c>
      <c r="E40" s="25">
        <v>42543.285219907404</v>
      </c>
      <c r="F40" s="25">
        <v>42543.285914351851</v>
      </c>
      <c r="G40" s="31">
        <v>0</v>
      </c>
      <c r="H40" s="25" t="s">
        <v>144</v>
      </c>
      <c r="I40" s="25">
        <v>42543.317187499997</v>
      </c>
      <c r="J40" s="43">
        <v>0</v>
      </c>
      <c r="K40" s="43" t="str">
        <f t="shared" si="0"/>
        <v>4009/4010</v>
      </c>
      <c r="L40" s="43" t="str">
        <f>VLOOKUP(A40,'Trips&amp;Operators'!$C$1:$E$10000,3,FALSE)</f>
        <v>YORK</v>
      </c>
      <c r="M40" s="11">
        <f t="shared" si="1"/>
        <v>3.1273148146283347E-2</v>
      </c>
      <c r="N40" s="12">
        <f>24*60*SUM($M40:$M40)</f>
        <v>45.03333333064802</v>
      </c>
      <c r="O40" s="12"/>
      <c r="P40" s="12"/>
      <c r="Q40" s="44"/>
      <c r="R40" s="44"/>
      <c r="S40" s="72">
        <f>SUM(U40:U40)/12</f>
        <v>1</v>
      </c>
      <c r="T40" s="2" t="str">
        <f t="shared" si="4"/>
        <v>NorthBound</v>
      </c>
      <c r="U40" s="2">
        <f>COUNTIFS(Variables!$M$2:$M$19, "&gt;=" &amp; Y40, Variables!$M$2:$M$19, "&lt;=" &amp; Z40)</f>
        <v>12</v>
      </c>
      <c r="V40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06:49:43-0600',mode:absolute,to:'2016-06-22 07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0" s="50" t="str">
        <f t="shared" si="6"/>
        <v>N</v>
      </c>
      <c r="X40" s="50">
        <f t="shared" si="7"/>
        <v>1</v>
      </c>
      <c r="Y40" s="50">
        <f t="shared" si="8"/>
        <v>4.3700000000000003E-2</v>
      </c>
      <c r="Z40" s="50">
        <f t="shared" si="9"/>
        <v>23.331</v>
      </c>
      <c r="AA40" s="50">
        <f t="shared" si="10"/>
        <v>23.287299999999998</v>
      </c>
      <c r="AB40" s="51" t="e">
        <f>VLOOKUP(A40,Enforcements!$C$7:$J$74,8,0)</f>
        <v>#N/A</v>
      </c>
      <c r="AC40" s="51" t="e">
        <f>VLOOKUP(A40,Enforcements!$C$7:$E$74,3,0)</f>
        <v>#N/A</v>
      </c>
    </row>
    <row r="41" spans="1:29" s="2" customFormat="1" x14ac:dyDescent="0.25">
      <c r="A41" s="43" t="s">
        <v>315</v>
      </c>
      <c r="B41" s="43">
        <v>4010</v>
      </c>
      <c r="C41" s="43" t="s">
        <v>60</v>
      </c>
      <c r="D41" s="43" t="s">
        <v>316</v>
      </c>
      <c r="E41" s="25">
        <v>42543.328009259261</v>
      </c>
      <c r="F41" s="25">
        <v>42543.328750000001</v>
      </c>
      <c r="G41" s="31">
        <v>1</v>
      </c>
      <c r="H41" s="25" t="s">
        <v>67</v>
      </c>
      <c r="I41" s="25">
        <v>42543.357094907406</v>
      </c>
      <c r="J41" s="43">
        <v>0</v>
      </c>
      <c r="K41" s="43" t="str">
        <f t="shared" si="0"/>
        <v>4009/4010</v>
      </c>
      <c r="L41" s="43" t="str">
        <f>VLOOKUP(A41,'Trips&amp;Operators'!$C$1:$E$10000,3,FALSE)</f>
        <v>YORK</v>
      </c>
      <c r="M41" s="11">
        <f t="shared" si="1"/>
        <v>2.8344907404971309E-2</v>
      </c>
      <c r="N41" s="12">
        <f>24*60*SUM($M41:$M41)</f>
        <v>40.816666663158685</v>
      </c>
      <c r="O41" s="12"/>
      <c r="P41" s="12"/>
      <c r="Q41" s="44"/>
      <c r="R41" s="44"/>
      <c r="S41" s="72">
        <f>SUM(U41:U41)/12</f>
        <v>1</v>
      </c>
      <c r="T41" s="2" t="str">
        <f t="shared" si="4"/>
        <v>Southbound</v>
      </c>
      <c r="U41" s="2">
        <f>COUNTIFS(Variables!$M$2:$M$19, "&lt;=" &amp; Y41, Variables!$M$2:$M$19, "&gt;=" &amp; Z41)</f>
        <v>12</v>
      </c>
      <c r="V41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07:51:20-0600',mode:absolute,to:'2016-06-22 08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1" s="50" t="str">
        <f t="shared" si="6"/>
        <v>N</v>
      </c>
      <c r="X41" s="50">
        <f t="shared" si="7"/>
        <v>1</v>
      </c>
      <c r="Y41" s="50">
        <f t="shared" si="8"/>
        <v>23.2987</v>
      </c>
      <c r="Z41" s="50">
        <f t="shared" si="9"/>
        <v>1.47E-2</v>
      </c>
      <c r="AA41" s="50">
        <f t="shared" si="10"/>
        <v>23.283999999999999</v>
      </c>
      <c r="AB41" s="51" t="e">
        <f>VLOOKUP(A41,Enforcements!$C$7:$J$74,8,0)</f>
        <v>#N/A</v>
      </c>
      <c r="AC41" s="51" t="e">
        <f>VLOOKUP(A41,Enforcements!$C$7:$E$74,3,0)</f>
        <v>#N/A</v>
      </c>
    </row>
    <row r="42" spans="1:29" s="2" customFormat="1" x14ac:dyDescent="0.25">
      <c r="A42" s="68" t="s">
        <v>317</v>
      </c>
      <c r="B42" s="43">
        <v>4027</v>
      </c>
      <c r="C42" s="43" t="s">
        <v>60</v>
      </c>
      <c r="D42" s="43" t="s">
        <v>318</v>
      </c>
      <c r="E42" s="25">
        <v>42543.299398148149</v>
      </c>
      <c r="F42" s="25">
        <v>42543.300810185188</v>
      </c>
      <c r="G42" s="31">
        <v>2</v>
      </c>
      <c r="H42" s="25" t="s">
        <v>145</v>
      </c>
      <c r="I42" s="25">
        <v>42543.327326388891</v>
      </c>
      <c r="J42" s="43">
        <v>0</v>
      </c>
      <c r="K42" s="43" t="str">
        <f t="shared" si="0"/>
        <v>4027/4028</v>
      </c>
      <c r="L42" s="43" t="str">
        <f>VLOOKUP(A42,'Trips&amp;Operators'!$C$1:$E$10000,3,FALSE)</f>
        <v>ROCHA</v>
      </c>
      <c r="M42" s="11">
        <f t="shared" si="1"/>
        <v>2.6516203703067731E-2</v>
      </c>
      <c r="N42" s="12">
        <f>24*60*SUM($M42:$M42)</f>
        <v>38.183333332417533</v>
      </c>
      <c r="O42" s="12"/>
      <c r="P42" s="12"/>
      <c r="Q42" s="44"/>
      <c r="R42" s="44"/>
      <c r="S42" s="72">
        <f>SUM(U42:U42)/12</f>
        <v>1</v>
      </c>
      <c r="T42" s="2" t="str">
        <f t="shared" si="4"/>
        <v>NorthBound</v>
      </c>
      <c r="U42" s="2">
        <f>COUNTIFS(Variables!$M$2:$M$19, "&gt;=" &amp; Y42, Variables!$M$2:$M$19, "&lt;=" &amp; Z42)</f>
        <v>12</v>
      </c>
      <c r="V42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07:10:08-0600',mode:absolute,to:'2016-06-22 07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2" s="50" t="str">
        <f t="shared" si="6"/>
        <v>N</v>
      </c>
      <c r="X42" s="50">
        <f t="shared" si="7"/>
        <v>1</v>
      </c>
      <c r="Y42" s="50">
        <f t="shared" si="8"/>
        <v>4.6600000000000003E-2</v>
      </c>
      <c r="Z42" s="50">
        <f t="shared" si="9"/>
        <v>23.3307</v>
      </c>
      <c r="AA42" s="50">
        <f t="shared" si="10"/>
        <v>23.284099999999999</v>
      </c>
      <c r="AB42" s="51" t="e">
        <f>VLOOKUP(A42,Enforcements!$C$7:$J$74,8,0)</f>
        <v>#N/A</v>
      </c>
      <c r="AC42" s="51" t="e">
        <f>VLOOKUP(A42,Enforcements!$C$7:$E$74,3,0)</f>
        <v>#N/A</v>
      </c>
    </row>
    <row r="43" spans="1:29" s="2" customFormat="1" x14ac:dyDescent="0.25">
      <c r="A43" s="43" t="s">
        <v>319</v>
      </c>
      <c r="B43" s="43">
        <v>4028</v>
      </c>
      <c r="C43" s="43" t="s">
        <v>60</v>
      </c>
      <c r="D43" s="43" t="s">
        <v>183</v>
      </c>
      <c r="E43" s="25">
        <v>42543.338159722225</v>
      </c>
      <c r="F43" s="25">
        <v>42543.338842592595</v>
      </c>
      <c r="G43" s="31">
        <v>0</v>
      </c>
      <c r="H43" s="25" t="s">
        <v>320</v>
      </c>
      <c r="I43" s="25">
        <v>42543.367372685185</v>
      </c>
      <c r="J43" s="43">
        <v>0</v>
      </c>
      <c r="K43" s="43" t="str">
        <f t="shared" si="0"/>
        <v>4027/4028</v>
      </c>
      <c r="L43" s="43" t="str">
        <f>VLOOKUP(A43,'Trips&amp;Operators'!$C$1:$E$10000,3,FALSE)</f>
        <v>ROCHA</v>
      </c>
      <c r="M43" s="11">
        <f t="shared" si="1"/>
        <v>2.8530092589790002E-2</v>
      </c>
      <c r="N43" s="12">
        <f>24*60*SUM($M43:$M43)</f>
        <v>41.083333329297602</v>
      </c>
      <c r="O43" s="12"/>
      <c r="P43" s="12"/>
      <c r="Q43" s="44"/>
      <c r="R43" s="44"/>
      <c r="S43" s="72">
        <f>SUM(U43:U43)/12</f>
        <v>1</v>
      </c>
      <c r="T43" s="2" t="str">
        <f t="shared" si="4"/>
        <v>Southbound</v>
      </c>
      <c r="U43" s="2">
        <f>COUNTIFS(Variables!$M$2:$M$19, "&lt;=" &amp; Y43, Variables!$M$2:$M$19, "&gt;=" &amp; Z43)</f>
        <v>12</v>
      </c>
      <c r="V43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08:05:57-0600',mode:absolute,to:'2016-06-22 08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3" s="50" t="str">
        <f t="shared" si="6"/>
        <v>N</v>
      </c>
      <c r="X43" s="50">
        <f t="shared" si="7"/>
        <v>1</v>
      </c>
      <c r="Y43" s="50">
        <f t="shared" si="8"/>
        <v>23.298200000000001</v>
      </c>
      <c r="Z43" s="50">
        <f t="shared" si="9"/>
        <v>3.6200000000000003E-2</v>
      </c>
      <c r="AA43" s="50">
        <f t="shared" si="10"/>
        <v>23.262</v>
      </c>
      <c r="AB43" s="51" t="e">
        <f>VLOOKUP(A43,Enforcements!$C$7:$J$74,8,0)</f>
        <v>#N/A</v>
      </c>
      <c r="AC43" s="51" t="e">
        <f>VLOOKUP(A43,Enforcements!$C$7:$E$74,3,0)</f>
        <v>#N/A</v>
      </c>
    </row>
    <row r="44" spans="1:29" s="2" customFormat="1" x14ac:dyDescent="0.25">
      <c r="A44" s="43" t="s">
        <v>321</v>
      </c>
      <c r="B44" s="43">
        <v>4011</v>
      </c>
      <c r="C44" s="43" t="s">
        <v>60</v>
      </c>
      <c r="D44" s="43" t="s">
        <v>323</v>
      </c>
      <c r="E44" s="25">
        <v>42543.309606481482</v>
      </c>
      <c r="F44" s="25">
        <v>42543.310694444444</v>
      </c>
      <c r="G44" s="31">
        <v>1</v>
      </c>
      <c r="H44" s="25" t="s">
        <v>324</v>
      </c>
      <c r="I44" s="25">
        <v>42543.313622685186</v>
      </c>
      <c r="J44" s="43">
        <v>0</v>
      </c>
      <c r="K44" s="43" t="str">
        <f t="shared" si="0"/>
        <v>4011/4012</v>
      </c>
      <c r="L44" s="43" t="str">
        <f>VLOOKUP(A44,'Trips&amp;Operators'!$C$1:$E$10000,3,FALSE)</f>
        <v>STARKS</v>
      </c>
      <c r="M44" s="11">
        <f t="shared" si="1"/>
        <v>2.9282407413120382E-3</v>
      </c>
      <c r="N44" s="12"/>
      <c r="O44" s="12"/>
      <c r="P44" s="12">
        <f>24*60*SUM($M44:$M45)</f>
        <v>36.883333332370967</v>
      </c>
      <c r="Q44" s="44"/>
      <c r="R44" s="44" t="s">
        <v>555</v>
      </c>
      <c r="S44" s="72">
        <f>SUM(U44:U45)/12</f>
        <v>1</v>
      </c>
      <c r="T44" s="2" t="str">
        <f t="shared" si="4"/>
        <v>NorthBound</v>
      </c>
      <c r="U44" s="2">
        <f>COUNTIFS(Variables!$M$2:$M$19, "&gt;=" &amp; Y44, Variables!$M$2:$M$19, "&lt;=" &amp; Z44)</f>
        <v>0</v>
      </c>
      <c r="V44" s="50" t="str">
        <f t="shared" si="5"/>
        <v>https://search-rtdc-monitor-bjffxe2xuh6vdkpspy63sjmuny.us-east-1.es.amazonaws.com/_plugin/kibana/#/discover/Steve-Slow-Train-Analysis-(2080s-and-2083s)?_g=(refreshInterval:(display:Off,section:0,value:0),time:(from:'2016-06-22 07:24:50-0600',mode:absolute,to:'2016-06-22 07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4" s="50" t="str">
        <f t="shared" si="6"/>
        <v>Y</v>
      </c>
      <c r="X44" s="50">
        <f t="shared" si="7"/>
        <v>1</v>
      </c>
      <c r="Y44" s="50">
        <f t="shared" si="8"/>
        <v>4.7100000000000003E-2</v>
      </c>
      <c r="Z44" s="50">
        <f t="shared" si="9"/>
        <v>0.1014</v>
      </c>
      <c r="AA44" s="50">
        <f t="shared" si="10"/>
        <v>5.4300000000000001E-2</v>
      </c>
      <c r="AB44" s="51">
        <f>VLOOKUP(A44,Enforcements!$C$7:$J$74,8,0)</f>
        <v>233491</v>
      </c>
      <c r="AC44" s="51" t="str">
        <f>VLOOKUP(A44,Enforcements!$C$7:$E$74,3,0)</f>
        <v>TRACK WARRANT AUTHORITY</v>
      </c>
    </row>
    <row r="45" spans="1:29" s="2" customFormat="1" x14ac:dyDescent="0.25">
      <c r="A45" s="43" t="s">
        <v>321</v>
      </c>
      <c r="B45" s="43">
        <v>4011</v>
      </c>
      <c r="C45" s="43" t="s">
        <v>60</v>
      </c>
      <c r="D45" s="43" t="s">
        <v>189</v>
      </c>
      <c r="E45" s="25">
        <v>42543.316747685189</v>
      </c>
      <c r="F45" s="25">
        <v>42543.317546296297</v>
      </c>
      <c r="G45" s="31">
        <v>1</v>
      </c>
      <c r="H45" s="25" t="s">
        <v>322</v>
      </c>
      <c r="I45" s="25">
        <v>42543.340231481481</v>
      </c>
      <c r="J45" s="43">
        <v>1</v>
      </c>
      <c r="K45" s="43" t="str">
        <f t="shared" ref="K45:K76" si="11">IF(ISEVEN(B45),(B45-1)&amp;"/"&amp;B45,B45&amp;"/"&amp;(B45+1))</f>
        <v>4011/4012</v>
      </c>
      <c r="L45" s="43" t="str">
        <f>VLOOKUP(A45,'Trips&amp;Operators'!$C$1:$E$10000,3,FALSE)</f>
        <v>STARKS</v>
      </c>
      <c r="M45" s="11">
        <f t="shared" ref="M45:M76" si="12">I45-F45</f>
        <v>2.2685185183945578E-2</v>
      </c>
      <c r="N45" s="12"/>
      <c r="O45" s="12"/>
      <c r="P45" s="12"/>
      <c r="Q45" s="44"/>
      <c r="R45" s="44"/>
      <c r="S45" s="72"/>
      <c r="T45" s="2" t="str">
        <f t="shared" ref="T45:T76" si="13">IF(ISEVEN(LEFT(A45,3)),"Southbound","NorthBound")</f>
        <v>NorthBound</v>
      </c>
      <c r="U45" s="2">
        <f>COUNTIFS(Variables!$M$2:$M$19, "&gt;=" &amp; Y45, Variables!$M$2:$M$19, "&lt;=" &amp; Z45)</f>
        <v>12</v>
      </c>
      <c r="V45" s="50" t="str">
        <f t="shared" ref="V45:V76" si="14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https://search-rtdc-monitor-bjffxe2xuh6vdkpspy63sjmuny.us-east-1.es.amazonaws.com/_plugin/kibana/#/discover/Steve-Slow-Train-Analysis-(2080s-and-2083s)?_g=(refreshInterval:(display:Off,section:0,value:0),time:(from:'2016-06-22 07:35:07-0600',mode:absolute,to:'2016-06-22 08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5" s="50" t="str">
        <f t="shared" ref="W45:W76" si="15">IF(AA45&lt;23,"Y","N")</f>
        <v>Y</v>
      </c>
      <c r="X45" s="50">
        <f t="shared" ref="X45:X76" si="16">VALUE(LEFT(A45,3))-VALUE(LEFT(A44,3))</f>
        <v>0</v>
      </c>
      <c r="Y45" s="50">
        <f t="shared" si="8"/>
        <v>1.9145000000000001</v>
      </c>
      <c r="Z45" s="50">
        <f t="shared" si="9"/>
        <v>23.328499999999998</v>
      </c>
      <c r="AA45" s="50">
        <f t="shared" ref="AA45:AA76" si="17">ABS(Z45-Y45)</f>
        <v>21.413999999999998</v>
      </c>
      <c r="AB45" s="51">
        <f>VLOOKUP(A45,Enforcements!$C$7:$J$74,8,0)</f>
        <v>233491</v>
      </c>
      <c r="AC45" s="51" t="str">
        <f>VLOOKUP(A45,Enforcements!$C$7:$E$74,3,0)</f>
        <v>TRACK WARRANT AUTHORITY</v>
      </c>
    </row>
    <row r="46" spans="1:29" s="2" customFormat="1" x14ac:dyDescent="0.25">
      <c r="A46" s="43" t="s">
        <v>325</v>
      </c>
      <c r="B46" s="43">
        <v>4012</v>
      </c>
      <c r="C46" s="43" t="s">
        <v>60</v>
      </c>
      <c r="D46" s="43" t="s">
        <v>326</v>
      </c>
      <c r="E46" s="25">
        <v>42543.35015046296</v>
      </c>
      <c r="F46" s="25">
        <v>42543.351180555554</v>
      </c>
      <c r="G46" s="31">
        <v>1</v>
      </c>
      <c r="H46" s="25" t="s">
        <v>327</v>
      </c>
      <c r="I46" s="25">
        <v>42543.381053240744</v>
      </c>
      <c r="J46" s="43">
        <v>3</v>
      </c>
      <c r="K46" s="43" t="str">
        <f t="shared" si="11"/>
        <v>4011/4012</v>
      </c>
      <c r="L46" s="43" t="str">
        <f>VLOOKUP(A46,'Trips&amp;Operators'!$C$1:$E$10000,3,FALSE)</f>
        <v>STARKS</v>
      </c>
      <c r="M46" s="11">
        <f t="shared" si="12"/>
        <v>2.9872685190639459E-2</v>
      </c>
      <c r="N46" s="12">
        <f t="shared" ref="N46:N65" si="18">24*60*SUM($M46:$M46)</f>
        <v>43.01666667452082</v>
      </c>
      <c r="O46" s="12"/>
      <c r="P46" s="12"/>
      <c r="Q46" s="44"/>
      <c r="R46" s="44"/>
      <c r="S46" s="72">
        <f t="shared" ref="S46:S81" si="19">SUM(U46:U46)/12</f>
        <v>1</v>
      </c>
      <c r="T46" s="2" t="str">
        <f t="shared" si="13"/>
        <v>Southbound</v>
      </c>
      <c r="U46" s="2">
        <f>COUNTIFS(Variables!$M$2:$M$19, "&lt;=" &amp; Y46, Variables!$M$2:$M$19, "&gt;=" &amp; Z46)</f>
        <v>12</v>
      </c>
      <c r="V46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6" s="50" t="str">
        <f t="shared" si="15"/>
        <v>N</v>
      </c>
      <c r="X46" s="50">
        <f t="shared" si="16"/>
        <v>1</v>
      </c>
      <c r="Y46" s="50">
        <f t="shared" si="8"/>
        <v>23.2974</v>
      </c>
      <c r="Z46" s="50">
        <f t="shared" si="9"/>
        <v>2.1100000000000001E-2</v>
      </c>
      <c r="AA46" s="50">
        <f t="shared" si="17"/>
        <v>23.276299999999999</v>
      </c>
      <c r="AB46" s="51">
        <f>VLOOKUP(A46,Enforcements!$C$7:$J$74,8,0)</f>
        <v>63309</v>
      </c>
      <c r="AC46" s="51" t="str">
        <f>VLOOKUP(A46,Enforcements!$C$7:$E$74,3,0)</f>
        <v>GRADE CROSSING</v>
      </c>
    </row>
    <row r="47" spans="1:29" s="2" customFormat="1" x14ac:dyDescent="0.25">
      <c r="A47" s="43" t="s">
        <v>328</v>
      </c>
      <c r="B47" s="43">
        <v>4024</v>
      </c>
      <c r="C47" s="43" t="s">
        <v>60</v>
      </c>
      <c r="D47" s="43" t="s">
        <v>222</v>
      </c>
      <c r="E47" s="25">
        <v>42543.318888888891</v>
      </c>
      <c r="F47" s="25">
        <v>42543.320057870369</v>
      </c>
      <c r="G47" s="31">
        <v>1</v>
      </c>
      <c r="H47" s="25" t="s">
        <v>185</v>
      </c>
      <c r="I47" s="25">
        <v>42543.349386574075</v>
      </c>
      <c r="J47" s="43">
        <v>0</v>
      </c>
      <c r="K47" s="43" t="str">
        <f t="shared" si="11"/>
        <v>4023/4024</v>
      </c>
      <c r="L47" s="43" t="str">
        <f>VLOOKUP(A47,'Trips&amp;Operators'!$C$1:$E$10000,3,FALSE)</f>
        <v>STAMBAUGH</v>
      </c>
      <c r="M47" s="11">
        <f t="shared" si="12"/>
        <v>2.9328703705687076E-2</v>
      </c>
      <c r="N47" s="12">
        <f t="shared" si="18"/>
        <v>42.233333336189389</v>
      </c>
      <c r="O47" s="12"/>
      <c r="P47" s="12"/>
      <c r="Q47" s="44"/>
      <c r="R47" s="44"/>
      <c r="S47" s="72">
        <f t="shared" si="19"/>
        <v>1</v>
      </c>
      <c r="T47" s="2" t="str">
        <f t="shared" si="13"/>
        <v>NorthBound</v>
      </c>
      <c r="U47" s="2">
        <f>COUNTIFS(Variables!$M$2:$M$19, "&gt;=" &amp; Y47, Variables!$M$2:$M$19, "&lt;=" &amp; Z47)</f>
        <v>12</v>
      </c>
      <c r="V47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07:38:12-0600',mode:absolute,to:'2016-06-22 08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7" s="50" t="str">
        <f t="shared" si="15"/>
        <v>N</v>
      </c>
      <c r="X47" s="50">
        <f t="shared" si="16"/>
        <v>1</v>
      </c>
      <c r="Y47" s="50">
        <f t="shared" si="8"/>
        <v>4.8899999999999999E-2</v>
      </c>
      <c r="Z47" s="50">
        <f t="shared" si="9"/>
        <v>23.327400000000001</v>
      </c>
      <c r="AA47" s="50">
        <f t="shared" si="17"/>
        <v>23.278500000000001</v>
      </c>
      <c r="AB47" s="51" t="e">
        <f>VLOOKUP(A47,Enforcements!$C$7:$J$74,8,0)</f>
        <v>#N/A</v>
      </c>
      <c r="AC47" s="51" t="e">
        <f>VLOOKUP(A47,Enforcements!$C$7:$E$74,3,0)</f>
        <v>#N/A</v>
      </c>
    </row>
    <row r="48" spans="1:29" s="2" customFormat="1" x14ac:dyDescent="0.25">
      <c r="A48" s="43" t="s">
        <v>329</v>
      </c>
      <c r="B48" s="43">
        <v>4023</v>
      </c>
      <c r="C48" s="43" t="s">
        <v>60</v>
      </c>
      <c r="D48" s="43" t="s">
        <v>330</v>
      </c>
      <c r="E48" s="25">
        <v>42543.356863425928</v>
      </c>
      <c r="F48" s="25">
        <v>42543.358136574076</v>
      </c>
      <c r="G48" s="31">
        <v>1</v>
      </c>
      <c r="H48" s="25" t="s">
        <v>147</v>
      </c>
      <c r="I48" s="25">
        <v>42543.38989583333</v>
      </c>
      <c r="J48" s="43">
        <v>1</v>
      </c>
      <c r="K48" s="43" t="str">
        <f t="shared" si="11"/>
        <v>4023/4024</v>
      </c>
      <c r="L48" s="43" t="str">
        <f>VLOOKUP(A48,'Trips&amp;Operators'!$C$1:$E$10000,3,FALSE)</f>
        <v>STAMBAUGH</v>
      </c>
      <c r="M48" s="11">
        <f t="shared" si="12"/>
        <v>3.1759259254613426E-2</v>
      </c>
      <c r="N48" s="12">
        <f t="shared" si="18"/>
        <v>45.733333326643333</v>
      </c>
      <c r="O48" s="12"/>
      <c r="P48" s="12"/>
      <c r="Q48" s="44"/>
      <c r="R48" s="44"/>
      <c r="S48" s="72">
        <f t="shared" si="19"/>
        <v>1</v>
      </c>
      <c r="T48" s="2" t="str">
        <f t="shared" si="13"/>
        <v>Southbound</v>
      </c>
      <c r="U48" s="2">
        <f>COUNTIFS(Variables!$M$2:$M$19, "&lt;=" &amp; Y48, Variables!$M$2:$M$19, "&gt;=" &amp; Z48)</f>
        <v>12</v>
      </c>
      <c r="V48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08:32:53-0600',mode:absolute,to:'2016-06-22 09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8" s="50" t="str">
        <f t="shared" si="15"/>
        <v>N</v>
      </c>
      <c r="X48" s="50">
        <f t="shared" si="16"/>
        <v>1</v>
      </c>
      <c r="Y48" s="50">
        <f t="shared" si="8"/>
        <v>23.293800000000001</v>
      </c>
      <c r="Z48" s="50">
        <v>1.54E-2</v>
      </c>
      <c r="AA48" s="50">
        <f t="shared" si="17"/>
        <v>23.278400000000001</v>
      </c>
      <c r="AB48" s="51">
        <f>VLOOKUP(A48,Enforcements!$C$7:$J$74,8,0)</f>
        <v>229055</v>
      </c>
      <c r="AC48" s="51" t="str">
        <f>VLOOKUP(A48,Enforcements!$C$7:$E$74,3,0)</f>
        <v>PERMANENT SPEED RESTRICTION</v>
      </c>
    </row>
    <row r="49" spans="1:29" s="2" customFormat="1" x14ac:dyDescent="0.25">
      <c r="A49" s="43" t="s">
        <v>331</v>
      </c>
      <c r="B49" s="43">
        <v>4040</v>
      </c>
      <c r="C49" s="43" t="s">
        <v>60</v>
      </c>
      <c r="D49" s="43" t="s">
        <v>332</v>
      </c>
      <c r="E49" s="25">
        <v>42543.330833333333</v>
      </c>
      <c r="F49" s="25">
        <v>42543.332268518519</v>
      </c>
      <c r="G49" s="31">
        <v>2</v>
      </c>
      <c r="H49" s="25" t="s">
        <v>112</v>
      </c>
      <c r="I49" s="25">
        <v>42543.359444444446</v>
      </c>
      <c r="J49" s="43">
        <v>0</v>
      </c>
      <c r="K49" s="43" t="str">
        <f t="shared" si="11"/>
        <v>4039/4040</v>
      </c>
      <c r="L49" s="43" t="str">
        <f>VLOOKUP(A49,'Trips&amp;Operators'!$C$1:$E$10000,3,FALSE)</f>
        <v>KILLION</v>
      </c>
      <c r="M49" s="11">
        <f t="shared" si="12"/>
        <v>2.7175925926712807E-2</v>
      </c>
      <c r="N49" s="12">
        <f t="shared" si="18"/>
        <v>39.133333334466442</v>
      </c>
      <c r="O49" s="12"/>
      <c r="P49" s="12"/>
      <c r="Q49" s="44"/>
      <c r="R49" s="44"/>
      <c r="S49" s="72">
        <f t="shared" si="19"/>
        <v>1</v>
      </c>
      <c r="T49" s="2" t="str">
        <f t="shared" si="13"/>
        <v>NorthBound</v>
      </c>
      <c r="U49" s="2">
        <f>COUNTIFS(Variables!$M$2:$M$19, "&gt;=" &amp; Y49, Variables!$M$2:$M$19, "&lt;=" &amp; Z49)</f>
        <v>12</v>
      </c>
      <c r="V49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07:55:24-0600',mode:absolute,to:'2016-06-22 08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9" s="50" t="str">
        <f t="shared" si="15"/>
        <v>N</v>
      </c>
      <c r="X49" s="50">
        <f t="shared" si="16"/>
        <v>1</v>
      </c>
      <c r="Y49" s="50">
        <f t="shared" si="8"/>
        <v>0.1492</v>
      </c>
      <c r="Z49" s="50">
        <f t="shared" ref="Z49:Z60" si="20">RIGHT(H49,LEN(H49)-4)/10000</f>
        <v>23.329499999999999</v>
      </c>
      <c r="AA49" s="50">
        <f t="shared" si="17"/>
        <v>23.180299999999999</v>
      </c>
      <c r="AB49" s="51" t="e">
        <f>VLOOKUP(A49,Enforcements!$C$7:$J$74,8,0)</f>
        <v>#N/A</v>
      </c>
      <c r="AC49" s="51" t="e">
        <f>VLOOKUP(A49,Enforcements!$C$7:$E$74,3,0)</f>
        <v>#N/A</v>
      </c>
    </row>
    <row r="50" spans="1:29" s="2" customFormat="1" x14ac:dyDescent="0.25">
      <c r="A50" s="43" t="s">
        <v>333</v>
      </c>
      <c r="B50" s="43">
        <v>4039</v>
      </c>
      <c r="C50" s="43" t="s">
        <v>60</v>
      </c>
      <c r="D50" s="43" t="s">
        <v>316</v>
      </c>
      <c r="E50" s="25">
        <v>42543.368541666663</v>
      </c>
      <c r="F50" s="25">
        <v>42543.369560185187</v>
      </c>
      <c r="G50" s="31">
        <v>1</v>
      </c>
      <c r="H50" s="25" t="s">
        <v>78</v>
      </c>
      <c r="I50" s="25">
        <v>42543.400219907409</v>
      </c>
      <c r="J50" s="43">
        <v>0</v>
      </c>
      <c r="K50" s="43" t="str">
        <f t="shared" si="11"/>
        <v>4039/4040</v>
      </c>
      <c r="L50" s="43" t="str">
        <f>VLOOKUP(A50,'Trips&amp;Operators'!$C$1:$E$10000,3,FALSE)</f>
        <v>KILLION</v>
      </c>
      <c r="M50" s="11">
        <f t="shared" si="12"/>
        <v>3.0659722222480923E-2</v>
      </c>
      <c r="N50" s="12">
        <f t="shared" si="18"/>
        <v>44.150000000372529</v>
      </c>
      <c r="O50" s="12"/>
      <c r="P50" s="12"/>
      <c r="Q50" s="44"/>
      <c r="R50" s="44"/>
      <c r="S50" s="72">
        <f t="shared" si="19"/>
        <v>1</v>
      </c>
      <c r="T50" s="2" t="str">
        <f t="shared" si="13"/>
        <v>Southbound</v>
      </c>
      <c r="U50" s="2">
        <f>COUNTIFS(Variables!$M$2:$M$19, "&lt;=" &amp; Y50, Variables!$M$2:$M$19, "&gt;=" &amp; Z50)</f>
        <v>12</v>
      </c>
      <c r="V50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08:49:42-0600',mode:absolute,to:'2016-06-22 09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50" t="str">
        <f t="shared" si="15"/>
        <v>N</v>
      </c>
      <c r="X50" s="50">
        <f t="shared" si="16"/>
        <v>1</v>
      </c>
      <c r="Y50" s="50">
        <f t="shared" si="8"/>
        <v>23.2987</v>
      </c>
      <c r="Z50" s="50">
        <f t="shared" si="20"/>
        <v>1.49E-2</v>
      </c>
      <c r="AA50" s="50">
        <f t="shared" si="17"/>
        <v>23.283799999999999</v>
      </c>
      <c r="AB50" s="51" t="e">
        <f>VLOOKUP(A50,Enforcements!$C$7:$J$74,8,0)</f>
        <v>#N/A</v>
      </c>
      <c r="AC50" s="51" t="e">
        <f>VLOOKUP(A50,Enforcements!$C$7:$E$74,3,0)</f>
        <v>#N/A</v>
      </c>
    </row>
    <row r="51" spans="1:29" s="2" customFormat="1" x14ac:dyDescent="0.25">
      <c r="A51" s="43" t="s">
        <v>334</v>
      </c>
      <c r="B51" s="43">
        <v>4042</v>
      </c>
      <c r="C51" s="43" t="s">
        <v>60</v>
      </c>
      <c r="D51" s="43" t="s">
        <v>318</v>
      </c>
      <c r="E51" s="25">
        <v>42543.340509259258</v>
      </c>
      <c r="F51" s="25">
        <v>42543.344155092593</v>
      </c>
      <c r="G51" s="31">
        <v>5</v>
      </c>
      <c r="H51" s="25" t="s">
        <v>335</v>
      </c>
      <c r="I51" s="25">
        <v>42543.372430555559</v>
      </c>
      <c r="J51" s="43">
        <v>1</v>
      </c>
      <c r="K51" s="43" t="str">
        <f t="shared" si="11"/>
        <v>4041/4042</v>
      </c>
      <c r="L51" s="43" t="str">
        <f>VLOOKUP(A51,'Trips&amp;Operators'!$C$1:$E$10000,3,FALSE)</f>
        <v>CUSHING</v>
      </c>
      <c r="M51" s="11">
        <f t="shared" si="12"/>
        <v>2.8275462966121268E-2</v>
      </c>
      <c r="N51" s="12">
        <f t="shared" si="18"/>
        <v>40.716666671214625</v>
      </c>
      <c r="O51" s="12"/>
      <c r="P51" s="12"/>
      <c r="Q51" s="44"/>
      <c r="R51" s="44"/>
      <c r="S51" s="72">
        <f t="shared" si="19"/>
        <v>1</v>
      </c>
      <c r="T51" s="2" t="str">
        <f t="shared" si="13"/>
        <v>NorthBound</v>
      </c>
      <c r="U51" s="2">
        <f>COUNTIFS(Variables!$M$2:$M$19, "&gt;=" &amp; Y51, Variables!$M$2:$M$19, "&lt;=" &amp; Z51)</f>
        <v>12</v>
      </c>
      <c r="V51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08:09:20-0600',mode:absolute,to:'2016-06-22 08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50" t="str">
        <f t="shared" si="15"/>
        <v>N</v>
      </c>
      <c r="X51" s="50">
        <f t="shared" si="16"/>
        <v>1</v>
      </c>
      <c r="Y51" s="50">
        <f t="shared" si="8"/>
        <v>4.6600000000000003E-2</v>
      </c>
      <c r="Z51" s="50">
        <f t="shared" si="20"/>
        <v>23.312799999999999</v>
      </c>
      <c r="AA51" s="50">
        <f t="shared" si="17"/>
        <v>23.266199999999998</v>
      </c>
      <c r="AB51" s="51">
        <f>VLOOKUP(A51,Enforcements!$C$7:$J$74,8,0)</f>
        <v>233491</v>
      </c>
      <c r="AC51" s="51" t="str">
        <f>VLOOKUP(A51,Enforcements!$C$7:$E$74,3,0)</f>
        <v>TRACK WARRANT AUTHORITY</v>
      </c>
    </row>
    <row r="52" spans="1:29" s="2" customFormat="1" x14ac:dyDescent="0.25">
      <c r="A52" s="43" t="s">
        <v>336</v>
      </c>
      <c r="B52" s="43">
        <v>4025</v>
      </c>
      <c r="C52" s="43" t="s">
        <v>60</v>
      </c>
      <c r="D52" s="43" t="s">
        <v>337</v>
      </c>
      <c r="E52" s="25">
        <v>42543.352835648147</v>
      </c>
      <c r="F52" s="25">
        <v>42543.353993055556</v>
      </c>
      <c r="G52" s="31">
        <v>1</v>
      </c>
      <c r="H52" s="25" t="s">
        <v>93</v>
      </c>
      <c r="I52" s="25">
        <v>42543.382233796299</v>
      </c>
      <c r="J52" s="43">
        <v>0</v>
      </c>
      <c r="K52" s="43" t="str">
        <f t="shared" si="11"/>
        <v>4025/4026</v>
      </c>
      <c r="L52" s="43" t="str">
        <f>VLOOKUP(A52,'Trips&amp;Operators'!$C$1:$E$10000,3,FALSE)</f>
        <v>MAYBERRY</v>
      </c>
      <c r="M52" s="11">
        <f t="shared" si="12"/>
        <v>2.8240740743058268E-2</v>
      </c>
      <c r="N52" s="12">
        <f t="shared" si="18"/>
        <v>40.666666670003906</v>
      </c>
      <c r="O52" s="12"/>
      <c r="P52" s="12"/>
      <c r="Q52" s="44"/>
      <c r="R52" s="44"/>
      <c r="S52" s="72">
        <f t="shared" si="19"/>
        <v>1</v>
      </c>
      <c r="T52" s="2" t="str">
        <f t="shared" si="13"/>
        <v>NorthBound</v>
      </c>
      <c r="U52" s="2">
        <f>COUNTIFS(Variables!$M$2:$M$19, "&gt;=" &amp; Y52, Variables!$M$2:$M$19, "&lt;=" &amp; Z52)</f>
        <v>12</v>
      </c>
      <c r="V52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08:27:05-0600',mode:absolute,to:'2016-06-22 09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2" s="50" t="str">
        <f t="shared" si="15"/>
        <v>N</v>
      </c>
      <c r="X52" s="50">
        <f t="shared" si="16"/>
        <v>2</v>
      </c>
      <c r="Y52" s="50">
        <f t="shared" si="8"/>
        <v>0.1154</v>
      </c>
      <c r="Z52" s="50">
        <f t="shared" si="20"/>
        <v>23.331499999999998</v>
      </c>
      <c r="AA52" s="50">
        <f t="shared" si="17"/>
        <v>23.216099999999997</v>
      </c>
      <c r="AB52" s="51" t="e">
        <f>VLOOKUP(A52,Enforcements!$C$7:$J$74,8,0)</f>
        <v>#N/A</v>
      </c>
      <c r="AC52" s="51" t="e">
        <f>VLOOKUP(A52,Enforcements!$C$7:$E$74,3,0)</f>
        <v>#N/A</v>
      </c>
    </row>
    <row r="53" spans="1:29" s="2" customFormat="1" x14ac:dyDescent="0.25">
      <c r="A53" s="43" t="s">
        <v>338</v>
      </c>
      <c r="B53" s="43">
        <v>4026</v>
      </c>
      <c r="C53" s="43" t="s">
        <v>60</v>
      </c>
      <c r="D53" s="43" t="s">
        <v>316</v>
      </c>
      <c r="E53" s="25">
        <v>42543.391909722224</v>
      </c>
      <c r="F53" s="25">
        <v>42543.392789351848</v>
      </c>
      <c r="G53" s="31">
        <v>1</v>
      </c>
      <c r="H53" s="25" t="s">
        <v>339</v>
      </c>
      <c r="I53" s="25">
        <v>42543.42119212963</v>
      </c>
      <c r="J53" s="43">
        <v>0</v>
      </c>
      <c r="K53" s="43" t="str">
        <f t="shared" si="11"/>
        <v>4025/4026</v>
      </c>
      <c r="L53" s="43" t="str">
        <f>VLOOKUP(A53,'Trips&amp;Operators'!$C$1:$E$10000,3,FALSE)</f>
        <v>MAYBERRY</v>
      </c>
      <c r="M53" s="11">
        <f t="shared" si="12"/>
        <v>2.8402777781593613E-2</v>
      </c>
      <c r="N53" s="12">
        <f t="shared" si="18"/>
        <v>40.900000005494803</v>
      </c>
      <c r="O53" s="12"/>
      <c r="P53" s="12"/>
      <c r="Q53" s="44"/>
      <c r="R53" s="44"/>
      <c r="S53" s="72">
        <f t="shared" si="19"/>
        <v>1</v>
      </c>
      <c r="T53" s="2" t="str">
        <f t="shared" si="13"/>
        <v>Southbound</v>
      </c>
      <c r="U53" s="2">
        <f>COUNTIFS(Variables!$M$2:$M$19, "&lt;=" &amp; Y53, Variables!$M$2:$M$19, "&gt;=" &amp; Z53)</f>
        <v>12</v>
      </c>
      <c r="V53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09:23:21-0600',mode:absolute,to:'2016-06-22 10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3" s="50" t="str">
        <f t="shared" si="15"/>
        <v>N</v>
      </c>
      <c r="X53" s="50">
        <f t="shared" si="16"/>
        <v>1</v>
      </c>
      <c r="Y53" s="50">
        <f t="shared" si="8"/>
        <v>23.2987</v>
      </c>
      <c r="Z53" s="50">
        <f t="shared" si="20"/>
        <v>1.6500000000000001E-2</v>
      </c>
      <c r="AA53" s="50">
        <f t="shared" si="17"/>
        <v>23.2822</v>
      </c>
      <c r="AB53" s="51" t="e">
        <f>VLOOKUP(A53,Enforcements!$C$7:$J$74,8,0)</f>
        <v>#N/A</v>
      </c>
      <c r="AC53" s="51" t="e">
        <f>VLOOKUP(A53,Enforcements!$C$7:$E$74,3,0)</f>
        <v>#N/A</v>
      </c>
    </row>
    <row r="54" spans="1:29" s="2" customFormat="1" x14ac:dyDescent="0.25">
      <c r="A54" s="43" t="s">
        <v>340</v>
      </c>
      <c r="B54" s="43">
        <v>4009</v>
      </c>
      <c r="C54" s="43" t="s">
        <v>60</v>
      </c>
      <c r="D54" s="43" t="s">
        <v>117</v>
      </c>
      <c r="E54" s="25">
        <v>42543.358564814815</v>
      </c>
      <c r="F54" s="25">
        <v>42543.359560185185</v>
      </c>
      <c r="G54" s="31">
        <v>1</v>
      </c>
      <c r="H54" s="25" t="s">
        <v>341</v>
      </c>
      <c r="I54" s="25">
        <v>42543.389618055553</v>
      </c>
      <c r="J54" s="43">
        <v>1</v>
      </c>
      <c r="K54" s="43" t="str">
        <f t="shared" si="11"/>
        <v>4009/4010</v>
      </c>
      <c r="L54" s="43" t="str">
        <f>VLOOKUP(A54,'Trips&amp;Operators'!$C$1:$E$10000,3,FALSE)</f>
        <v>YORK</v>
      </c>
      <c r="M54" s="11">
        <f t="shared" si="12"/>
        <v>3.0057870368182193E-2</v>
      </c>
      <c r="N54" s="12">
        <f t="shared" si="18"/>
        <v>43.283333330182359</v>
      </c>
      <c r="O54" s="12"/>
      <c r="P54" s="12"/>
      <c r="Q54" s="44"/>
      <c r="R54" s="44"/>
      <c r="S54" s="72">
        <f t="shared" si="19"/>
        <v>1</v>
      </c>
      <c r="T54" s="2" t="str">
        <f t="shared" si="13"/>
        <v>NorthBound</v>
      </c>
      <c r="U54" s="2">
        <f>COUNTIFS(Variables!$M$2:$M$19, "&gt;=" &amp; Y54, Variables!$M$2:$M$19, "&lt;=" &amp; Z54)</f>
        <v>12</v>
      </c>
      <c r="V54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08:35:20-0600',mode:absolute,to:'2016-06-22 09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4" s="50" t="str">
        <f t="shared" si="15"/>
        <v>N</v>
      </c>
      <c r="X54" s="50">
        <f t="shared" si="16"/>
        <v>1</v>
      </c>
      <c r="Y54" s="50">
        <f t="shared" si="8"/>
        <v>4.4900000000000002E-2</v>
      </c>
      <c r="Z54" s="50">
        <f t="shared" si="20"/>
        <v>23.332000000000001</v>
      </c>
      <c r="AA54" s="50">
        <f t="shared" si="17"/>
        <v>23.287100000000002</v>
      </c>
      <c r="AB54" s="51">
        <f>VLOOKUP(A54,Enforcements!$C$7:$J$74,8,0)</f>
        <v>233491</v>
      </c>
      <c r="AC54" s="51" t="str">
        <f>VLOOKUP(A54,Enforcements!$C$7:$E$74,3,0)</f>
        <v>TRACK WARRANT AUTHORITY</v>
      </c>
    </row>
    <row r="55" spans="1:29" s="2" customFormat="1" x14ac:dyDescent="0.25">
      <c r="A55" s="43" t="s">
        <v>342</v>
      </c>
      <c r="B55" s="43">
        <v>4010</v>
      </c>
      <c r="C55" s="43" t="s">
        <v>60</v>
      </c>
      <c r="D55" s="43" t="s">
        <v>94</v>
      </c>
      <c r="E55" s="25">
        <v>42543.395324074074</v>
      </c>
      <c r="F55" s="25">
        <v>42543.396145833336</v>
      </c>
      <c r="G55" s="31">
        <v>1</v>
      </c>
      <c r="H55" s="25" t="s">
        <v>67</v>
      </c>
      <c r="I55" s="25">
        <v>42543.429722222223</v>
      </c>
      <c r="J55" s="43">
        <v>0</v>
      </c>
      <c r="K55" s="43" t="str">
        <f t="shared" si="11"/>
        <v>4009/4010</v>
      </c>
      <c r="L55" s="43" t="str">
        <f>VLOOKUP(A55,'Trips&amp;Operators'!$C$1:$E$10000,3,FALSE)</f>
        <v>YORK</v>
      </c>
      <c r="M55" s="11">
        <f t="shared" si="12"/>
        <v>3.3576388887013309E-2</v>
      </c>
      <c r="N55" s="12">
        <f t="shared" si="18"/>
        <v>48.349999997299165</v>
      </c>
      <c r="O55" s="12"/>
      <c r="P55" s="12"/>
      <c r="Q55" s="44"/>
      <c r="R55" s="44"/>
      <c r="S55" s="72">
        <f t="shared" si="19"/>
        <v>1</v>
      </c>
      <c r="T55" s="2" t="str">
        <f t="shared" si="13"/>
        <v>Southbound</v>
      </c>
      <c r="U55" s="2">
        <f>COUNTIFS(Variables!$M$2:$M$19, "&lt;=" &amp; Y55, Variables!$M$2:$M$19, "&gt;=" &amp; Z55)</f>
        <v>12</v>
      </c>
      <c r="V55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09:28:16-0600',mode:absolute,to:'2016-06-22 10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5" s="50" t="str">
        <f t="shared" si="15"/>
        <v>N</v>
      </c>
      <c r="X55" s="50">
        <f t="shared" si="16"/>
        <v>1</v>
      </c>
      <c r="Y55" s="50">
        <f t="shared" si="8"/>
        <v>23.297499999999999</v>
      </c>
      <c r="Z55" s="50">
        <f t="shared" si="20"/>
        <v>1.47E-2</v>
      </c>
      <c r="AA55" s="50">
        <f t="shared" si="17"/>
        <v>23.282799999999998</v>
      </c>
      <c r="AB55" s="51" t="e">
        <f>VLOOKUP(A55,Enforcements!$C$7:$J$74,8,0)</f>
        <v>#N/A</v>
      </c>
      <c r="AC55" s="51" t="e">
        <f>VLOOKUP(A55,Enforcements!$C$7:$E$74,3,0)</f>
        <v>#N/A</v>
      </c>
    </row>
    <row r="56" spans="1:29" s="2" customFormat="1" x14ac:dyDescent="0.25">
      <c r="A56" s="43" t="s">
        <v>343</v>
      </c>
      <c r="B56" s="43">
        <v>4027</v>
      </c>
      <c r="C56" s="43" t="s">
        <v>60</v>
      </c>
      <c r="D56" s="43" t="s">
        <v>344</v>
      </c>
      <c r="E56" s="25">
        <v>42543.369490740741</v>
      </c>
      <c r="F56" s="25">
        <v>42543.370659722219</v>
      </c>
      <c r="G56" s="31">
        <v>1</v>
      </c>
      <c r="H56" s="25" t="s">
        <v>214</v>
      </c>
      <c r="I56" s="25">
        <v>42543.401805555557</v>
      </c>
      <c r="J56" s="43">
        <v>0</v>
      </c>
      <c r="K56" s="43" t="str">
        <f t="shared" si="11"/>
        <v>4027/4028</v>
      </c>
      <c r="L56" s="43" t="str">
        <f>VLOOKUP(A56,'Trips&amp;Operators'!$C$1:$E$10000,3,FALSE)</f>
        <v>ROCHA</v>
      </c>
      <c r="M56" s="11">
        <f t="shared" si="12"/>
        <v>3.1145833338086959E-2</v>
      </c>
      <c r="N56" s="12">
        <f t="shared" si="18"/>
        <v>44.850000006845221</v>
      </c>
      <c r="O56" s="12"/>
      <c r="P56" s="12"/>
      <c r="Q56" s="44"/>
      <c r="R56" s="44"/>
      <c r="S56" s="72">
        <f t="shared" si="19"/>
        <v>1</v>
      </c>
      <c r="T56" s="2" t="str">
        <f t="shared" si="13"/>
        <v>NorthBound</v>
      </c>
      <c r="U56" s="2">
        <f>COUNTIFS(Variables!$M$2:$M$19, "&gt;=" &amp; Y56, Variables!$M$2:$M$19, "&lt;=" &amp; Z56)</f>
        <v>12</v>
      </c>
      <c r="V56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08:51:04-0600',mode:absolute,to:'2016-06-22 09:39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6" s="50" t="str">
        <f t="shared" si="15"/>
        <v>N</v>
      </c>
      <c r="X56" s="50">
        <f t="shared" si="16"/>
        <v>1</v>
      </c>
      <c r="Y56" s="50">
        <f t="shared" si="8"/>
        <v>6.4600000000000005E-2</v>
      </c>
      <c r="Z56" s="50">
        <f t="shared" si="20"/>
        <v>23.3306</v>
      </c>
      <c r="AA56" s="50">
        <f t="shared" si="17"/>
        <v>23.266000000000002</v>
      </c>
      <c r="AB56" s="51" t="e">
        <f>VLOOKUP(A56,Enforcements!$C$7:$J$74,8,0)</f>
        <v>#N/A</v>
      </c>
      <c r="AC56" s="51" t="e">
        <f>VLOOKUP(A56,Enforcements!$C$7:$E$74,3,0)</f>
        <v>#N/A</v>
      </c>
    </row>
    <row r="57" spans="1:29" s="2" customFormat="1" x14ac:dyDescent="0.25">
      <c r="A57" s="43" t="s">
        <v>345</v>
      </c>
      <c r="B57" s="43">
        <v>4028</v>
      </c>
      <c r="C57" s="43" t="s">
        <v>60</v>
      </c>
      <c r="D57" s="43" t="s">
        <v>75</v>
      </c>
      <c r="E57" s="25">
        <v>42543.408194444448</v>
      </c>
      <c r="F57" s="25">
        <v>42543.409131944441</v>
      </c>
      <c r="G57" s="31">
        <v>1</v>
      </c>
      <c r="H57" s="25" t="s">
        <v>346</v>
      </c>
      <c r="I57" s="25">
        <v>42543.440057870372</v>
      </c>
      <c r="J57" s="43">
        <v>1</v>
      </c>
      <c r="K57" s="43" t="str">
        <f t="shared" si="11"/>
        <v>4027/4028</v>
      </c>
      <c r="L57" s="43" t="str">
        <f>VLOOKUP(A57,'Trips&amp;Operators'!$C$1:$E$10000,3,FALSE)</f>
        <v>ROCHA</v>
      </c>
      <c r="M57" s="11">
        <f t="shared" si="12"/>
        <v>3.0925925930205267E-2</v>
      </c>
      <c r="N57" s="12">
        <f t="shared" si="18"/>
        <v>44.533333339495584</v>
      </c>
      <c r="O57" s="12"/>
      <c r="P57" s="12"/>
      <c r="Q57" s="44"/>
      <c r="R57" s="44"/>
      <c r="S57" s="72">
        <f t="shared" si="19"/>
        <v>1</v>
      </c>
      <c r="T57" s="2" t="str">
        <f t="shared" si="13"/>
        <v>Southbound</v>
      </c>
      <c r="U57" s="2">
        <f>COUNTIFS(Variables!$M$2:$M$19, "&lt;=" &amp; Y57, Variables!$M$2:$M$19, "&gt;=" &amp; Z57)</f>
        <v>12</v>
      </c>
      <c r="V57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09:46:48-0600',mode:absolute,to:'2016-06-22 10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7" s="50" t="str">
        <f t="shared" si="15"/>
        <v>N</v>
      </c>
      <c r="X57" s="50">
        <f t="shared" si="16"/>
        <v>1</v>
      </c>
      <c r="Y57" s="50">
        <f t="shared" si="8"/>
        <v>23.299099999999999</v>
      </c>
      <c r="Z57" s="50">
        <f t="shared" si="20"/>
        <v>1.43E-2</v>
      </c>
      <c r="AA57" s="50">
        <f t="shared" si="17"/>
        <v>23.284800000000001</v>
      </c>
      <c r="AB57" s="51">
        <f>VLOOKUP(A57,Enforcements!$C$7:$J$74,8,0)</f>
        <v>1</v>
      </c>
      <c r="AC57" s="51" t="str">
        <f>VLOOKUP(A57,Enforcements!$C$7:$E$74,3,0)</f>
        <v>TRACK WARRANT AUTHORITY</v>
      </c>
    </row>
    <row r="58" spans="1:29" s="2" customFormat="1" x14ac:dyDescent="0.25">
      <c r="A58" s="43" t="s">
        <v>347</v>
      </c>
      <c r="B58" s="43">
        <v>4011</v>
      </c>
      <c r="C58" s="43" t="s">
        <v>60</v>
      </c>
      <c r="D58" s="43" t="s">
        <v>348</v>
      </c>
      <c r="E58" s="25">
        <v>42543.383981481478</v>
      </c>
      <c r="F58" s="25">
        <v>42543.384768518517</v>
      </c>
      <c r="G58" s="31">
        <v>1</v>
      </c>
      <c r="H58" s="25" t="s">
        <v>349</v>
      </c>
      <c r="I58" s="25">
        <v>42543.413136574076</v>
      </c>
      <c r="J58" s="43">
        <v>1</v>
      </c>
      <c r="K58" s="43" t="str">
        <f t="shared" si="11"/>
        <v>4011/4012</v>
      </c>
      <c r="L58" s="43" t="str">
        <f>VLOOKUP(A58,'Trips&amp;Operators'!$C$1:$E$10000,3,FALSE)</f>
        <v>STARKS</v>
      </c>
      <c r="M58" s="11">
        <f t="shared" si="12"/>
        <v>2.8368055558530614E-2</v>
      </c>
      <c r="N58" s="12">
        <f t="shared" si="18"/>
        <v>40.850000004284084</v>
      </c>
      <c r="O58" s="12"/>
      <c r="P58" s="12"/>
      <c r="Q58" s="44"/>
      <c r="R58" s="44"/>
      <c r="S58" s="72">
        <f t="shared" si="19"/>
        <v>1</v>
      </c>
      <c r="T58" s="2" t="str">
        <f t="shared" si="13"/>
        <v>NorthBound</v>
      </c>
      <c r="U58" s="2">
        <f>COUNTIFS(Variables!$M$2:$M$19, "&gt;=" &amp; Y58, Variables!$M$2:$M$19, "&lt;=" &amp; Z58)</f>
        <v>12</v>
      </c>
      <c r="V58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09:11:56-0600',mode:absolute,to:'2016-06-22 09:55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8" s="50" t="str">
        <f t="shared" si="15"/>
        <v>N</v>
      </c>
      <c r="X58" s="50">
        <f t="shared" si="16"/>
        <v>1</v>
      </c>
      <c r="Y58" s="50">
        <f t="shared" si="8"/>
        <v>5.1999999999999998E-2</v>
      </c>
      <c r="Z58" s="50">
        <f t="shared" si="20"/>
        <v>23.3401</v>
      </c>
      <c r="AA58" s="50">
        <f t="shared" si="17"/>
        <v>23.2881</v>
      </c>
      <c r="AB58" s="51">
        <f>VLOOKUP(A58,Enforcements!$C$7:$J$74,8,0)</f>
        <v>233491</v>
      </c>
      <c r="AC58" s="51" t="str">
        <f>VLOOKUP(A58,Enforcements!$C$7:$E$74,3,0)</f>
        <v>TRACK WARRANT AUTHORITY</v>
      </c>
    </row>
    <row r="59" spans="1:29" s="2" customFormat="1" x14ac:dyDescent="0.25">
      <c r="A59" s="43" t="s">
        <v>350</v>
      </c>
      <c r="B59" s="43">
        <v>4012</v>
      </c>
      <c r="C59" s="43" t="s">
        <v>60</v>
      </c>
      <c r="D59" s="43" t="s">
        <v>351</v>
      </c>
      <c r="E59" s="25">
        <v>42543.423229166663</v>
      </c>
      <c r="F59" s="25">
        <v>42543.424131944441</v>
      </c>
      <c r="G59" s="31">
        <v>1</v>
      </c>
      <c r="H59" s="25" t="s">
        <v>352</v>
      </c>
      <c r="I59" s="25">
        <v>42543.455104166664</v>
      </c>
      <c r="J59" s="43">
        <v>3</v>
      </c>
      <c r="K59" s="43" t="str">
        <f t="shared" si="11"/>
        <v>4011/4012</v>
      </c>
      <c r="L59" s="43" t="str">
        <f>VLOOKUP(A59,'Trips&amp;Operators'!$C$1:$E$10000,3,FALSE)</f>
        <v>STARKS</v>
      </c>
      <c r="M59" s="11">
        <f t="shared" si="12"/>
        <v>3.0972222222771961E-2</v>
      </c>
      <c r="N59" s="12">
        <f t="shared" si="18"/>
        <v>44.600000000791624</v>
      </c>
      <c r="O59" s="12"/>
      <c r="P59" s="12"/>
      <c r="Q59" s="44"/>
      <c r="R59" s="44"/>
      <c r="S59" s="72">
        <f t="shared" si="19"/>
        <v>1</v>
      </c>
      <c r="T59" s="2" t="str">
        <f t="shared" si="13"/>
        <v>Southbound</v>
      </c>
      <c r="U59" s="2">
        <f>COUNTIFS(Variables!$M$2:$M$19, "&lt;=" &amp; Y59, Variables!$M$2:$M$19, "&gt;=" &amp; Z59)</f>
        <v>12</v>
      </c>
      <c r="V59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9" s="50" t="str">
        <f t="shared" si="15"/>
        <v>N</v>
      </c>
      <c r="X59" s="50">
        <f t="shared" si="16"/>
        <v>1</v>
      </c>
      <c r="Y59" s="50">
        <f t="shared" si="8"/>
        <v>23.307400000000001</v>
      </c>
      <c r="Z59" s="50">
        <f t="shared" si="20"/>
        <v>1.0999999999999999E-2</v>
      </c>
      <c r="AA59" s="50">
        <f t="shared" si="17"/>
        <v>23.296400000000002</v>
      </c>
      <c r="AB59" s="51">
        <f>VLOOKUP(A59,Enforcements!$C$7:$J$74,8,0)</f>
        <v>119716</v>
      </c>
      <c r="AC59" s="51" t="str">
        <f>VLOOKUP(A59,Enforcements!$C$7:$E$74,3,0)</f>
        <v>PERMANENT SPEED RESTRICTION</v>
      </c>
    </row>
    <row r="60" spans="1:29" s="2" customFormat="1" x14ac:dyDescent="0.25">
      <c r="A60" s="43" t="s">
        <v>353</v>
      </c>
      <c r="B60" s="43">
        <v>4024</v>
      </c>
      <c r="C60" s="43" t="s">
        <v>60</v>
      </c>
      <c r="D60" s="43" t="s">
        <v>81</v>
      </c>
      <c r="E60" s="25">
        <v>42543.392314814817</v>
      </c>
      <c r="F60" s="25">
        <v>42543.394479166665</v>
      </c>
      <c r="G60" s="31">
        <v>3</v>
      </c>
      <c r="H60" s="25" t="s">
        <v>142</v>
      </c>
      <c r="I60" s="25">
        <v>42543.422002314815</v>
      </c>
      <c r="J60" s="43">
        <v>0</v>
      </c>
      <c r="K60" s="43" t="str">
        <f t="shared" si="11"/>
        <v>4023/4024</v>
      </c>
      <c r="L60" s="43" t="str">
        <f>VLOOKUP(A60,'Trips&amp;Operators'!$C$1:$E$10000,3,FALSE)</f>
        <v>STAMBAUGH</v>
      </c>
      <c r="M60" s="11">
        <f t="shared" si="12"/>
        <v>2.7523148150066845E-2</v>
      </c>
      <c r="N60" s="12">
        <f t="shared" si="18"/>
        <v>39.633333336096257</v>
      </c>
      <c r="O60" s="12"/>
      <c r="P60" s="12"/>
      <c r="Q60" s="44"/>
      <c r="R60" s="44"/>
      <c r="S60" s="72">
        <f t="shared" si="19"/>
        <v>1</v>
      </c>
      <c r="T60" s="2" t="str">
        <f t="shared" si="13"/>
        <v>NorthBound</v>
      </c>
      <c r="U60" s="2">
        <f>COUNTIFS(Variables!$M$2:$M$19, "&gt;=" &amp; Y60, Variables!$M$2:$M$19, "&lt;=" &amp; Z60)</f>
        <v>12</v>
      </c>
      <c r="V60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09:23:56-0600',mode:absolute,to:'2016-06-22 10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0" s="50" t="str">
        <f t="shared" si="15"/>
        <v>N</v>
      </c>
      <c r="X60" s="50">
        <f t="shared" si="16"/>
        <v>1</v>
      </c>
      <c r="Y60" s="50">
        <f t="shared" si="8"/>
        <v>4.53E-2</v>
      </c>
      <c r="Z60" s="50">
        <f t="shared" si="20"/>
        <v>23.331399999999999</v>
      </c>
      <c r="AA60" s="50">
        <f t="shared" si="17"/>
        <v>23.286099999999998</v>
      </c>
      <c r="AB60" s="51" t="e">
        <f>VLOOKUP(A60,Enforcements!$C$7:$J$74,8,0)</f>
        <v>#N/A</v>
      </c>
      <c r="AC60" s="51" t="e">
        <f>VLOOKUP(A60,Enforcements!$C$7:$E$74,3,0)</f>
        <v>#N/A</v>
      </c>
    </row>
    <row r="61" spans="1:29" s="2" customFormat="1" x14ac:dyDescent="0.25">
      <c r="A61" s="68" t="s">
        <v>354</v>
      </c>
      <c r="B61" s="43">
        <v>4023</v>
      </c>
      <c r="C61" s="43" t="s">
        <v>60</v>
      </c>
      <c r="D61" s="43" t="s">
        <v>75</v>
      </c>
      <c r="E61" s="25">
        <v>42543.429699074077</v>
      </c>
      <c r="F61" s="25">
        <v>42543.430706018517</v>
      </c>
      <c r="G61" s="31">
        <v>1</v>
      </c>
      <c r="H61" s="25" t="s">
        <v>68</v>
      </c>
      <c r="I61" s="25">
        <v>42543.463553240741</v>
      </c>
      <c r="J61" s="43">
        <v>0</v>
      </c>
      <c r="K61" s="43" t="str">
        <f t="shared" si="11"/>
        <v>4023/4024</v>
      </c>
      <c r="L61" s="43" t="str">
        <f>VLOOKUP(A61,'Trips&amp;Operators'!$C$1:$E$10000,3,FALSE)</f>
        <v>STAMBAUGH</v>
      </c>
      <c r="M61" s="11">
        <f t="shared" si="12"/>
        <v>3.2847222224518191E-2</v>
      </c>
      <c r="N61" s="12">
        <f t="shared" si="18"/>
        <v>47.300000003306195</v>
      </c>
      <c r="O61" s="12"/>
      <c r="P61" s="12"/>
      <c r="Q61" s="44"/>
      <c r="R61" s="44"/>
      <c r="S61" s="72">
        <f t="shared" si="19"/>
        <v>1</v>
      </c>
      <c r="T61" s="2" t="str">
        <f t="shared" si="13"/>
        <v>Southbound</v>
      </c>
      <c r="U61" s="2">
        <f>COUNTIFS(Variables!$M$2:$M$19, "&lt;=" &amp; Y61, Variables!$M$2:$M$19, "&gt;=" &amp; Z61)</f>
        <v>12</v>
      </c>
      <c r="V61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10:17:46-0600',mode:absolute,to:'2016-06-22 11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1" s="50" t="str">
        <f t="shared" si="15"/>
        <v>N</v>
      </c>
      <c r="X61" s="50">
        <f t="shared" si="16"/>
        <v>1</v>
      </c>
      <c r="Y61" s="50">
        <v>23.297499999999999</v>
      </c>
      <c r="Z61" s="50">
        <v>1.5599999999999999E-2</v>
      </c>
      <c r="AA61" s="50">
        <f t="shared" si="17"/>
        <v>23.2819</v>
      </c>
      <c r="AB61" s="51" t="e">
        <f>VLOOKUP(A61,Enforcements!$C$7:$J$74,8,0)</f>
        <v>#N/A</v>
      </c>
      <c r="AC61" s="51" t="e">
        <f>VLOOKUP(A61,Enforcements!$C$7:$E$74,3,0)</f>
        <v>#N/A</v>
      </c>
    </row>
    <row r="62" spans="1:29" s="2" customFormat="1" x14ac:dyDescent="0.25">
      <c r="A62" s="43" t="s">
        <v>355</v>
      </c>
      <c r="B62" s="43">
        <v>4040</v>
      </c>
      <c r="C62" s="43" t="s">
        <v>60</v>
      </c>
      <c r="D62" s="43" t="s">
        <v>206</v>
      </c>
      <c r="E62" s="25">
        <v>42543.405543981484</v>
      </c>
      <c r="F62" s="25">
        <v>42543.4062037037</v>
      </c>
      <c r="G62" s="31">
        <v>0</v>
      </c>
      <c r="H62" s="25" t="s">
        <v>356</v>
      </c>
      <c r="I62" s="25">
        <v>42543.432581018518</v>
      </c>
      <c r="J62" s="43">
        <v>0</v>
      </c>
      <c r="K62" s="43" t="str">
        <f t="shared" si="11"/>
        <v>4039/4040</v>
      </c>
      <c r="L62" s="43" t="str">
        <f>VLOOKUP(A62,'Trips&amp;Operators'!$C$1:$E$10000,3,FALSE)</f>
        <v>KILLION</v>
      </c>
      <c r="M62" s="11">
        <f t="shared" si="12"/>
        <v>2.6377314818091691E-2</v>
      </c>
      <c r="N62" s="12">
        <f t="shared" si="18"/>
        <v>37.983333338052034</v>
      </c>
      <c r="O62" s="12"/>
      <c r="P62" s="12"/>
      <c r="Q62" s="44"/>
      <c r="R62" s="44"/>
      <c r="S62" s="72">
        <f t="shared" si="19"/>
        <v>1</v>
      </c>
      <c r="T62" s="2" t="str">
        <f t="shared" si="13"/>
        <v>NorthBound</v>
      </c>
      <c r="U62" s="2">
        <f>COUNTIFS(Variables!$M$2:$M$19, "&gt;=" &amp; Y62, Variables!$M$2:$M$19, "&lt;=" &amp; Z62)</f>
        <v>12</v>
      </c>
      <c r="V62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09:42:59-0600',mode:absolute,to:'2016-06-22 10:23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2" s="50" t="str">
        <f t="shared" si="15"/>
        <v>N</v>
      </c>
      <c r="X62" s="50">
        <f t="shared" si="16"/>
        <v>1</v>
      </c>
      <c r="Y62" s="50">
        <f t="shared" ref="Y62:Y99" si="21">RIGHT(D62,LEN(D62)-4)/10000</f>
        <v>4.7300000000000002E-2</v>
      </c>
      <c r="Z62" s="50">
        <f t="shared" ref="Z62:Z99" si="22">RIGHT(H62,LEN(H62)-4)/10000</f>
        <v>23.3324</v>
      </c>
      <c r="AA62" s="50">
        <f t="shared" si="17"/>
        <v>23.2851</v>
      </c>
      <c r="AB62" s="51" t="e">
        <f>VLOOKUP(A62,Enforcements!$C$7:$J$74,8,0)</f>
        <v>#N/A</v>
      </c>
      <c r="AC62" s="51" t="e">
        <f>VLOOKUP(A62,Enforcements!$C$7:$E$74,3,0)</f>
        <v>#N/A</v>
      </c>
    </row>
    <row r="63" spans="1:29" s="2" customFormat="1" x14ac:dyDescent="0.25">
      <c r="A63" s="43" t="s">
        <v>357</v>
      </c>
      <c r="B63" s="43">
        <v>4039</v>
      </c>
      <c r="C63" s="43" t="s">
        <v>60</v>
      </c>
      <c r="D63" s="43" t="s">
        <v>194</v>
      </c>
      <c r="E63" s="25">
        <v>42543.442256944443</v>
      </c>
      <c r="F63" s="25">
        <v>42543.443229166667</v>
      </c>
      <c r="G63" s="31">
        <v>1</v>
      </c>
      <c r="H63" s="25" t="s">
        <v>203</v>
      </c>
      <c r="I63" s="25">
        <v>42543.472442129627</v>
      </c>
      <c r="J63" s="43">
        <v>0</v>
      </c>
      <c r="K63" s="43" t="str">
        <f t="shared" si="11"/>
        <v>4039/4040</v>
      </c>
      <c r="L63" s="43" t="str">
        <f>VLOOKUP(A63,'Trips&amp;Operators'!$C$1:$E$10000,3,FALSE)</f>
        <v>KILLION</v>
      </c>
      <c r="M63" s="11">
        <f t="shared" si="12"/>
        <v>2.9212962959718425E-2</v>
      </c>
      <c r="N63" s="12">
        <f t="shared" si="18"/>
        <v>42.066666661994532</v>
      </c>
      <c r="O63" s="12"/>
      <c r="P63" s="12"/>
      <c r="Q63" s="44"/>
      <c r="R63" s="44"/>
      <c r="S63" s="72">
        <f t="shared" si="19"/>
        <v>1</v>
      </c>
      <c r="T63" s="2" t="str">
        <f t="shared" si="13"/>
        <v>Southbound</v>
      </c>
      <c r="U63" s="2">
        <f>COUNTIFS(Variables!$M$2:$M$19, "&lt;=" &amp; Y63, Variables!$M$2:$M$19, "&gt;=" &amp; Z63)</f>
        <v>12</v>
      </c>
      <c r="V63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10:35:51-0600',mode:absolute,to:'2016-06-22 11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3" s="50" t="str">
        <f t="shared" si="15"/>
        <v>N</v>
      </c>
      <c r="X63" s="50">
        <f t="shared" si="16"/>
        <v>1</v>
      </c>
      <c r="Y63" s="50">
        <f t="shared" si="21"/>
        <v>23.3</v>
      </c>
      <c r="Z63" s="50">
        <f t="shared" si="22"/>
        <v>1.38E-2</v>
      </c>
      <c r="AA63" s="50">
        <f t="shared" si="17"/>
        <v>23.286200000000001</v>
      </c>
      <c r="AB63" s="51" t="e">
        <f>VLOOKUP(A63,Enforcements!$C$7:$J$74,8,0)</f>
        <v>#N/A</v>
      </c>
      <c r="AC63" s="51" t="e">
        <f>VLOOKUP(A63,Enforcements!$C$7:$E$74,3,0)</f>
        <v>#N/A</v>
      </c>
    </row>
    <row r="64" spans="1:29" s="2" customFormat="1" x14ac:dyDescent="0.25">
      <c r="A64" s="43" t="s">
        <v>358</v>
      </c>
      <c r="B64" s="43">
        <v>4042</v>
      </c>
      <c r="C64" s="43" t="s">
        <v>60</v>
      </c>
      <c r="D64" s="43" t="s">
        <v>88</v>
      </c>
      <c r="E64" s="25">
        <v>42543.414027777777</v>
      </c>
      <c r="F64" s="25">
        <v>42543.415370370371</v>
      </c>
      <c r="G64" s="31">
        <v>1</v>
      </c>
      <c r="H64" s="25" t="s">
        <v>359</v>
      </c>
      <c r="I64" s="25">
        <v>42543.443159722221</v>
      </c>
      <c r="J64" s="43">
        <v>1</v>
      </c>
      <c r="K64" s="43" t="str">
        <f t="shared" si="11"/>
        <v>4041/4042</v>
      </c>
      <c r="L64" s="43" t="str">
        <f>VLOOKUP(A64,'Trips&amp;Operators'!$C$1:$E$10000,3,FALSE)</f>
        <v>ACKERMAN</v>
      </c>
      <c r="M64" s="11">
        <f t="shared" si="12"/>
        <v>2.7789351850515231E-2</v>
      </c>
      <c r="N64" s="12">
        <f t="shared" si="18"/>
        <v>40.016666664741933</v>
      </c>
      <c r="O64" s="12"/>
      <c r="P64" s="12"/>
      <c r="Q64" s="44"/>
      <c r="R64" s="44"/>
      <c r="S64" s="72">
        <f t="shared" si="19"/>
        <v>1</v>
      </c>
      <c r="T64" s="2" t="str">
        <f t="shared" si="13"/>
        <v>NorthBound</v>
      </c>
      <c r="U64" s="2">
        <f>COUNTIFS(Variables!$M$2:$M$19, "&gt;=" &amp; Y64, Variables!$M$2:$M$19, "&lt;=" &amp; Z64)</f>
        <v>12</v>
      </c>
      <c r="V64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09:55:12-0600',mode:absolute,to:'2016-06-22 10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4" s="50" t="str">
        <f t="shared" si="15"/>
        <v>N</v>
      </c>
      <c r="X64" s="50">
        <f t="shared" si="16"/>
        <v>1</v>
      </c>
      <c r="Y64" s="50">
        <f t="shared" si="21"/>
        <v>4.58E-2</v>
      </c>
      <c r="Z64" s="50">
        <f t="shared" si="22"/>
        <v>23.316400000000002</v>
      </c>
      <c r="AA64" s="50">
        <f t="shared" si="17"/>
        <v>23.270600000000002</v>
      </c>
      <c r="AB64" s="51">
        <f>VLOOKUP(A64,Enforcements!$C$7:$J$74,8,0)</f>
        <v>233491</v>
      </c>
      <c r="AC64" s="51" t="str">
        <f>VLOOKUP(A64,Enforcements!$C$7:$E$74,3,0)</f>
        <v>TRACK WARRANT AUTHORITY</v>
      </c>
    </row>
    <row r="65" spans="1:29" s="2" customFormat="1" x14ac:dyDescent="0.25">
      <c r="A65" s="43" t="s">
        <v>360</v>
      </c>
      <c r="B65" s="43">
        <v>4041</v>
      </c>
      <c r="C65" s="43" t="s">
        <v>60</v>
      </c>
      <c r="D65" s="43" t="s">
        <v>361</v>
      </c>
      <c r="E65" s="25">
        <v>42543.449502314812</v>
      </c>
      <c r="F65" s="25">
        <v>42543.450601851851</v>
      </c>
      <c r="G65" s="31">
        <v>1</v>
      </c>
      <c r="H65" s="25" t="s">
        <v>78</v>
      </c>
      <c r="I65" s="25">
        <v>42543.483680555553</v>
      </c>
      <c r="J65" s="43">
        <v>0</v>
      </c>
      <c r="K65" s="43" t="str">
        <f t="shared" si="11"/>
        <v>4041/4042</v>
      </c>
      <c r="L65" s="43" t="str">
        <f>VLOOKUP(A65,'Trips&amp;Operators'!$C$1:$E$10000,3,FALSE)</f>
        <v>ACKERMAN</v>
      </c>
      <c r="M65" s="11">
        <f t="shared" si="12"/>
        <v>3.3078703701903578E-2</v>
      </c>
      <c r="N65" s="12">
        <f t="shared" si="18"/>
        <v>47.633333330741152</v>
      </c>
      <c r="O65" s="12"/>
      <c r="P65" s="12"/>
      <c r="Q65" s="44"/>
      <c r="R65" s="44"/>
      <c r="S65" s="72">
        <f t="shared" si="19"/>
        <v>1</v>
      </c>
      <c r="T65" s="2" t="str">
        <f t="shared" si="13"/>
        <v>Southbound</v>
      </c>
      <c r="U65" s="2">
        <f>COUNTIFS(Variables!$M$2:$M$19, "&lt;=" &amp; Y65, Variables!$M$2:$M$19, "&gt;=" &amp; Z65)</f>
        <v>12</v>
      </c>
      <c r="V65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10:46:17-0600',mode:absolute,to:'2016-06-22 11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5" s="50" t="str">
        <f t="shared" si="15"/>
        <v>N</v>
      </c>
      <c r="X65" s="50">
        <f t="shared" si="16"/>
        <v>1</v>
      </c>
      <c r="Y65" s="50">
        <f t="shared" si="21"/>
        <v>23.286200000000001</v>
      </c>
      <c r="Z65" s="50">
        <f t="shared" si="22"/>
        <v>1.49E-2</v>
      </c>
      <c r="AA65" s="50">
        <f t="shared" si="17"/>
        <v>23.2713</v>
      </c>
      <c r="AB65" s="51" t="e">
        <f>VLOOKUP(A65,Enforcements!$C$7:$J$74,8,0)</f>
        <v>#N/A</v>
      </c>
      <c r="AC65" s="51" t="e">
        <f>VLOOKUP(A65,Enforcements!$C$7:$E$74,3,0)</f>
        <v>#N/A</v>
      </c>
    </row>
    <row r="66" spans="1:29" s="2" customFormat="1" x14ac:dyDescent="0.25">
      <c r="A66" s="43" t="s">
        <v>362</v>
      </c>
      <c r="B66" s="43">
        <v>4025</v>
      </c>
      <c r="C66" s="43" t="s">
        <v>60</v>
      </c>
      <c r="D66" s="43" t="s">
        <v>95</v>
      </c>
      <c r="E66" s="25">
        <v>42543.42386574074</v>
      </c>
      <c r="F66" s="25">
        <v>42543.425347222219</v>
      </c>
      <c r="G66" s="31">
        <v>2</v>
      </c>
      <c r="H66" s="25" t="s">
        <v>363</v>
      </c>
      <c r="I66" s="25">
        <v>42543.433495370373</v>
      </c>
      <c r="J66" s="43">
        <v>0</v>
      </c>
      <c r="K66" s="43" t="str">
        <f t="shared" si="11"/>
        <v>4025/4026</v>
      </c>
      <c r="L66" s="43" t="str">
        <f>VLOOKUP(A66,'Trips&amp;Operators'!$C$1:$E$10000,3,FALSE)</f>
        <v>SPECTOR</v>
      </c>
      <c r="M66" s="11">
        <f t="shared" si="12"/>
        <v>8.1481481538503431E-3</v>
      </c>
      <c r="N66" s="12"/>
      <c r="O66" s="12"/>
      <c r="P66" s="12">
        <f>24*60*SUM($M66:$M66)</f>
        <v>11.733333341544494</v>
      </c>
      <c r="Q66" s="44"/>
      <c r="R66" s="44" t="s">
        <v>550</v>
      </c>
      <c r="S66" s="72">
        <f t="shared" si="19"/>
        <v>0.25</v>
      </c>
      <c r="T66" s="2" t="str">
        <f t="shared" si="13"/>
        <v>NorthBound</v>
      </c>
      <c r="U66" s="2">
        <f>COUNTIFS(Variables!$M$2:$M$19, "&gt;=" &amp; Y66, Variables!$M$2:$M$19, "&lt;=" &amp; Z66)</f>
        <v>3</v>
      </c>
      <c r="V66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10:09:22-0600',mode:absolute,to:'2016-06-22 10:25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6" s="50" t="str">
        <f t="shared" si="15"/>
        <v>Y</v>
      </c>
      <c r="X66" s="50">
        <f t="shared" si="16"/>
        <v>1</v>
      </c>
      <c r="Y66" s="50">
        <f t="shared" si="21"/>
        <v>4.6399999999999997E-2</v>
      </c>
      <c r="Z66" s="50">
        <f t="shared" si="22"/>
        <v>3.6932999999999998</v>
      </c>
      <c r="AA66" s="50">
        <f t="shared" si="17"/>
        <v>3.6468999999999996</v>
      </c>
      <c r="AB66" s="51" t="e">
        <f>VLOOKUP(A66,Enforcements!$C$7:$J$74,8,0)</f>
        <v>#N/A</v>
      </c>
      <c r="AC66" s="51" t="e">
        <f>VLOOKUP(A66,Enforcements!$C$7:$E$74,3,0)</f>
        <v>#N/A</v>
      </c>
    </row>
    <row r="67" spans="1:29" s="2" customFormat="1" x14ac:dyDescent="0.25">
      <c r="A67" s="43" t="s">
        <v>364</v>
      </c>
      <c r="B67" s="43">
        <v>4026</v>
      </c>
      <c r="C67" s="43" t="s">
        <v>60</v>
      </c>
      <c r="D67" s="43" t="s">
        <v>157</v>
      </c>
      <c r="E67" s="25">
        <v>42543.464826388888</v>
      </c>
      <c r="F67" s="25">
        <v>42543.465879629628</v>
      </c>
      <c r="G67" s="31">
        <v>1</v>
      </c>
      <c r="H67" s="25" t="s">
        <v>61</v>
      </c>
      <c r="I67" s="25">
        <v>42543.492222222223</v>
      </c>
      <c r="J67" s="43">
        <v>0</v>
      </c>
      <c r="K67" s="43" t="str">
        <f t="shared" si="11"/>
        <v>4025/4026</v>
      </c>
      <c r="L67" s="43" t="str">
        <f>VLOOKUP(A67,'Trips&amp;Operators'!$C$1:$E$10000,3,FALSE)</f>
        <v>SPECTOR</v>
      </c>
      <c r="M67" s="11">
        <f t="shared" si="12"/>
        <v>2.6342592595028691E-2</v>
      </c>
      <c r="N67" s="12">
        <f t="shared" ref="N67:N73" si="23">24*60*SUM($M67:$M67)</f>
        <v>37.933333336841315</v>
      </c>
      <c r="O67" s="12"/>
      <c r="P67" s="12"/>
      <c r="Q67" s="44"/>
      <c r="R67" s="44"/>
      <c r="S67" s="72">
        <f t="shared" si="19"/>
        <v>1</v>
      </c>
      <c r="T67" s="2" t="str">
        <f t="shared" si="13"/>
        <v>Southbound</v>
      </c>
      <c r="U67" s="2">
        <f>COUNTIFS(Variables!$M$2:$M$19, "&lt;=" &amp; Y67, Variables!$M$2:$M$19, "&gt;=" &amp; Z67)</f>
        <v>12</v>
      </c>
      <c r="V67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11:08:21-0600',mode:absolute,to:'2016-06-22 11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7" s="50" t="str">
        <f t="shared" si="15"/>
        <v>N</v>
      </c>
      <c r="X67" s="50">
        <f t="shared" si="16"/>
        <v>1</v>
      </c>
      <c r="Y67" s="50">
        <f t="shared" si="21"/>
        <v>23.301300000000001</v>
      </c>
      <c r="Z67" s="50">
        <f t="shared" si="22"/>
        <v>1.4500000000000001E-2</v>
      </c>
      <c r="AA67" s="50">
        <f t="shared" si="17"/>
        <v>23.286799999999999</v>
      </c>
      <c r="AB67" s="51" t="e">
        <f>VLOOKUP(A67,Enforcements!$C$7:$J$74,8,0)</f>
        <v>#N/A</v>
      </c>
      <c r="AC67" s="51" t="e">
        <f>VLOOKUP(A67,Enforcements!$C$7:$E$74,3,0)</f>
        <v>#N/A</v>
      </c>
    </row>
    <row r="68" spans="1:29" s="2" customFormat="1" x14ac:dyDescent="0.25">
      <c r="A68" s="43" t="s">
        <v>365</v>
      </c>
      <c r="B68" s="43">
        <v>4009</v>
      </c>
      <c r="C68" s="43" t="s">
        <v>60</v>
      </c>
      <c r="D68" s="43" t="s">
        <v>72</v>
      </c>
      <c r="E68" s="25">
        <v>42543.431956018518</v>
      </c>
      <c r="F68" s="25">
        <v>42543.433206018519</v>
      </c>
      <c r="G68" s="31">
        <v>1</v>
      </c>
      <c r="H68" s="25" t="s">
        <v>185</v>
      </c>
      <c r="I68" s="25">
        <v>42543.465162037035</v>
      </c>
      <c r="J68" s="43">
        <v>0</v>
      </c>
      <c r="K68" s="43" t="str">
        <f t="shared" si="11"/>
        <v>4009/4010</v>
      </c>
      <c r="L68" s="43" t="str">
        <f>VLOOKUP(A68,'Trips&amp;Operators'!$C$1:$E$10000,3,FALSE)</f>
        <v>MAYBERRY</v>
      </c>
      <c r="M68" s="11">
        <f t="shared" si="12"/>
        <v>3.195601851621177E-2</v>
      </c>
      <c r="N68" s="12">
        <f t="shared" si="23"/>
        <v>46.016666663344949</v>
      </c>
      <c r="O68" s="12"/>
      <c r="P68" s="12"/>
      <c r="Q68" s="44"/>
      <c r="R68" s="44"/>
      <c r="S68" s="72">
        <f t="shared" si="19"/>
        <v>1</v>
      </c>
      <c r="T68" s="2" t="str">
        <f t="shared" si="13"/>
        <v>NorthBound</v>
      </c>
      <c r="U68" s="2">
        <f>COUNTIFS(Variables!$M$2:$M$19, "&gt;=" &amp; Y68, Variables!$M$2:$M$19, "&lt;=" &amp; Z68)</f>
        <v>12</v>
      </c>
      <c r="V68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10:21:01-0600',mode:absolute,to:'2016-06-22 11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8" s="50" t="str">
        <f t="shared" si="15"/>
        <v>N</v>
      </c>
      <c r="X68" s="50">
        <f t="shared" si="16"/>
        <v>1</v>
      </c>
      <c r="Y68" s="50">
        <f t="shared" si="21"/>
        <v>4.6199999999999998E-2</v>
      </c>
      <c r="Z68" s="50">
        <f t="shared" si="22"/>
        <v>23.327400000000001</v>
      </c>
      <c r="AA68" s="50">
        <f t="shared" si="17"/>
        <v>23.281200000000002</v>
      </c>
      <c r="AB68" s="51" t="e">
        <f>VLOOKUP(A68,Enforcements!$C$7:$J$74,8,0)</f>
        <v>#N/A</v>
      </c>
      <c r="AC68" s="51" t="e">
        <f>VLOOKUP(A68,Enforcements!$C$7:$E$74,3,0)</f>
        <v>#N/A</v>
      </c>
    </row>
    <row r="69" spans="1:29" s="2" customFormat="1" x14ac:dyDescent="0.25">
      <c r="A69" s="43" t="s">
        <v>366</v>
      </c>
      <c r="B69" s="43">
        <v>4010</v>
      </c>
      <c r="C69" s="43" t="s">
        <v>60</v>
      </c>
      <c r="D69" s="43" t="s">
        <v>71</v>
      </c>
      <c r="E69" s="25">
        <v>42543.466666666667</v>
      </c>
      <c r="F69" s="25">
        <v>42543.467812499999</v>
      </c>
      <c r="G69" s="31">
        <v>1</v>
      </c>
      <c r="H69" s="25" t="s">
        <v>118</v>
      </c>
      <c r="I69" s="25">
        <v>42543.50335648148</v>
      </c>
      <c r="J69" s="43">
        <v>0</v>
      </c>
      <c r="K69" s="43" t="str">
        <f t="shared" si="11"/>
        <v>4009/4010</v>
      </c>
      <c r="L69" s="43" t="str">
        <f>VLOOKUP(A69,'Trips&amp;Operators'!$C$1:$E$10000,3,FALSE)</f>
        <v>MAYBERRY</v>
      </c>
      <c r="M69" s="11">
        <f t="shared" si="12"/>
        <v>3.5543981481168885E-2</v>
      </c>
      <c r="N69" s="12">
        <f t="shared" si="23"/>
        <v>51.183333332883194</v>
      </c>
      <c r="O69" s="12"/>
      <c r="P69" s="12"/>
      <c r="Q69" s="44"/>
      <c r="R69" s="44"/>
      <c r="S69" s="72">
        <f t="shared" si="19"/>
        <v>1</v>
      </c>
      <c r="T69" s="2" t="str">
        <f t="shared" si="13"/>
        <v>Southbound</v>
      </c>
      <c r="U69" s="2">
        <f>COUNTIFS(Variables!$M$2:$M$19, "&lt;=" &amp; Y69, Variables!$M$2:$M$19, "&gt;=" &amp; Z69)</f>
        <v>12</v>
      </c>
      <c r="V69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11:11:00-0600',mode:absolute,to:'2016-06-22 12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9" s="50" t="str">
        <f t="shared" si="15"/>
        <v>N</v>
      </c>
      <c r="X69" s="50">
        <f t="shared" si="16"/>
        <v>1</v>
      </c>
      <c r="Y69" s="50">
        <f t="shared" si="21"/>
        <v>23.297699999999999</v>
      </c>
      <c r="Z69" s="50">
        <f t="shared" si="22"/>
        <v>1.5800000000000002E-2</v>
      </c>
      <c r="AA69" s="50">
        <f t="shared" si="17"/>
        <v>23.2819</v>
      </c>
      <c r="AB69" s="51" t="e">
        <f>VLOOKUP(A69,Enforcements!$C$7:$J$74,8,0)</f>
        <v>#N/A</v>
      </c>
      <c r="AC69" s="51" t="e">
        <f>VLOOKUP(A69,Enforcements!$C$7:$E$74,3,0)</f>
        <v>#N/A</v>
      </c>
    </row>
    <row r="70" spans="1:29" s="2" customFormat="1" x14ac:dyDescent="0.25">
      <c r="A70" s="68" t="s">
        <v>367</v>
      </c>
      <c r="B70" s="43">
        <v>4027</v>
      </c>
      <c r="C70" s="43" t="s">
        <v>60</v>
      </c>
      <c r="D70" s="43" t="s">
        <v>146</v>
      </c>
      <c r="E70" s="25">
        <v>42543.441932870373</v>
      </c>
      <c r="F70" s="25">
        <v>42543.443402777775</v>
      </c>
      <c r="G70" s="31">
        <v>2</v>
      </c>
      <c r="H70" s="25" t="s">
        <v>341</v>
      </c>
      <c r="I70" s="25">
        <v>42543.480497685188</v>
      </c>
      <c r="J70" s="43">
        <v>1</v>
      </c>
      <c r="K70" s="43" t="str">
        <f t="shared" si="11"/>
        <v>4027/4028</v>
      </c>
      <c r="L70" s="43" t="str">
        <f>VLOOKUP(A70,'Trips&amp;Operators'!$C$1:$E$10000,3,FALSE)</f>
        <v>RIVERA</v>
      </c>
      <c r="M70" s="11">
        <f t="shared" si="12"/>
        <v>3.7094907413120382E-2</v>
      </c>
      <c r="N70" s="12">
        <f t="shared" si="23"/>
        <v>53.416666674893349</v>
      </c>
      <c r="O70" s="12"/>
      <c r="P70" s="12"/>
      <c r="Q70" s="44"/>
      <c r="R70" s="44"/>
      <c r="S70" s="72">
        <f t="shared" si="19"/>
        <v>1</v>
      </c>
      <c r="T70" s="2" t="str">
        <f t="shared" si="13"/>
        <v>NorthBound</v>
      </c>
      <c r="U70" s="2">
        <f>COUNTIFS(Variables!$M$2:$M$19, "&gt;=" &amp; Y70, Variables!$M$2:$M$19, "&lt;=" &amp; Z70)</f>
        <v>12</v>
      </c>
      <c r="V70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10:35:23-0600',mode:absolute,to:'2016-06-22 11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0" s="50" t="str">
        <f t="shared" si="15"/>
        <v>N</v>
      </c>
      <c r="X70" s="50">
        <f t="shared" si="16"/>
        <v>1</v>
      </c>
      <c r="Y70" s="50">
        <f t="shared" si="21"/>
        <v>4.4400000000000002E-2</v>
      </c>
      <c r="Z70" s="50">
        <f t="shared" si="22"/>
        <v>23.332000000000001</v>
      </c>
      <c r="AA70" s="50">
        <f t="shared" si="17"/>
        <v>23.287600000000001</v>
      </c>
      <c r="AB70" s="51">
        <f>VLOOKUP(A70,Enforcements!$C$7:$J$74,8,0)</f>
        <v>233491</v>
      </c>
      <c r="AC70" s="51" t="str">
        <f>VLOOKUP(A70,Enforcements!$C$7:$E$74,3,0)</f>
        <v>TRACK WARRANT AUTHORITY</v>
      </c>
    </row>
    <row r="71" spans="1:29" s="2" customFormat="1" x14ac:dyDescent="0.25">
      <c r="A71" s="43" t="s">
        <v>368</v>
      </c>
      <c r="B71" s="43">
        <v>4028</v>
      </c>
      <c r="C71" s="43" t="s">
        <v>60</v>
      </c>
      <c r="D71" s="43" t="s">
        <v>369</v>
      </c>
      <c r="E71" s="25">
        <v>42543.485601851855</v>
      </c>
      <c r="F71" s="25">
        <v>42543.486620370371</v>
      </c>
      <c r="G71" s="31">
        <v>1</v>
      </c>
      <c r="H71" s="25" t="s">
        <v>76</v>
      </c>
      <c r="I71" s="25">
        <v>42543.517824074072</v>
      </c>
      <c r="J71" s="43">
        <v>0</v>
      </c>
      <c r="K71" s="43" t="str">
        <f t="shared" si="11"/>
        <v>4027/4028</v>
      </c>
      <c r="L71" s="43" t="str">
        <f>VLOOKUP(A71,'Trips&amp;Operators'!$C$1:$E$10000,3,FALSE)</f>
        <v>RIVERA</v>
      </c>
      <c r="M71" s="11">
        <f t="shared" si="12"/>
        <v>3.1203703700157348E-2</v>
      </c>
      <c r="N71" s="12">
        <f t="shared" si="23"/>
        <v>44.933333328226581</v>
      </c>
      <c r="O71" s="12"/>
      <c r="P71" s="12"/>
      <c r="Q71" s="44"/>
      <c r="R71" s="44"/>
      <c r="S71" s="72">
        <f t="shared" si="19"/>
        <v>1</v>
      </c>
      <c r="T71" s="2" t="str">
        <f t="shared" si="13"/>
        <v>Southbound</v>
      </c>
      <c r="U71" s="2">
        <f>COUNTIFS(Variables!$M$2:$M$19, "&lt;=" &amp; Y71, Variables!$M$2:$M$19, "&gt;=" &amp; Z71)</f>
        <v>12</v>
      </c>
      <c r="V71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11:38:16-0600',mode:absolute,to:'2016-06-22 12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1" s="50" t="str">
        <f t="shared" si="15"/>
        <v>N</v>
      </c>
      <c r="X71" s="50">
        <f t="shared" si="16"/>
        <v>1</v>
      </c>
      <c r="Y71" s="50">
        <f t="shared" si="21"/>
        <v>23.297999999999998</v>
      </c>
      <c r="Z71" s="50">
        <f t="shared" si="22"/>
        <v>1.41E-2</v>
      </c>
      <c r="AA71" s="50">
        <f t="shared" si="17"/>
        <v>23.283899999999999</v>
      </c>
      <c r="AB71" s="51" t="e">
        <f>VLOOKUP(A71,Enforcements!$C$7:$J$74,8,0)</f>
        <v>#N/A</v>
      </c>
      <c r="AC71" s="51" t="e">
        <f>VLOOKUP(A71,Enforcements!$C$7:$E$74,3,0)</f>
        <v>#N/A</v>
      </c>
    </row>
    <row r="72" spans="1:29" s="2" customFormat="1" x14ac:dyDescent="0.25">
      <c r="A72" s="43" t="s">
        <v>370</v>
      </c>
      <c r="B72" s="43">
        <v>4011</v>
      </c>
      <c r="C72" s="43" t="s">
        <v>60</v>
      </c>
      <c r="D72" s="43" t="s">
        <v>371</v>
      </c>
      <c r="E72" s="25">
        <v>42543.457592592589</v>
      </c>
      <c r="F72" s="25">
        <v>42543.458483796298</v>
      </c>
      <c r="G72" s="31">
        <v>1</v>
      </c>
      <c r="H72" s="25" t="s">
        <v>372</v>
      </c>
      <c r="I72" s="25">
        <v>42543.483599537038</v>
      </c>
      <c r="J72" s="43">
        <v>1</v>
      </c>
      <c r="K72" s="43" t="str">
        <f t="shared" si="11"/>
        <v>4011/4012</v>
      </c>
      <c r="L72" s="43" t="str">
        <f>VLOOKUP(A72,'Trips&amp;Operators'!$C$1:$E$10000,3,FALSE)</f>
        <v>ROCHA</v>
      </c>
      <c r="M72" s="11">
        <f t="shared" si="12"/>
        <v>2.5115740740147885E-2</v>
      </c>
      <c r="N72" s="12">
        <f t="shared" si="23"/>
        <v>36.166666665812954</v>
      </c>
      <c r="O72" s="12"/>
      <c r="P72" s="12"/>
      <c r="Q72" s="44"/>
      <c r="R72" s="44"/>
      <c r="S72" s="72">
        <f t="shared" si="19"/>
        <v>1</v>
      </c>
      <c r="T72" s="2" t="str">
        <f t="shared" si="13"/>
        <v>NorthBound</v>
      </c>
      <c r="U72" s="2">
        <f>COUNTIFS(Variables!$M$2:$M$19, "&gt;=" &amp; Y72, Variables!$M$2:$M$19, "&lt;=" &amp; Z72)</f>
        <v>12</v>
      </c>
      <c r="V72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10:57:56-0600',mode:absolute,to:'2016-06-22 11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2" s="50" t="str">
        <f t="shared" si="15"/>
        <v>N</v>
      </c>
      <c r="X72" s="50">
        <f t="shared" si="16"/>
        <v>1</v>
      </c>
      <c r="Y72" s="50">
        <f t="shared" si="21"/>
        <v>4.0899999999999999E-2</v>
      </c>
      <c r="Z72" s="50">
        <f t="shared" si="22"/>
        <v>23.3276</v>
      </c>
      <c r="AA72" s="50">
        <f t="shared" si="17"/>
        <v>23.2867</v>
      </c>
      <c r="AB72" s="51">
        <f>VLOOKUP(A72,Enforcements!$C$7:$J$74,8,0)</f>
        <v>233491</v>
      </c>
      <c r="AC72" s="51" t="str">
        <f>VLOOKUP(A72,Enforcements!$C$7:$E$74,3,0)</f>
        <v>TRACK WARRANT AUTHORITY</v>
      </c>
    </row>
    <row r="73" spans="1:29" s="2" customFormat="1" x14ac:dyDescent="0.25">
      <c r="A73" s="43" t="s">
        <v>373</v>
      </c>
      <c r="B73" s="43">
        <v>4012</v>
      </c>
      <c r="C73" s="43" t="s">
        <v>60</v>
      </c>
      <c r="D73" s="43" t="s">
        <v>155</v>
      </c>
      <c r="E73" s="25">
        <v>42543.493807870371</v>
      </c>
      <c r="F73" s="25">
        <v>42543.494837962964</v>
      </c>
      <c r="G73" s="31">
        <v>1</v>
      </c>
      <c r="H73" s="25" t="s">
        <v>62</v>
      </c>
      <c r="I73" s="25">
        <v>42543.523518518516</v>
      </c>
      <c r="J73" s="43">
        <v>0</v>
      </c>
      <c r="K73" s="43" t="str">
        <f t="shared" si="11"/>
        <v>4011/4012</v>
      </c>
      <c r="L73" s="43" t="str">
        <f>VLOOKUP(A73,'Trips&amp;Operators'!$C$1:$E$10000,3,FALSE)</f>
        <v>ROCHA</v>
      </c>
      <c r="M73" s="11">
        <f t="shared" si="12"/>
        <v>2.8680555551545694E-2</v>
      </c>
      <c r="N73" s="12">
        <f t="shared" si="23"/>
        <v>41.2999999942258</v>
      </c>
      <c r="O73" s="12"/>
      <c r="P73" s="12"/>
      <c r="Q73" s="44"/>
      <c r="R73" s="44"/>
      <c r="S73" s="72">
        <f t="shared" si="19"/>
        <v>1</v>
      </c>
      <c r="T73" s="2" t="str">
        <f t="shared" si="13"/>
        <v>Southbound</v>
      </c>
      <c r="U73" s="2">
        <f>COUNTIFS(Variables!$M$2:$M$19, "&lt;=" &amp; Y73, Variables!$M$2:$M$19, "&gt;=" &amp; Z73)</f>
        <v>12</v>
      </c>
      <c r="V73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11:50:05-0600',mode:absolute,to:'2016-06-22 12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3" s="50" t="str">
        <f t="shared" si="15"/>
        <v>N</v>
      </c>
      <c r="X73" s="50">
        <f t="shared" si="16"/>
        <v>1</v>
      </c>
      <c r="Y73" s="50">
        <f t="shared" si="21"/>
        <v>23.298100000000002</v>
      </c>
      <c r="Z73" s="50">
        <f t="shared" si="22"/>
        <v>1.52E-2</v>
      </c>
      <c r="AA73" s="50">
        <f t="shared" si="17"/>
        <v>23.282900000000001</v>
      </c>
      <c r="AB73" s="51" t="e">
        <f>VLOOKUP(A73,Enforcements!$C$7:$J$74,8,0)</f>
        <v>#N/A</v>
      </c>
      <c r="AC73" s="51" t="e">
        <f>VLOOKUP(A73,Enforcements!$C$7:$E$74,3,0)</f>
        <v>#N/A</v>
      </c>
    </row>
    <row r="74" spans="1:29" s="2" customFormat="1" x14ac:dyDescent="0.25">
      <c r="A74" s="43" t="s">
        <v>374</v>
      </c>
      <c r="B74" s="43">
        <v>4024</v>
      </c>
      <c r="C74" s="43" t="s">
        <v>60</v>
      </c>
      <c r="D74" s="43" t="s">
        <v>375</v>
      </c>
      <c r="E74" s="25">
        <v>42543.475810185184</v>
      </c>
      <c r="F74" s="25">
        <v>42543.476747685185</v>
      </c>
      <c r="G74" s="31">
        <v>1</v>
      </c>
      <c r="H74" s="25" t="s">
        <v>112</v>
      </c>
      <c r="I74" s="25">
        <v>42543.496388888889</v>
      </c>
      <c r="J74" s="43">
        <v>0</v>
      </c>
      <c r="K74" s="43" t="str">
        <f t="shared" si="11"/>
        <v>4023/4024</v>
      </c>
      <c r="L74" s="43" t="str">
        <f>VLOOKUP(A74,'Trips&amp;Operators'!$C$1:$E$10000,3,FALSE)</f>
        <v>SANTIZO</v>
      </c>
      <c r="M74" s="11">
        <f t="shared" si="12"/>
        <v>1.9641203703940846E-2</v>
      </c>
      <c r="N74" s="12"/>
      <c r="O74" s="12"/>
      <c r="P74" s="12">
        <f>24*60*SUM($M74:$M74)</f>
        <v>28.283333333674818</v>
      </c>
      <c r="Q74" s="44"/>
      <c r="R74" s="44" t="s">
        <v>254</v>
      </c>
      <c r="S74" s="72">
        <f t="shared" si="19"/>
        <v>0.75</v>
      </c>
      <c r="T74" s="2" t="str">
        <f t="shared" si="13"/>
        <v>NorthBound</v>
      </c>
      <c r="U74" s="2">
        <f>COUNTIFS(Variables!$M$2:$M$19, "&gt;=" &amp; Y74, Variables!$M$2:$M$19, "&lt;=" &amp; Z74)</f>
        <v>9</v>
      </c>
      <c r="V74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11:24:10-0600',mode:absolute,to:'2016-06-22 11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4" s="50" t="str">
        <f t="shared" si="15"/>
        <v>Y</v>
      </c>
      <c r="X74" s="50">
        <f t="shared" si="16"/>
        <v>1</v>
      </c>
      <c r="Y74" s="50">
        <f t="shared" si="21"/>
        <v>3.7193999999999998</v>
      </c>
      <c r="Z74" s="50">
        <f t="shared" si="22"/>
        <v>23.329499999999999</v>
      </c>
      <c r="AA74" s="50">
        <f t="shared" si="17"/>
        <v>19.610099999999999</v>
      </c>
      <c r="AB74" s="51" t="e">
        <f>VLOOKUP(A74,Enforcements!$C$7:$J$74,8,0)</f>
        <v>#N/A</v>
      </c>
      <c r="AC74" s="51" t="e">
        <f>VLOOKUP(A74,Enforcements!$C$7:$E$74,3,0)</f>
        <v>#N/A</v>
      </c>
    </row>
    <row r="75" spans="1:29" s="2" customFormat="1" x14ac:dyDescent="0.25">
      <c r="A75" s="43" t="s">
        <v>376</v>
      </c>
      <c r="B75" s="43">
        <v>4023</v>
      </c>
      <c r="C75" s="43" t="s">
        <v>60</v>
      </c>
      <c r="D75" s="43" t="s">
        <v>369</v>
      </c>
      <c r="E75" s="25">
        <v>42543.503935185188</v>
      </c>
      <c r="F75" s="25">
        <v>42543.505104166667</v>
      </c>
      <c r="G75" s="31">
        <v>1</v>
      </c>
      <c r="H75" s="25" t="s">
        <v>147</v>
      </c>
      <c r="I75" s="25">
        <v>42543.535902777781</v>
      </c>
      <c r="J75" s="43">
        <v>0</v>
      </c>
      <c r="K75" s="43" t="str">
        <f t="shared" si="11"/>
        <v>4023/4024</v>
      </c>
      <c r="L75" s="43" t="str">
        <f>VLOOKUP(A75,'Trips&amp;Operators'!$C$1:$E$10000,3,FALSE)</f>
        <v>SANTIZO</v>
      </c>
      <c r="M75" s="11">
        <f t="shared" si="12"/>
        <v>3.0798611114732921E-2</v>
      </c>
      <c r="N75" s="12">
        <f>24*60*SUM($M75:$M75)</f>
        <v>44.350000005215406</v>
      </c>
      <c r="O75" s="12"/>
      <c r="P75" s="12"/>
      <c r="Q75" s="44"/>
      <c r="R75" s="44"/>
      <c r="S75" s="72">
        <f t="shared" si="19"/>
        <v>1</v>
      </c>
      <c r="T75" s="2" t="str">
        <f t="shared" si="13"/>
        <v>Southbound</v>
      </c>
      <c r="U75" s="2">
        <f>COUNTIFS(Variables!$M$2:$M$19, "&lt;=" &amp; Y75, Variables!$M$2:$M$19, "&gt;=" &amp; Z75)</f>
        <v>12</v>
      </c>
      <c r="V75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12:04:40-0600',mode:absolute,to:'2016-06-22 12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5" s="50" t="str">
        <f t="shared" si="15"/>
        <v>N</v>
      </c>
      <c r="X75" s="50">
        <f t="shared" si="16"/>
        <v>1</v>
      </c>
      <c r="Y75" s="50">
        <f t="shared" si="21"/>
        <v>23.297999999999998</v>
      </c>
      <c r="Z75" s="50">
        <f t="shared" si="22"/>
        <v>1.4999999999999999E-2</v>
      </c>
      <c r="AA75" s="50">
        <f t="shared" si="17"/>
        <v>23.282999999999998</v>
      </c>
      <c r="AB75" s="51" t="e">
        <f>VLOOKUP(A75,Enforcements!$C$7:$J$74,8,0)</f>
        <v>#N/A</v>
      </c>
      <c r="AC75" s="51" t="e">
        <f>VLOOKUP(A75,Enforcements!$C$7:$E$74,3,0)</f>
        <v>#N/A</v>
      </c>
    </row>
    <row r="76" spans="1:29" s="2" customFormat="1" x14ac:dyDescent="0.25">
      <c r="A76" s="43" t="s">
        <v>377</v>
      </c>
      <c r="B76" s="43">
        <v>4040</v>
      </c>
      <c r="C76" s="43" t="s">
        <v>60</v>
      </c>
      <c r="D76" s="43" t="s">
        <v>150</v>
      </c>
      <c r="E76" s="25">
        <v>42543.474224537036</v>
      </c>
      <c r="F76" s="25">
        <v>42543.475335648145</v>
      </c>
      <c r="G76" s="31">
        <v>1</v>
      </c>
      <c r="H76" s="25" t="s">
        <v>378</v>
      </c>
      <c r="I76" s="25">
        <v>42543.476504629631</v>
      </c>
      <c r="J76" s="43">
        <v>0</v>
      </c>
      <c r="K76" s="43" t="str">
        <f t="shared" si="11"/>
        <v>4039/4040</v>
      </c>
      <c r="L76" s="43" t="str">
        <f>VLOOKUP(A76,'Trips&amp;Operators'!$C$1:$E$10000,3,FALSE)</f>
        <v>BONDS</v>
      </c>
      <c r="M76" s="11">
        <f t="shared" si="12"/>
        <v>1.1689814855344594E-3</v>
      </c>
      <c r="N76" s="12"/>
      <c r="O76" s="12"/>
      <c r="P76" s="12">
        <f>24*60*SUM($M76:$M76)</f>
        <v>1.6833333391696215</v>
      </c>
      <c r="Q76" s="44"/>
      <c r="R76" s="44" t="s">
        <v>550</v>
      </c>
      <c r="S76" s="72">
        <f t="shared" si="19"/>
        <v>1</v>
      </c>
      <c r="T76" s="2" t="str">
        <f t="shared" si="13"/>
        <v>NorthBound</v>
      </c>
      <c r="U76" s="2">
        <f>COUNTIFS(Variables!$M$2:$M$19, "&gt;=" &amp; Y76, Variables!$M$2:$M$19, "&lt;=" &amp; Z76)</f>
        <v>12</v>
      </c>
      <c r="V76" s="50" t="str">
        <f t="shared" si="14"/>
        <v>https://search-rtdc-monitor-bjffxe2xuh6vdkpspy63sjmuny.us-east-1.es.amazonaws.com/_plugin/kibana/#/discover/Steve-Slow-Train-Analysis-(2080s-and-2083s)?_g=(refreshInterval:(display:Off,section:0,value:0),time:(from:'2016-06-22 11:21:53-0600',mode:absolute,to:'2016-06-22 11:27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6" s="50" t="str">
        <f t="shared" si="15"/>
        <v>N</v>
      </c>
      <c r="X76" s="50">
        <f t="shared" si="16"/>
        <v>1</v>
      </c>
      <c r="Y76" s="50">
        <f t="shared" si="21"/>
        <v>4.3099999999999999E-2</v>
      </c>
      <c r="Z76" s="50">
        <f t="shared" si="22"/>
        <v>23.3338</v>
      </c>
      <c r="AA76" s="50">
        <f t="shared" si="17"/>
        <v>23.290700000000001</v>
      </c>
      <c r="AB76" s="51" t="e">
        <f>VLOOKUP(A76,Enforcements!$C$7:$J$74,8,0)</f>
        <v>#N/A</v>
      </c>
      <c r="AC76" s="51" t="e">
        <f>VLOOKUP(A76,Enforcements!$C$7:$E$74,3,0)</f>
        <v>#N/A</v>
      </c>
    </row>
    <row r="77" spans="1:29" s="2" customFormat="1" x14ac:dyDescent="0.25">
      <c r="A77" s="43" t="s">
        <v>379</v>
      </c>
      <c r="B77" s="43">
        <v>4039</v>
      </c>
      <c r="C77" s="43" t="s">
        <v>60</v>
      </c>
      <c r="D77" s="43" t="s">
        <v>380</v>
      </c>
      <c r="E77" s="25">
        <v>42543.511180555557</v>
      </c>
      <c r="F77" s="25">
        <v>42543.512199074074</v>
      </c>
      <c r="G77" s="31">
        <v>1</v>
      </c>
      <c r="H77" s="25" t="s">
        <v>61</v>
      </c>
      <c r="I77" s="25">
        <v>42543.544432870367</v>
      </c>
      <c r="J77" s="43">
        <v>0</v>
      </c>
      <c r="K77" s="43" t="str">
        <f t="shared" ref="K77:K108" si="24">IF(ISEVEN(B77),(B77-1)&amp;"/"&amp;B77,B77&amp;"/"&amp;(B77+1))</f>
        <v>4039/4040</v>
      </c>
      <c r="L77" s="43" t="str">
        <f>VLOOKUP(A77,'Trips&amp;Operators'!$C$1:$E$10000,3,FALSE)</f>
        <v>BONDS</v>
      </c>
      <c r="M77" s="11">
        <f t="shared" ref="M77:M108" si="25">I77-F77</f>
        <v>3.2233796293439809E-2</v>
      </c>
      <c r="N77" s="12">
        <f>24*60*SUM($M77:$M77)</f>
        <v>46.416666662553325</v>
      </c>
      <c r="O77" s="12"/>
      <c r="P77" s="12"/>
      <c r="Q77" s="44"/>
      <c r="R77" s="44"/>
      <c r="S77" s="72">
        <f t="shared" si="19"/>
        <v>1</v>
      </c>
      <c r="T77" s="2" t="str">
        <f t="shared" ref="T77:T108" si="26">IF(ISEVEN(LEFT(A77,3)),"Southbound","NorthBound")</f>
        <v>Southbound</v>
      </c>
      <c r="U77" s="2">
        <f>COUNTIFS(Variables!$M$2:$M$19, "&lt;=" &amp; Y77, Variables!$M$2:$M$19, "&gt;=" &amp; Z77)</f>
        <v>12</v>
      </c>
      <c r="V77" s="50" t="str">
        <f t="shared" ref="V77:V108" si="27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https://search-rtdc-monitor-bjffxe2xuh6vdkpspy63sjmuny.us-east-1.es.amazonaws.com/_plugin/kibana/#/discover/Steve-Slow-Train-Analysis-(2080s-and-2083s)?_g=(refreshInterval:(display:Off,section:0,value:0),time:(from:'2016-06-22 12:15:06-0600',mode:absolute,to:'2016-06-22 13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7" s="50" t="str">
        <f t="shared" ref="W77:W108" si="28">IF(AA77&lt;23,"Y","N")</f>
        <v>N</v>
      </c>
      <c r="X77" s="50">
        <f t="shared" ref="X77:X108" si="29">VALUE(LEFT(A77,3))-VALUE(LEFT(A76,3))</f>
        <v>1</v>
      </c>
      <c r="Y77" s="50">
        <f t="shared" si="21"/>
        <v>23.3019</v>
      </c>
      <c r="Z77" s="50">
        <f t="shared" si="22"/>
        <v>1.4500000000000001E-2</v>
      </c>
      <c r="AA77" s="50">
        <f t="shared" ref="AA77:AA108" si="30">ABS(Z77-Y77)</f>
        <v>23.287399999999998</v>
      </c>
      <c r="AB77" s="51" t="e">
        <f>VLOOKUP(A77,Enforcements!$C$7:$J$74,8,0)</f>
        <v>#N/A</v>
      </c>
      <c r="AC77" s="51" t="e">
        <f>VLOOKUP(A77,Enforcements!$C$7:$E$74,3,0)</f>
        <v>#N/A</v>
      </c>
    </row>
    <row r="78" spans="1:29" s="2" customFormat="1" x14ac:dyDescent="0.25">
      <c r="A78" s="43" t="s">
        <v>381</v>
      </c>
      <c r="B78" s="43">
        <v>4042</v>
      </c>
      <c r="C78" s="43" t="s">
        <v>60</v>
      </c>
      <c r="D78" s="43" t="s">
        <v>95</v>
      </c>
      <c r="E78" s="25">
        <v>42543.486793981479</v>
      </c>
      <c r="F78" s="25">
        <v>42543.48978009259</v>
      </c>
      <c r="G78" s="31">
        <v>4</v>
      </c>
      <c r="H78" s="25" t="s">
        <v>382</v>
      </c>
      <c r="I78" s="25">
        <v>42543.516562500001</v>
      </c>
      <c r="J78" s="43">
        <v>0</v>
      </c>
      <c r="K78" s="43" t="str">
        <f t="shared" si="24"/>
        <v>4041/4042</v>
      </c>
      <c r="L78" s="43" t="str">
        <f>VLOOKUP(A78,'Trips&amp;Operators'!$C$1:$E$10000,3,FALSE)</f>
        <v>COOLAHAN</v>
      </c>
      <c r="M78" s="11">
        <f t="shared" si="25"/>
        <v>2.6782407410792075E-2</v>
      </c>
      <c r="N78" s="12">
        <f>24*60*SUM($M78:$M78)</f>
        <v>38.566666671540588</v>
      </c>
      <c r="O78" s="12"/>
      <c r="P78" s="12"/>
      <c r="Q78" s="44"/>
      <c r="R78" s="44"/>
      <c r="S78" s="72">
        <f t="shared" si="19"/>
        <v>1</v>
      </c>
      <c r="T78" s="2" t="str">
        <f t="shared" si="26"/>
        <v>NorthBound</v>
      </c>
      <c r="U78" s="2">
        <f>COUNTIFS(Variables!$M$2:$M$19, "&gt;=" &amp; Y78, Variables!$M$2:$M$19, "&lt;=" &amp; Z78)</f>
        <v>12</v>
      </c>
      <c r="V78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11:39:59-0600',mode:absolute,to:'2016-06-22 12:24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8" s="50" t="str">
        <f t="shared" si="28"/>
        <v>N</v>
      </c>
      <c r="X78" s="50">
        <f t="shared" si="29"/>
        <v>1</v>
      </c>
      <c r="Y78" s="50">
        <f t="shared" si="21"/>
        <v>4.6399999999999997E-2</v>
      </c>
      <c r="Z78" s="50">
        <f t="shared" si="22"/>
        <v>23.310700000000001</v>
      </c>
      <c r="AA78" s="50">
        <f t="shared" si="30"/>
        <v>23.264300000000002</v>
      </c>
      <c r="AB78" s="51" t="e">
        <f>VLOOKUP(A78,Enforcements!$C$7:$J$74,8,0)</f>
        <v>#N/A</v>
      </c>
      <c r="AC78" s="51" t="e">
        <f>VLOOKUP(A78,Enforcements!$C$7:$E$74,3,0)</f>
        <v>#N/A</v>
      </c>
    </row>
    <row r="79" spans="1:29" s="2" customFormat="1" x14ac:dyDescent="0.25">
      <c r="A79" s="43" t="s">
        <v>383</v>
      </c>
      <c r="B79" s="43">
        <v>4041</v>
      </c>
      <c r="C79" s="43" t="s">
        <v>60</v>
      </c>
      <c r="D79" s="43" t="s">
        <v>384</v>
      </c>
      <c r="E79" s="25">
        <v>42543.525069444448</v>
      </c>
      <c r="F79" s="25">
        <v>42543.526273148149</v>
      </c>
      <c r="G79" s="31">
        <v>1</v>
      </c>
      <c r="H79" s="25" t="s">
        <v>76</v>
      </c>
      <c r="I79" s="25">
        <v>42543.555289351854</v>
      </c>
      <c r="J79" s="43">
        <v>0</v>
      </c>
      <c r="K79" s="43" t="str">
        <f t="shared" si="24"/>
        <v>4041/4042</v>
      </c>
      <c r="L79" s="43" t="str">
        <f>VLOOKUP(A79,'Trips&amp;Operators'!$C$1:$E$10000,3,FALSE)</f>
        <v>COOLAHAN</v>
      </c>
      <c r="M79" s="11">
        <f t="shared" si="25"/>
        <v>2.9016203705396038E-2</v>
      </c>
      <c r="N79" s="12">
        <f>24*60*SUM($M79:$M79)</f>
        <v>41.783333335770294</v>
      </c>
      <c r="O79" s="12"/>
      <c r="P79" s="12"/>
      <c r="Q79" s="44"/>
      <c r="R79" s="44"/>
      <c r="S79" s="72">
        <f t="shared" si="19"/>
        <v>1</v>
      </c>
      <c r="T79" s="2" t="str">
        <f t="shared" si="26"/>
        <v>Southbound</v>
      </c>
      <c r="U79" s="2">
        <f>COUNTIFS(Variables!$M$2:$M$19, "&lt;=" &amp; Y79, Variables!$M$2:$M$19, "&gt;=" &amp; Z79)</f>
        <v>12</v>
      </c>
      <c r="V79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12:35:06-0600',mode:absolute,to:'2016-06-22 13:20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9" s="50" t="str">
        <f t="shared" si="28"/>
        <v>N</v>
      </c>
      <c r="X79" s="50">
        <f t="shared" si="29"/>
        <v>1</v>
      </c>
      <c r="Y79" s="50">
        <f t="shared" si="21"/>
        <v>23.278500000000001</v>
      </c>
      <c r="Z79" s="50">
        <f t="shared" si="22"/>
        <v>1.41E-2</v>
      </c>
      <c r="AA79" s="50">
        <f t="shared" si="30"/>
        <v>23.264400000000002</v>
      </c>
      <c r="AB79" s="51" t="e">
        <f>VLOOKUP(A79,Enforcements!$C$7:$J$74,8,0)</f>
        <v>#N/A</v>
      </c>
      <c r="AC79" s="51" t="e">
        <f>VLOOKUP(A79,Enforcements!$C$7:$E$74,3,0)</f>
        <v>#N/A</v>
      </c>
    </row>
    <row r="80" spans="1:29" s="2" customFormat="1" x14ac:dyDescent="0.25">
      <c r="A80" s="43" t="s">
        <v>385</v>
      </c>
      <c r="B80" s="43">
        <v>4025</v>
      </c>
      <c r="C80" s="43" t="s">
        <v>60</v>
      </c>
      <c r="D80" s="43" t="s">
        <v>188</v>
      </c>
      <c r="E80" s="25">
        <v>42543.496249999997</v>
      </c>
      <c r="F80" s="25">
        <v>42543.497245370374</v>
      </c>
      <c r="G80" s="31">
        <v>1</v>
      </c>
      <c r="H80" s="25" t="s">
        <v>386</v>
      </c>
      <c r="I80" s="25">
        <v>42543.526574074072</v>
      </c>
      <c r="J80" s="43">
        <v>1</v>
      </c>
      <c r="K80" s="43" t="str">
        <f t="shared" si="24"/>
        <v>4025/4026</v>
      </c>
      <c r="L80" s="43" t="str">
        <f>VLOOKUP(A80,'Trips&amp;Operators'!$C$1:$E$10000,3,FALSE)</f>
        <v>SPECTOR</v>
      </c>
      <c r="M80" s="11">
        <f t="shared" si="25"/>
        <v>2.9328703698411118E-2</v>
      </c>
      <c r="N80" s="12">
        <f>24*60*SUM($M80:$M80)</f>
        <v>42.23333332571201</v>
      </c>
      <c r="O80" s="12"/>
      <c r="P80" s="12"/>
      <c r="Q80" s="44"/>
      <c r="R80" s="44"/>
      <c r="S80" s="72">
        <f t="shared" si="19"/>
        <v>1</v>
      </c>
      <c r="T80" s="2" t="str">
        <f t="shared" si="26"/>
        <v>NorthBound</v>
      </c>
      <c r="U80" s="2">
        <f>COUNTIFS(Variables!$M$2:$M$19, "&gt;=" &amp; Y80, Variables!$M$2:$M$19, "&lt;=" &amp; Z80)</f>
        <v>12</v>
      </c>
      <c r="V80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11:53:36-0600',mode:absolute,to:'2016-06-22 12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0" s="50" t="str">
        <f t="shared" si="28"/>
        <v>N</v>
      </c>
      <c r="X80" s="50">
        <f t="shared" si="29"/>
        <v>1</v>
      </c>
      <c r="Y80" s="50">
        <f t="shared" si="21"/>
        <v>4.4600000000000001E-2</v>
      </c>
      <c r="Z80" s="50">
        <f t="shared" si="22"/>
        <v>23.331700000000001</v>
      </c>
      <c r="AA80" s="50">
        <f t="shared" si="30"/>
        <v>23.287100000000002</v>
      </c>
      <c r="AB80" s="51">
        <f>VLOOKUP(A80,Enforcements!$C$7:$J$74,8,0)</f>
        <v>233491</v>
      </c>
      <c r="AC80" s="51" t="str">
        <f>VLOOKUP(A80,Enforcements!$C$7:$E$74,3,0)</f>
        <v>TRACK WARRANT AUTHORITY</v>
      </c>
    </row>
    <row r="81" spans="1:29" s="2" customFormat="1" x14ac:dyDescent="0.25">
      <c r="A81" s="43" t="s">
        <v>387</v>
      </c>
      <c r="B81" s="43">
        <v>4026</v>
      </c>
      <c r="C81" s="43" t="s">
        <v>60</v>
      </c>
      <c r="D81" s="43" t="s">
        <v>231</v>
      </c>
      <c r="E81" s="25">
        <v>42543.533263888887</v>
      </c>
      <c r="F81" s="25">
        <v>42543.534594907411</v>
      </c>
      <c r="G81" s="31">
        <v>1</v>
      </c>
      <c r="H81" s="25" t="s">
        <v>118</v>
      </c>
      <c r="I81" s="25">
        <v>42543.56591435185</v>
      </c>
      <c r="J81" s="43">
        <v>0</v>
      </c>
      <c r="K81" s="43" t="str">
        <f t="shared" si="24"/>
        <v>4025/4026</v>
      </c>
      <c r="L81" s="43" t="str">
        <f>VLOOKUP(A81,'Trips&amp;Operators'!$C$1:$E$10000,3,FALSE)</f>
        <v>SPECTOR</v>
      </c>
      <c r="M81" s="11">
        <f t="shared" si="25"/>
        <v>3.1319444438850041E-2</v>
      </c>
      <c r="N81" s="12">
        <f>24*60*SUM($M81:$M81)</f>
        <v>45.09999999194406</v>
      </c>
      <c r="O81" s="12"/>
      <c r="P81" s="12"/>
      <c r="Q81" s="44"/>
      <c r="R81" s="44"/>
      <c r="S81" s="72">
        <f t="shared" si="19"/>
        <v>1</v>
      </c>
      <c r="T81" s="2" t="str">
        <f t="shared" si="26"/>
        <v>Southbound</v>
      </c>
      <c r="U81" s="2">
        <f>COUNTIFS(Variables!$M$2:$M$19, "&lt;=" &amp; Y81, Variables!$M$2:$M$19, "&gt;=" &amp; Z81)</f>
        <v>12</v>
      </c>
      <c r="V81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12:46:54-0600',mode:absolute,to:'2016-06-22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1" s="50" t="str">
        <f t="shared" si="28"/>
        <v>N</v>
      </c>
      <c r="X81" s="50">
        <f t="shared" si="29"/>
        <v>1</v>
      </c>
      <c r="Y81" s="50">
        <f t="shared" si="21"/>
        <v>23.299299999999999</v>
      </c>
      <c r="Z81" s="50">
        <f t="shared" si="22"/>
        <v>1.5800000000000002E-2</v>
      </c>
      <c r="AA81" s="50">
        <f t="shared" si="30"/>
        <v>23.2835</v>
      </c>
      <c r="AB81" s="51" t="e">
        <f>VLOOKUP(A81,Enforcements!$C$7:$J$74,8,0)</f>
        <v>#N/A</v>
      </c>
      <c r="AC81" s="51" t="e">
        <f>VLOOKUP(A81,Enforcements!$C$7:$E$74,3,0)</f>
        <v>#N/A</v>
      </c>
    </row>
    <row r="82" spans="1:29" s="2" customFormat="1" x14ac:dyDescent="0.25">
      <c r="A82" s="43" t="s">
        <v>388</v>
      </c>
      <c r="B82" s="43">
        <v>4009</v>
      </c>
      <c r="C82" s="43" t="s">
        <v>60</v>
      </c>
      <c r="D82" s="43" t="s">
        <v>113</v>
      </c>
      <c r="E82" s="25">
        <v>42543.505578703705</v>
      </c>
      <c r="F82" s="25">
        <v>42543.507060185184</v>
      </c>
      <c r="G82" s="31">
        <v>2</v>
      </c>
      <c r="H82" s="25" t="s">
        <v>391</v>
      </c>
      <c r="I82" s="25">
        <v>42543.518136574072</v>
      </c>
      <c r="J82" s="43">
        <v>3</v>
      </c>
      <c r="K82" s="43" t="str">
        <f t="shared" si="24"/>
        <v>4009/4010</v>
      </c>
      <c r="L82" s="43" t="str">
        <f>VLOOKUP(A82,'Trips&amp;Operators'!$C$1:$E$10000,3,FALSE)</f>
        <v>STEWART</v>
      </c>
      <c r="M82" s="11">
        <f t="shared" si="25"/>
        <v>1.1076388887886424E-2</v>
      </c>
      <c r="N82" s="12"/>
      <c r="O82" s="12"/>
      <c r="P82" s="12">
        <f>24*60*SUM($M82:$M83)</f>
        <v>17.683333328459412</v>
      </c>
      <c r="Q82" s="44"/>
      <c r="R82" s="44" t="s">
        <v>555</v>
      </c>
      <c r="S82" s="72">
        <f>SUM(U82:U83)/12</f>
        <v>0</v>
      </c>
      <c r="T82" s="2" t="str">
        <f t="shared" si="26"/>
        <v>NorthBound</v>
      </c>
      <c r="U82" s="2">
        <f>COUNTIFS(Variables!$M$2:$M$19, "&gt;=" &amp; Y82, Variables!$M$2:$M$19, "&lt;=" &amp; Z82)</f>
        <v>0</v>
      </c>
      <c r="V82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2" s="50" t="str">
        <f t="shared" si="28"/>
        <v>Y</v>
      </c>
      <c r="X82" s="50">
        <f t="shared" si="29"/>
        <v>1</v>
      </c>
      <c r="Y82" s="50">
        <f t="shared" si="21"/>
        <v>4.4699999999999997E-2</v>
      </c>
      <c r="Z82" s="50">
        <f t="shared" si="22"/>
        <v>1.1777</v>
      </c>
      <c r="AA82" s="50">
        <f t="shared" si="30"/>
        <v>1.133</v>
      </c>
      <c r="AB82" s="51">
        <f>VLOOKUP(A82,Enforcements!$C$7:$J$74,8,0)</f>
        <v>10800</v>
      </c>
      <c r="AC82" s="51" t="str">
        <f>VLOOKUP(A82,Enforcements!$C$7:$E$74,3,0)</f>
        <v>SIGNAL</v>
      </c>
    </row>
    <row r="83" spans="1:29" s="2" customFormat="1" x14ac:dyDescent="0.25">
      <c r="A83" s="43" t="s">
        <v>388</v>
      </c>
      <c r="B83" s="43">
        <v>4009</v>
      </c>
      <c r="C83" s="43" t="s">
        <v>60</v>
      </c>
      <c r="D83" s="43" t="s">
        <v>389</v>
      </c>
      <c r="E83" s="25">
        <v>42543.52553240741</v>
      </c>
      <c r="F83" s="25">
        <v>42543.526296296295</v>
      </c>
      <c r="G83" s="31">
        <v>1</v>
      </c>
      <c r="H83" s="25" t="s">
        <v>390</v>
      </c>
      <c r="I83" s="25">
        <v>42543.527499999997</v>
      </c>
      <c r="J83" s="43">
        <v>0</v>
      </c>
      <c r="K83" s="43" t="str">
        <f t="shared" si="24"/>
        <v>4009/4010</v>
      </c>
      <c r="L83" s="43" t="str">
        <f>VLOOKUP(A83,'Trips&amp;Operators'!$C$1:$E$10000,3,FALSE)</f>
        <v>STEWART</v>
      </c>
      <c r="M83" s="11">
        <f t="shared" si="25"/>
        <v>1.2037037013215013E-3</v>
      </c>
      <c r="N83" s="12"/>
      <c r="O83" s="12"/>
      <c r="P83" s="12"/>
      <c r="Q83" s="44"/>
      <c r="R83" s="44"/>
      <c r="S83" s="72"/>
      <c r="T83" s="2" t="str">
        <f t="shared" si="26"/>
        <v>NorthBound</v>
      </c>
      <c r="U83" s="2">
        <f>COUNTIFS(Variables!$M$2:$M$19, "&gt;=" &amp; Y83, Variables!$M$2:$M$19, "&lt;=" &amp; Z83)</f>
        <v>0</v>
      </c>
      <c r="V83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12:35:46-0600',mode:absolute,to:'2016-06-22 12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3" s="50" t="str">
        <f t="shared" si="28"/>
        <v>Y</v>
      </c>
      <c r="X83" s="50">
        <f t="shared" si="29"/>
        <v>0</v>
      </c>
      <c r="Y83" s="50">
        <f t="shared" si="21"/>
        <v>1.9139999999999999</v>
      </c>
      <c r="Z83" s="50">
        <f t="shared" si="22"/>
        <v>2.0192000000000001</v>
      </c>
      <c r="AA83" s="50">
        <f t="shared" si="30"/>
        <v>0.10520000000000018</v>
      </c>
      <c r="AB83" s="51">
        <f>VLOOKUP(A83,Enforcements!$C$7:$J$74,8,0)</f>
        <v>10800</v>
      </c>
      <c r="AC83" s="51" t="str">
        <f>VLOOKUP(A83,Enforcements!$C$7:$E$74,3,0)</f>
        <v>SIGNAL</v>
      </c>
    </row>
    <row r="84" spans="1:29" s="2" customFormat="1" x14ac:dyDescent="0.25">
      <c r="A84" s="43" t="s">
        <v>392</v>
      </c>
      <c r="B84" s="43">
        <v>4010</v>
      </c>
      <c r="C84" s="43" t="s">
        <v>60</v>
      </c>
      <c r="D84" s="43" t="s">
        <v>155</v>
      </c>
      <c r="E84" s="25">
        <v>42543.558518518519</v>
      </c>
      <c r="F84" s="25">
        <v>42543.560416666667</v>
      </c>
      <c r="G84" s="31">
        <v>2</v>
      </c>
      <c r="H84" s="25" t="s">
        <v>147</v>
      </c>
      <c r="I84" s="25">
        <v>42543.589085648149</v>
      </c>
      <c r="J84" s="43">
        <v>0</v>
      </c>
      <c r="K84" s="43" t="str">
        <f t="shared" si="24"/>
        <v>4009/4010</v>
      </c>
      <c r="L84" s="43" t="str">
        <f>VLOOKUP(A84,'Trips&amp;Operators'!$C$1:$E$10000,3,FALSE)</f>
        <v>STEWART</v>
      </c>
      <c r="M84" s="11">
        <f t="shared" si="25"/>
        <v>2.8668981482042E-2</v>
      </c>
      <c r="N84" s="12">
        <f t="shared" ref="N84:N96" si="31">24*60*SUM($M84:$M84)</f>
        <v>41.28333333414048</v>
      </c>
      <c r="O84" s="12"/>
      <c r="P84" s="12"/>
      <c r="Q84" s="44"/>
      <c r="R84" s="44"/>
      <c r="S84" s="72">
        <f t="shared" ref="S84:S115" si="32">SUM(U84:U84)/12</f>
        <v>1</v>
      </c>
      <c r="T84" s="2" t="str">
        <f t="shared" si="26"/>
        <v>Southbound</v>
      </c>
      <c r="U84" s="2">
        <f>COUNTIFS(Variables!$M$2:$M$19, "&lt;=" &amp; Y84, Variables!$M$2:$M$19, "&gt;=" &amp; Z84)</f>
        <v>12</v>
      </c>
      <c r="V84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13:23:16-0600',mode:absolute,to:'2016-06-22 14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4" s="50" t="str">
        <f t="shared" si="28"/>
        <v>N</v>
      </c>
      <c r="X84" s="50">
        <f t="shared" si="29"/>
        <v>1</v>
      </c>
      <c r="Y84" s="50">
        <f t="shared" si="21"/>
        <v>23.298100000000002</v>
      </c>
      <c r="Z84" s="50">
        <f t="shared" si="22"/>
        <v>1.4999999999999999E-2</v>
      </c>
      <c r="AA84" s="50">
        <f t="shared" si="30"/>
        <v>23.283100000000001</v>
      </c>
      <c r="AB84" s="51" t="e">
        <f>VLOOKUP(A84,Enforcements!$C$7:$J$74,8,0)</f>
        <v>#N/A</v>
      </c>
      <c r="AC84" s="51" t="e">
        <f>VLOOKUP(A84,Enforcements!$C$7:$E$74,3,0)</f>
        <v>#N/A</v>
      </c>
    </row>
    <row r="85" spans="1:29" s="2" customFormat="1" x14ac:dyDescent="0.25">
      <c r="A85" s="43" t="s">
        <v>393</v>
      </c>
      <c r="B85" s="43">
        <v>4027</v>
      </c>
      <c r="C85" s="43" t="s">
        <v>60</v>
      </c>
      <c r="D85" s="43" t="s">
        <v>113</v>
      </c>
      <c r="E85" s="25">
        <v>42543.52140046296</v>
      </c>
      <c r="F85" s="25">
        <v>42543.522615740738</v>
      </c>
      <c r="G85" s="31">
        <v>1</v>
      </c>
      <c r="H85" s="25" t="s">
        <v>152</v>
      </c>
      <c r="I85" s="25">
        <v>42543.556574074071</v>
      </c>
      <c r="J85" s="43">
        <v>1</v>
      </c>
      <c r="K85" s="43" t="str">
        <f t="shared" si="24"/>
        <v>4027/4028</v>
      </c>
      <c r="L85" s="43" t="str">
        <f>VLOOKUP(A85,'Trips&amp;Operators'!$C$1:$E$10000,3,FALSE)</f>
        <v>RIVERA</v>
      </c>
      <c r="M85" s="11">
        <f t="shared" si="25"/>
        <v>3.3958333333430346E-2</v>
      </c>
      <c r="N85" s="12">
        <f t="shared" si="31"/>
        <v>48.900000000139698</v>
      </c>
      <c r="O85" s="12"/>
      <c r="P85" s="12"/>
      <c r="Q85" s="44"/>
      <c r="R85" s="44"/>
      <c r="S85" s="72">
        <f t="shared" si="32"/>
        <v>1</v>
      </c>
      <c r="T85" s="2" t="str">
        <f t="shared" si="26"/>
        <v>NorthBound</v>
      </c>
      <c r="U85" s="2">
        <f>COUNTIFS(Variables!$M$2:$M$19, "&gt;=" &amp; Y85, Variables!$M$2:$M$19, "&lt;=" &amp; Z85)</f>
        <v>12</v>
      </c>
      <c r="V85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12:29:49-0600',mode:absolute,to:'2016-06-22 13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5" s="50" t="str">
        <f t="shared" si="28"/>
        <v>N</v>
      </c>
      <c r="X85" s="50">
        <f t="shared" si="29"/>
        <v>1</v>
      </c>
      <c r="Y85" s="50">
        <f t="shared" si="21"/>
        <v>4.4699999999999997E-2</v>
      </c>
      <c r="Z85" s="50">
        <f t="shared" si="22"/>
        <v>23.330100000000002</v>
      </c>
      <c r="AA85" s="50">
        <f t="shared" si="30"/>
        <v>23.285400000000003</v>
      </c>
      <c r="AB85" s="51">
        <f>VLOOKUP(A85,Enforcements!$C$7:$J$74,8,0)</f>
        <v>63068</v>
      </c>
      <c r="AC85" s="51" t="str">
        <f>VLOOKUP(A85,Enforcements!$C$7:$E$74,3,0)</f>
        <v>GRADE CROSSING</v>
      </c>
    </row>
    <row r="86" spans="1:29" s="2" customFormat="1" ht="16.5" customHeight="1" x14ac:dyDescent="0.25">
      <c r="A86" s="43" t="s">
        <v>394</v>
      </c>
      <c r="B86" s="43">
        <v>4028</v>
      </c>
      <c r="C86" s="43" t="s">
        <v>60</v>
      </c>
      <c r="D86" s="43" t="s">
        <v>369</v>
      </c>
      <c r="E86" s="25">
        <v>42543.562268518515</v>
      </c>
      <c r="F86" s="25">
        <v>42543.563379629632</v>
      </c>
      <c r="G86" s="31">
        <v>1</v>
      </c>
      <c r="H86" s="25" t="s">
        <v>61</v>
      </c>
      <c r="I86" s="25">
        <v>42543.592604166668</v>
      </c>
      <c r="J86" s="43">
        <v>0</v>
      </c>
      <c r="K86" s="43" t="str">
        <f t="shared" si="24"/>
        <v>4027/4028</v>
      </c>
      <c r="L86" s="43" t="str">
        <f>VLOOKUP(A86,'Trips&amp;Operators'!$C$1:$E$10000,3,FALSE)</f>
        <v>RIVERA</v>
      </c>
      <c r="M86" s="11">
        <f t="shared" si="25"/>
        <v>2.9224537036498077E-2</v>
      </c>
      <c r="N86" s="12">
        <f t="shared" si="31"/>
        <v>42.083333332557231</v>
      </c>
      <c r="O86" s="12"/>
      <c r="P86" s="12"/>
      <c r="Q86" s="44"/>
      <c r="R86" s="44"/>
      <c r="S86" s="72">
        <f t="shared" si="32"/>
        <v>1</v>
      </c>
      <c r="T86" s="2" t="str">
        <f t="shared" si="26"/>
        <v>Southbound</v>
      </c>
      <c r="U86" s="2">
        <f>COUNTIFS(Variables!$M$2:$M$19, "&lt;=" &amp; Y86, Variables!$M$2:$M$19, "&gt;=" &amp; Z86)</f>
        <v>12</v>
      </c>
      <c r="V86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13:28:40-0600',mode:absolute,to:'2016-06-22 14:14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6" s="50" t="str">
        <f t="shared" si="28"/>
        <v>N</v>
      </c>
      <c r="X86" s="50">
        <f t="shared" si="29"/>
        <v>1</v>
      </c>
      <c r="Y86" s="50">
        <f t="shared" si="21"/>
        <v>23.297999999999998</v>
      </c>
      <c r="Z86" s="50">
        <f t="shared" si="22"/>
        <v>1.4500000000000001E-2</v>
      </c>
      <c r="AA86" s="50">
        <f t="shared" si="30"/>
        <v>23.283499999999997</v>
      </c>
      <c r="AB86" s="51" t="e">
        <f>VLOOKUP(A86,Enforcements!$C$7:$J$74,8,0)</f>
        <v>#N/A</v>
      </c>
      <c r="AC86" s="51" t="e">
        <f>VLOOKUP(A86,Enforcements!$C$7:$E$74,3,0)</f>
        <v>#N/A</v>
      </c>
    </row>
    <row r="87" spans="1:29" s="2" customFormat="1" ht="16.5" customHeight="1" x14ac:dyDescent="0.25">
      <c r="A87" s="43" t="s">
        <v>395</v>
      </c>
      <c r="B87" s="43">
        <v>4011</v>
      </c>
      <c r="C87" s="43" t="s">
        <v>60</v>
      </c>
      <c r="D87" s="43" t="s">
        <v>156</v>
      </c>
      <c r="E87" s="25">
        <v>42543.530960648146</v>
      </c>
      <c r="F87" s="25">
        <v>42543.532060185185</v>
      </c>
      <c r="G87" s="31">
        <v>1</v>
      </c>
      <c r="H87" s="25" t="s">
        <v>396</v>
      </c>
      <c r="I87" s="25">
        <v>42543.56449074074</v>
      </c>
      <c r="J87" s="43">
        <v>0</v>
      </c>
      <c r="K87" s="43" t="str">
        <f t="shared" si="24"/>
        <v>4011/4012</v>
      </c>
      <c r="L87" s="43" t="str">
        <f>VLOOKUP(A87,'Trips&amp;Operators'!$C$1:$E$10000,3,FALSE)</f>
        <v>LOZA</v>
      </c>
      <c r="M87" s="11">
        <f t="shared" si="25"/>
        <v>3.2430555555038154E-2</v>
      </c>
      <c r="N87" s="12">
        <f t="shared" si="31"/>
        <v>46.699999999254942</v>
      </c>
      <c r="O87" s="12"/>
      <c r="P87" s="12"/>
      <c r="Q87" s="44"/>
      <c r="R87" s="44"/>
      <c r="S87" s="72">
        <f t="shared" si="32"/>
        <v>1</v>
      </c>
      <c r="T87" s="2" t="str">
        <f t="shared" si="26"/>
        <v>NorthBound</v>
      </c>
      <c r="U87" s="2">
        <f>COUNTIFS(Variables!$M$2:$M$19, "&gt;=" &amp; Y87, Variables!$M$2:$M$19, "&lt;=" &amp; Z87)</f>
        <v>12</v>
      </c>
      <c r="V87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12:43:35-0600',mode:absolute,to:'2016-06-22 13:33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50" t="str">
        <f t="shared" si="28"/>
        <v>N</v>
      </c>
      <c r="X87" s="50">
        <f t="shared" si="29"/>
        <v>1</v>
      </c>
      <c r="Y87" s="50">
        <f t="shared" si="21"/>
        <v>4.5100000000000001E-2</v>
      </c>
      <c r="Z87" s="50">
        <f t="shared" si="22"/>
        <v>23.3308</v>
      </c>
      <c r="AA87" s="50">
        <f t="shared" si="30"/>
        <v>23.285699999999999</v>
      </c>
      <c r="AB87" s="51" t="e">
        <f>VLOOKUP(A87,Enforcements!$C$7:$J$74,8,0)</f>
        <v>#N/A</v>
      </c>
      <c r="AC87" s="51" t="e">
        <f>VLOOKUP(A87,Enforcements!$C$7:$E$74,3,0)</f>
        <v>#N/A</v>
      </c>
    </row>
    <row r="88" spans="1:29" s="2" customFormat="1" x14ac:dyDescent="0.25">
      <c r="A88" s="43" t="s">
        <v>397</v>
      </c>
      <c r="B88" s="43">
        <v>4024</v>
      </c>
      <c r="C88" s="43" t="s">
        <v>60</v>
      </c>
      <c r="D88" s="43" t="s">
        <v>188</v>
      </c>
      <c r="E88" s="25">
        <v>42543.539814814816</v>
      </c>
      <c r="F88" s="25">
        <v>42543.540856481479</v>
      </c>
      <c r="G88" s="31">
        <v>1</v>
      </c>
      <c r="H88" s="25" t="s">
        <v>282</v>
      </c>
      <c r="I88" s="25">
        <v>42543.568726851852</v>
      </c>
      <c r="J88" s="43">
        <v>0</v>
      </c>
      <c r="K88" s="43" t="str">
        <f t="shared" si="24"/>
        <v>4023/4024</v>
      </c>
      <c r="L88" s="43" t="str">
        <f>VLOOKUP(A88,'Trips&amp;Operators'!$C$1:$E$10000,3,FALSE)</f>
        <v>SANTIZO</v>
      </c>
      <c r="M88" s="11">
        <f t="shared" si="25"/>
        <v>2.7870370373420883E-2</v>
      </c>
      <c r="N88" s="12">
        <f t="shared" si="31"/>
        <v>40.133333337726071</v>
      </c>
      <c r="O88" s="12"/>
      <c r="P88" s="12"/>
      <c r="Q88" s="44"/>
      <c r="R88" s="44"/>
      <c r="S88" s="72">
        <f t="shared" si="32"/>
        <v>1</v>
      </c>
      <c r="T88" s="2" t="str">
        <f t="shared" si="26"/>
        <v>NorthBound</v>
      </c>
      <c r="U88" s="2">
        <f>COUNTIFS(Variables!$M$2:$M$19, "&gt;=" &amp; Y88, Variables!$M$2:$M$19, "&lt;=" &amp; Z88)</f>
        <v>12</v>
      </c>
      <c r="V88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12:56:20-0600',mode:absolute,to:'2016-06-22 13:39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8" s="50" t="str">
        <f t="shared" si="28"/>
        <v>N</v>
      </c>
      <c r="X88" s="50">
        <f t="shared" si="29"/>
        <v>2</v>
      </c>
      <c r="Y88" s="50">
        <f t="shared" si="21"/>
        <v>4.4600000000000001E-2</v>
      </c>
      <c r="Z88" s="50">
        <f t="shared" si="22"/>
        <v>23.330500000000001</v>
      </c>
      <c r="AA88" s="50">
        <f t="shared" si="30"/>
        <v>23.285900000000002</v>
      </c>
      <c r="AB88" s="51" t="e">
        <f>VLOOKUP(A88,Enforcements!$C$7:$J$74,8,0)</f>
        <v>#N/A</v>
      </c>
      <c r="AC88" s="51" t="e">
        <f>VLOOKUP(A88,Enforcements!$C$7:$E$74,3,0)</f>
        <v>#N/A</v>
      </c>
    </row>
    <row r="89" spans="1:29" s="2" customFormat="1" x14ac:dyDescent="0.25">
      <c r="A89" s="43" t="s">
        <v>398</v>
      </c>
      <c r="B89" s="43">
        <v>4023</v>
      </c>
      <c r="C89" s="43" t="s">
        <v>60</v>
      </c>
      <c r="D89" s="43" t="s">
        <v>159</v>
      </c>
      <c r="E89" s="25">
        <v>42543.575821759259</v>
      </c>
      <c r="F89" s="25">
        <v>42543.576979166668</v>
      </c>
      <c r="G89" s="31">
        <v>1</v>
      </c>
      <c r="H89" s="25" t="s">
        <v>399</v>
      </c>
      <c r="I89" s="25">
        <v>42543.60900462963</v>
      </c>
      <c r="J89" s="43">
        <v>0</v>
      </c>
      <c r="K89" s="43" t="str">
        <f t="shared" si="24"/>
        <v>4023/4024</v>
      </c>
      <c r="L89" s="43" t="str">
        <f>VLOOKUP(A89,'Trips&amp;Operators'!$C$1:$E$10000,3,FALSE)</f>
        <v>LOZA</v>
      </c>
      <c r="M89" s="11">
        <f t="shared" si="25"/>
        <v>3.202546296233777E-2</v>
      </c>
      <c r="N89" s="12">
        <f t="shared" si="31"/>
        <v>46.116666665766388</v>
      </c>
      <c r="O89" s="12"/>
      <c r="P89" s="12"/>
      <c r="Q89" s="44"/>
      <c r="R89" s="44"/>
      <c r="S89" s="72">
        <f t="shared" si="32"/>
        <v>1</v>
      </c>
      <c r="T89" s="2" t="str">
        <f t="shared" si="26"/>
        <v>Southbound</v>
      </c>
      <c r="U89" s="2">
        <f>COUNTIFS(Variables!$M$2:$M$19, "&lt;=" &amp; Y89, Variables!$M$2:$M$19, "&gt;=" &amp; Z89)</f>
        <v>12</v>
      </c>
      <c r="V89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13:48:11-0600',mode:absolute,to:'2016-06-22 14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9" s="50" t="str">
        <f t="shared" si="28"/>
        <v>Y</v>
      </c>
      <c r="X89" s="50">
        <f t="shared" si="29"/>
        <v>1</v>
      </c>
      <c r="Y89" s="50">
        <f t="shared" si="21"/>
        <v>23.298400000000001</v>
      </c>
      <c r="Z89" s="50">
        <f t="shared" si="22"/>
        <v>0.54049999999999998</v>
      </c>
      <c r="AA89" s="50">
        <f t="shared" si="30"/>
        <v>22.757899999999999</v>
      </c>
      <c r="AB89" s="51" t="e">
        <f>VLOOKUP(A89,Enforcements!$C$7:$J$74,8,0)</f>
        <v>#N/A</v>
      </c>
      <c r="AC89" s="51" t="e">
        <f>VLOOKUP(A89,Enforcements!$C$7:$E$74,3,0)</f>
        <v>#N/A</v>
      </c>
    </row>
    <row r="90" spans="1:29" s="2" customFormat="1" x14ac:dyDescent="0.25">
      <c r="A90" s="43" t="s">
        <v>400</v>
      </c>
      <c r="B90" s="43">
        <v>4040</v>
      </c>
      <c r="C90" s="43" t="s">
        <v>60</v>
      </c>
      <c r="D90" s="43" t="s">
        <v>74</v>
      </c>
      <c r="E90" s="25">
        <v>42543.545729166668</v>
      </c>
      <c r="F90" s="25">
        <v>42543.546643518515</v>
      </c>
      <c r="G90" s="31">
        <v>1</v>
      </c>
      <c r="H90" s="25" t="s">
        <v>378</v>
      </c>
      <c r="I90" s="25">
        <v>42543.578784722224</v>
      </c>
      <c r="J90" s="43">
        <v>0</v>
      </c>
      <c r="K90" s="43" t="str">
        <f t="shared" si="24"/>
        <v>4039/4040</v>
      </c>
      <c r="L90" s="43" t="str">
        <f>VLOOKUP(A90,'Trips&amp;Operators'!$C$1:$E$10000,3,FALSE)</f>
        <v>BONDS</v>
      </c>
      <c r="M90" s="11">
        <f t="shared" si="25"/>
        <v>3.2141203708306421E-2</v>
      </c>
      <c r="N90" s="12">
        <f t="shared" si="31"/>
        <v>46.283333339961246</v>
      </c>
      <c r="O90" s="12"/>
      <c r="P90" s="12"/>
      <c r="Q90" s="44"/>
      <c r="R90" s="44"/>
      <c r="S90" s="72">
        <f t="shared" si="32"/>
        <v>1</v>
      </c>
      <c r="T90" s="2" t="str">
        <f t="shared" si="26"/>
        <v>NorthBound</v>
      </c>
      <c r="U90" s="2">
        <f>COUNTIFS(Variables!$M$2:$M$19, "&gt;=" &amp; Y90, Variables!$M$2:$M$19, "&lt;=" &amp; Z90)</f>
        <v>12</v>
      </c>
      <c r="V90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13:04:51-0600',mode:absolute,to:'2016-06-22 13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0" s="50" t="str">
        <f t="shared" si="28"/>
        <v>N</v>
      </c>
      <c r="X90" s="50">
        <f t="shared" si="29"/>
        <v>1</v>
      </c>
      <c r="Y90" s="50">
        <f t="shared" si="21"/>
        <v>4.5699999999999998E-2</v>
      </c>
      <c r="Z90" s="50">
        <f t="shared" si="22"/>
        <v>23.3338</v>
      </c>
      <c r="AA90" s="50">
        <f t="shared" si="30"/>
        <v>23.2881</v>
      </c>
      <c r="AB90" s="51" t="e">
        <f>VLOOKUP(A90,Enforcements!$C$7:$J$74,8,0)</f>
        <v>#N/A</v>
      </c>
      <c r="AC90" s="51" t="e">
        <f>VLOOKUP(A90,Enforcements!$C$7:$E$74,3,0)</f>
        <v>#N/A</v>
      </c>
    </row>
    <row r="91" spans="1:29" s="2" customFormat="1" x14ac:dyDescent="0.25">
      <c r="A91" s="43" t="s">
        <v>401</v>
      </c>
      <c r="B91" s="43">
        <v>4039</v>
      </c>
      <c r="C91" s="43" t="s">
        <v>60</v>
      </c>
      <c r="D91" s="43" t="s">
        <v>402</v>
      </c>
      <c r="E91" s="25">
        <v>42543.585092592592</v>
      </c>
      <c r="F91" s="25">
        <v>42543.585879629631</v>
      </c>
      <c r="G91" s="31">
        <v>1</v>
      </c>
      <c r="H91" s="25" t="s">
        <v>232</v>
      </c>
      <c r="I91" s="25">
        <v>42543.619768518518</v>
      </c>
      <c r="J91" s="43">
        <v>1</v>
      </c>
      <c r="K91" s="43" t="str">
        <f t="shared" si="24"/>
        <v>4039/4040</v>
      </c>
      <c r="L91" s="43" t="str">
        <f>VLOOKUP(A91,'Trips&amp;Operators'!$C$1:$E$10000,3,FALSE)</f>
        <v>BONDS</v>
      </c>
      <c r="M91" s="11">
        <f t="shared" si="25"/>
        <v>3.3888888887304347E-2</v>
      </c>
      <c r="N91" s="12">
        <f t="shared" si="31"/>
        <v>48.79999999771826</v>
      </c>
      <c r="O91" s="12"/>
      <c r="P91" s="12"/>
      <c r="Q91" s="44"/>
      <c r="R91" s="44"/>
      <c r="S91" s="72">
        <f t="shared" si="32"/>
        <v>1</v>
      </c>
      <c r="T91" s="2" t="str">
        <f t="shared" si="26"/>
        <v>Southbound</v>
      </c>
      <c r="U91" s="2">
        <f>COUNTIFS(Variables!$M$2:$M$19, "&lt;=" &amp; Y91, Variables!$M$2:$M$19, "&gt;=" &amp; Z91)</f>
        <v>12</v>
      </c>
      <c r="V91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14:01:32-0600',mode:absolute,to:'2016-06-22 14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1" s="50" t="str">
        <f t="shared" si="28"/>
        <v>N</v>
      </c>
      <c r="X91" s="50">
        <f t="shared" si="29"/>
        <v>1</v>
      </c>
      <c r="Y91" s="50">
        <f t="shared" si="21"/>
        <v>23.301500000000001</v>
      </c>
      <c r="Z91" s="50">
        <f t="shared" si="22"/>
        <v>4.82E-2</v>
      </c>
      <c r="AA91" s="50">
        <f t="shared" si="30"/>
        <v>23.253299999999999</v>
      </c>
      <c r="AB91" s="51">
        <f>VLOOKUP(A91,Enforcements!$C$7:$J$74,8,0)</f>
        <v>1</v>
      </c>
      <c r="AC91" s="51" t="str">
        <f>VLOOKUP(A91,Enforcements!$C$7:$E$74,3,0)</f>
        <v>TRACK WARRANT AUTHORITY</v>
      </c>
    </row>
    <row r="92" spans="1:29" s="66" customFormat="1" x14ac:dyDescent="0.25">
      <c r="A92" s="43" t="s">
        <v>403</v>
      </c>
      <c r="B92" s="43">
        <v>4042</v>
      </c>
      <c r="C92" s="43" t="s">
        <v>60</v>
      </c>
      <c r="D92" s="43" t="s">
        <v>81</v>
      </c>
      <c r="E92" s="25">
        <v>42543.558298611111</v>
      </c>
      <c r="F92" s="25">
        <v>42543.5628125</v>
      </c>
      <c r="G92" s="31">
        <v>6</v>
      </c>
      <c r="H92" s="25" t="s">
        <v>120</v>
      </c>
      <c r="I92" s="25">
        <v>42543.589108796295</v>
      </c>
      <c r="J92" s="43">
        <v>1</v>
      </c>
      <c r="K92" s="43" t="str">
        <f t="shared" si="24"/>
        <v>4041/4042</v>
      </c>
      <c r="L92" s="43" t="str">
        <f>VLOOKUP(A92,'Trips&amp;Operators'!$C$1:$E$10000,3,FALSE)</f>
        <v>COOLAHAN</v>
      </c>
      <c r="M92" s="11">
        <f t="shared" si="25"/>
        <v>2.6296296295186039E-2</v>
      </c>
      <c r="N92" s="12">
        <f t="shared" si="31"/>
        <v>37.866666665067896</v>
      </c>
      <c r="O92" s="12"/>
      <c r="P92" s="12"/>
      <c r="Q92" s="44"/>
      <c r="R92" s="44"/>
      <c r="S92" s="72">
        <f t="shared" si="32"/>
        <v>1</v>
      </c>
      <c r="T92" s="2" t="str">
        <f t="shared" si="26"/>
        <v>NorthBound</v>
      </c>
      <c r="U92" s="2">
        <f>COUNTIFS(Variables!$M$2:$M$19, "&gt;=" &amp; Y92, Variables!$M$2:$M$19, "&lt;=" &amp; Z92)</f>
        <v>12</v>
      </c>
      <c r="V92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13:22:57-0600',mode:absolute,to:'2016-06-22 14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2" s="50" t="str">
        <f t="shared" si="28"/>
        <v>N</v>
      </c>
      <c r="X92" s="50">
        <f t="shared" si="29"/>
        <v>1</v>
      </c>
      <c r="Y92" s="50">
        <f t="shared" si="21"/>
        <v>4.53E-2</v>
      </c>
      <c r="Z92" s="50">
        <f t="shared" si="22"/>
        <v>23.329699999999999</v>
      </c>
      <c r="AA92" s="50">
        <f t="shared" si="30"/>
        <v>23.284399999999998</v>
      </c>
      <c r="AB92" s="51">
        <f>VLOOKUP(A92,Enforcements!$C$7:$J$74,8,0)</f>
        <v>233491</v>
      </c>
      <c r="AC92" s="51" t="str">
        <f>VLOOKUP(A92,Enforcements!$C$7:$E$74,3,0)</f>
        <v>TRACK WARRANT AUTHORITY</v>
      </c>
    </row>
    <row r="93" spans="1:29" s="2" customFormat="1" x14ac:dyDescent="0.25">
      <c r="A93" s="43" t="s">
        <v>404</v>
      </c>
      <c r="B93" s="43">
        <v>4041</v>
      </c>
      <c r="C93" s="43" t="s">
        <v>60</v>
      </c>
      <c r="D93" s="43" t="s">
        <v>208</v>
      </c>
      <c r="E93" s="25">
        <v>42543.596273148149</v>
      </c>
      <c r="F93" s="25">
        <v>42543.597824074073</v>
      </c>
      <c r="G93" s="31">
        <v>2</v>
      </c>
      <c r="H93" s="25" t="s">
        <v>127</v>
      </c>
      <c r="I93" s="25">
        <v>42543.629965277774</v>
      </c>
      <c r="J93" s="43">
        <v>2</v>
      </c>
      <c r="K93" s="43" t="str">
        <f t="shared" si="24"/>
        <v>4041/4042</v>
      </c>
      <c r="L93" s="43" t="str">
        <f>VLOOKUP(A93,'Trips&amp;Operators'!$C$1:$E$10000,3,FALSE)</f>
        <v>COOLAHAN</v>
      </c>
      <c r="M93" s="11">
        <f t="shared" si="25"/>
        <v>3.2141203701030463E-2</v>
      </c>
      <c r="N93" s="12">
        <f t="shared" si="31"/>
        <v>46.283333329483867</v>
      </c>
      <c r="O93" s="12"/>
      <c r="P93" s="12"/>
      <c r="Q93" s="44"/>
      <c r="R93" s="44"/>
      <c r="S93" s="72">
        <f t="shared" si="32"/>
        <v>1</v>
      </c>
      <c r="T93" s="2" t="str">
        <f t="shared" si="26"/>
        <v>Southbound</v>
      </c>
      <c r="U93" s="2">
        <f>COUNTIFS(Variables!$M$2:$M$19, "&lt;=" &amp; Y93, Variables!$M$2:$M$19, "&gt;=" &amp; Z93)</f>
        <v>12</v>
      </c>
      <c r="V93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14:17:38-0600',mode:absolute,to:'2016-06-22 15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3" s="50" t="str">
        <f t="shared" si="28"/>
        <v>N</v>
      </c>
      <c r="X93" s="50">
        <f t="shared" si="29"/>
        <v>1</v>
      </c>
      <c r="Y93" s="50">
        <f t="shared" si="21"/>
        <v>23.2988</v>
      </c>
      <c r="Z93" s="50">
        <f t="shared" si="22"/>
        <v>1.7000000000000001E-2</v>
      </c>
      <c r="AA93" s="50">
        <f t="shared" si="30"/>
        <v>23.2818</v>
      </c>
      <c r="AB93" s="51">
        <f>VLOOKUP(A93,Enforcements!$C$7:$J$74,8,0)</f>
        <v>198256</v>
      </c>
      <c r="AC93" s="51" t="str">
        <f>VLOOKUP(A93,Enforcements!$C$7:$E$74,3,0)</f>
        <v>SIGNAL</v>
      </c>
    </row>
    <row r="94" spans="1:29" s="2" customFormat="1" ht="14.25" customHeight="1" x14ac:dyDescent="0.25">
      <c r="A94" s="43" t="s">
        <v>405</v>
      </c>
      <c r="B94" s="43">
        <v>4025</v>
      </c>
      <c r="C94" s="43" t="s">
        <v>60</v>
      </c>
      <c r="D94" s="43" t="s">
        <v>156</v>
      </c>
      <c r="E94" s="25">
        <v>42543.567881944444</v>
      </c>
      <c r="F94" s="25">
        <v>42543.568784722222</v>
      </c>
      <c r="G94" s="31">
        <v>1</v>
      </c>
      <c r="H94" s="25" t="s">
        <v>406</v>
      </c>
      <c r="I94" s="25">
        <v>42543.599756944444</v>
      </c>
      <c r="J94" s="43">
        <v>0</v>
      </c>
      <c r="K94" s="43" t="str">
        <f t="shared" si="24"/>
        <v>4025/4026</v>
      </c>
      <c r="L94" s="43" t="str">
        <f>VLOOKUP(A94,'Trips&amp;Operators'!$C$1:$E$10000,3,FALSE)</f>
        <v>SPECTOR</v>
      </c>
      <c r="M94" s="11">
        <f t="shared" si="25"/>
        <v>3.0972222222771961E-2</v>
      </c>
      <c r="N94" s="12">
        <f t="shared" si="31"/>
        <v>44.600000000791624</v>
      </c>
      <c r="O94" s="12"/>
      <c r="P94" s="12"/>
      <c r="Q94" s="44"/>
      <c r="R94" s="44"/>
      <c r="S94" s="72">
        <f t="shared" si="32"/>
        <v>1</v>
      </c>
      <c r="T94" s="2" t="str">
        <f t="shared" si="26"/>
        <v>NorthBound</v>
      </c>
      <c r="U94" s="2">
        <f>COUNTIFS(Variables!$M$2:$M$19, "&gt;=" &amp; Y94, Variables!$M$2:$M$19, "&lt;=" &amp; Z94)</f>
        <v>12</v>
      </c>
      <c r="V94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13:36:45-0600',mode:absolute,to:'2016-06-22 14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4" s="50" t="str">
        <f t="shared" si="28"/>
        <v>N</v>
      </c>
      <c r="X94" s="50">
        <f t="shared" si="29"/>
        <v>1</v>
      </c>
      <c r="Y94" s="50">
        <f t="shared" si="21"/>
        <v>4.5100000000000001E-2</v>
      </c>
      <c r="Z94" s="50">
        <f t="shared" si="22"/>
        <v>23.330200000000001</v>
      </c>
      <c r="AA94" s="50">
        <f t="shared" si="30"/>
        <v>23.2851</v>
      </c>
      <c r="AB94" s="51" t="e">
        <f>VLOOKUP(A94,Enforcements!$C$7:$J$74,8,0)</f>
        <v>#N/A</v>
      </c>
      <c r="AC94" s="51" t="e">
        <f>VLOOKUP(A94,Enforcements!$C$7:$E$74,3,0)</f>
        <v>#N/A</v>
      </c>
    </row>
    <row r="95" spans="1:29" s="2" customFormat="1" x14ac:dyDescent="0.25">
      <c r="A95" s="43" t="s">
        <v>407</v>
      </c>
      <c r="B95" s="43">
        <v>4026</v>
      </c>
      <c r="C95" s="43" t="s">
        <v>60</v>
      </c>
      <c r="D95" s="43" t="s">
        <v>219</v>
      </c>
      <c r="E95" s="25">
        <v>42543.60733796296</v>
      </c>
      <c r="F95" s="25">
        <v>42543.608263888891</v>
      </c>
      <c r="G95" s="31">
        <v>1</v>
      </c>
      <c r="H95" s="25" t="s">
        <v>346</v>
      </c>
      <c r="I95" s="25">
        <v>42543.639247685183</v>
      </c>
      <c r="J95" s="43">
        <v>0</v>
      </c>
      <c r="K95" s="43" t="str">
        <f t="shared" si="24"/>
        <v>4025/4026</v>
      </c>
      <c r="L95" s="43" t="str">
        <f>VLOOKUP(A95,'Trips&amp;Operators'!$C$1:$E$10000,3,FALSE)</f>
        <v>SPECTOR</v>
      </c>
      <c r="M95" s="11">
        <f t="shared" si="25"/>
        <v>3.0983796292275656E-2</v>
      </c>
      <c r="N95" s="12">
        <f t="shared" si="31"/>
        <v>44.616666660876945</v>
      </c>
      <c r="O95" s="12"/>
      <c r="P95" s="12"/>
      <c r="Q95" s="44"/>
      <c r="R95" s="44"/>
      <c r="S95" s="72">
        <f t="shared" si="32"/>
        <v>1</v>
      </c>
      <c r="T95" s="2" t="str">
        <f t="shared" si="26"/>
        <v>Southbound</v>
      </c>
      <c r="U95" s="2">
        <f>COUNTIFS(Variables!$M$2:$M$19, "&lt;=" &amp; Y95, Variables!$M$2:$M$19, "&gt;=" &amp; Z95)</f>
        <v>12</v>
      </c>
      <c r="V95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14:33:34-0600',mode:absolute,to:'2016-06-22 15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5" s="50" t="str">
        <f t="shared" si="28"/>
        <v>N</v>
      </c>
      <c r="X95" s="50">
        <f t="shared" si="29"/>
        <v>1</v>
      </c>
      <c r="Y95" s="50">
        <f t="shared" si="21"/>
        <v>23.300799999999999</v>
      </c>
      <c r="Z95" s="50">
        <f t="shared" si="22"/>
        <v>1.43E-2</v>
      </c>
      <c r="AA95" s="50">
        <f t="shared" si="30"/>
        <v>23.2865</v>
      </c>
      <c r="AB95" s="51" t="e">
        <f>VLOOKUP(A95,Enforcements!$C$7:$J$74,8,0)</f>
        <v>#N/A</v>
      </c>
      <c r="AC95" s="51" t="e">
        <f>VLOOKUP(A95,Enforcements!$C$7:$E$74,3,0)</f>
        <v>#N/A</v>
      </c>
    </row>
    <row r="96" spans="1:29" s="2" customFormat="1" x14ac:dyDescent="0.25">
      <c r="A96" s="43" t="s">
        <v>408</v>
      </c>
      <c r="B96" s="43">
        <v>4009</v>
      </c>
      <c r="C96" s="43" t="s">
        <v>60</v>
      </c>
      <c r="D96" s="43" t="s">
        <v>156</v>
      </c>
      <c r="E96" s="25">
        <v>42543.59101851852</v>
      </c>
      <c r="F96" s="25">
        <v>42543.592152777775</v>
      </c>
      <c r="G96" s="31">
        <v>1</v>
      </c>
      <c r="H96" s="25" t="s">
        <v>154</v>
      </c>
      <c r="I96" s="25">
        <v>42543.619641203702</v>
      </c>
      <c r="J96" s="43">
        <v>1</v>
      </c>
      <c r="K96" s="43" t="str">
        <f t="shared" si="24"/>
        <v>4009/4010</v>
      </c>
      <c r="L96" s="43" t="str">
        <f>VLOOKUP(A96,'Trips&amp;Operators'!$C$1:$E$10000,3,FALSE)</f>
        <v>STEWART</v>
      </c>
      <c r="M96" s="11">
        <f t="shared" si="25"/>
        <v>2.7488425927003846E-2</v>
      </c>
      <c r="N96" s="12">
        <f t="shared" si="31"/>
        <v>39.583333334885538</v>
      </c>
      <c r="O96" s="12"/>
      <c r="P96" s="12"/>
      <c r="Q96" s="44"/>
      <c r="R96" s="44"/>
      <c r="S96" s="72">
        <f t="shared" si="32"/>
        <v>1</v>
      </c>
      <c r="T96" s="2" t="str">
        <f t="shared" si="26"/>
        <v>NorthBound</v>
      </c>
      <c r="U96" s="2">
        <f>COUNTIFS(Variables!$M$2:$M$19, "&gt;=" &amp; Y96, Variables!$M$2:$M$19, "&lt;=" &amp; Z96)</f>
        <v>12</v>
      </c>
      <c r="V96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14:10:04-0600',mode:absolute,to:'2016-06-22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6" s="50" t="str">
        <f t="shared" si="28"/>
        <v>N</v>
      </c>
      <c r="X96" s="50">
        <f t="shared" si="29"/>
        <v>1</v>
      </c>
      <c r="Y96" s="50">
        <f t="shared" si="21"/>
        <v>4.5100000000000001E-2</v>
      </c>
      <c r="Z96" s="50">
        <f t="shared" si="22"/>
        <v>23.3278</v>
      </c>
      <c r="AA96" s="50">
        <f t="shared" si="30"/>
        <v>23.282699999999998</v>
      </c>
      <c r="AB96" s="51">
        <f>VLOOKUP(A96,Enforcements!$C$7:$J$74,8,0)</f>
        <v>233491</v>
      </c>
      <c r="AC96" s="51" t="str">
        <f>VLOOKUP(A96,Enforcements!$C$7:$E$74,3,0)</f>
        <v>TRACK WARRANT AUTHORITY</v>
      </c>
    </row>
    <row r="97" spans="1:29" s="2" customFormat="1" x14ac:dyDescent="0.25">
      <c r="A97" s="43" t="s">
        <v>409</v>
      </c>
      <c r="B97" s="43">
        <v>4010</v>
      </c>
      <c r="C97" s="43" t="s">
        <v>60</v>
      </c>
      <c r="D97" s="43" t="s">
        <v>94</v>
      </c>
      <c r="E97" s="25">
        <v>42543.62159722222</v>
      </c>
      <c r="F97" s="25">
        <v>42543.622696759259</v>
      </c>
      <c r="G97" s="31">
        <v>1</v>
      </c>
      <c r="H97" s="25" t="s">
        <v>410</v>
      </c>
      <c r="I97" s="25">
        <v>42543.640798611108</v>
      </c>
      <c r="J97" s="43">
        <v>0</v>
      </c>
      <c r="K97" s="43" t="str">
        <f t="shared" si="24"/>
        <v>4009/4010</v>
      </c>
      <c r="L97" s="43" t="str">
        <f>VLOOKUP(A97,'Trips&amp;Operators'!$C$1:$E$10000,3,FALSE)</f>
        <v>STEWART</v>
      </c>
      <c r="M97" s="11">
        <f t="shared" si="25"/>
        <v>1.8101851848769002E-2</v>
      </c>
      <c r="N97" s="12"/>
      <c r="O97" s="12"/>
      <c r="P97" s="12">
        <f>24*60*SUM($M97:$M97)</f>
        <v>26.066666662227362</v>
      </c>
      <c r="Q97" s="44"/>
      <c r="R97" s="44" t="s">
        <v>253</v>
      </c>
      <c r="S97" s="72">
        <f t="shared" si="32"/>
        <v>0.25</v>
      </c>
      <c r="T97" s="2" t="str">
        <f t="shared" si="26"/>
        <v>Southbound</v>
      </c>
      <c r="U97" s="2">
        <f>COUNTIFS(Variables!$M$2:$M$19, "&lt;=" &amp; Y97, Variables!$M$2:$M$19, "&gt;=" &amp; Z97)</f>
        <v>3</v>
      </c>
      <c r="V97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14:54:06-0600',mode:absolute,to:'2016-06-22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7" s="50" t="str">
        <f t="shared" si="28"/>
        <v>Y</v>
      </c>
      <c r="X97" s="50">
        <f t="shared" si="29"/>
        <v>1</v>
      </c>
      <c r="Y97" s="50">
        <f t="shared" si="21"/>
        <v>23.297499999999999</v>
      </c>
      <c r="Z97" s="50">
        <f t="shared" si="22"/>
        <v>6.3312999999999997</v>
      </c>
      <c r="AA97" s="50">
        <f t="shared" si="30"/>
        <v>16.966200000000001</v>
      </c>
      <c r="AB97" s="51">
        <f>VLOOKUP(A97,Enforcements!$C$7:$J$74,8,0)</f>
        <v>57801</v>
      </c>
      <c r="AC97" s="51" t="str">
        <f>VLOOKUP(A97,Enforcements!$C$7:$E$74,3,0)</f>
        <v>SWITCH UNKNOWN</v>
      </c>
    </row>
    <row r="98" spans="1:29" s="2" customFormat="1" x14ac:dyDescent="0.25">
      <c r="A98" s="43" t="s">
        <v>411</v>
      </c>
      <c r="B98" s="43">
        <v>4027</v>
      </c>
      <c r="C98" s="43" t="s">
        <v>60</v>
      </c>
      <c r="D98" s="43" t="s">
        <v>156</v>
      </c>
      <c r="E98" s="25">
        <v>42543.59447916667</v>
      </c>
      <c r="F98" s="25">
        <v>42543.595405092594</v>
      </c>
      <c r="G98" s="31">
        <v>1</v>
      </c>
      <c r="H98" s="25" t="s">
        <v>406</v>
      </c>
      <c r="I98" s="25">
        <v>42543.627245370371</v>
      </c>
      <c r="J98" s="43">
        <v>0</v>
      </c>
      <c r="K98" s="43" t="str">
        <f t="shared" si="24"/>
        <v>4027/4028</v>
      </c>
      <c r="L98" s="43" t="str">
        <f>VLOOKUP(A98,'Trips&amp;Operators'!$C$1:$E$10000,3,FALSE)</f>
        <v>RIVERA</v>
      </c>
      <c r="M98" s="11">
        <f t="shared" si="25"/>
        <v>3.1840277777519077E-2</v>
      </c>
      <c r="N98" s="12">
        <f>24*60*SUM($M98:$M98)</f>
        <v>45.849999999627471</v>
      </c>
      <c r="O98" s="12"/>
      <c r="P98" s="12"/>
      <c r="Q98" s="44"/>
      <c r="R98" s="44"/>
      <c r="S98" s="72">
        <f t="shared" si="32"/>
        <v>1</v>
      </c>
      <c r="T98" s="2" t="str">
        <f t="shared" si="26"/>
        <v>NorthBound</v>
      </c>
      <c r="U98" s="2">
        <f>COUNTIFS(Variables!$M$2:$M$19, "&gt;=" &amp; Y98, Variables!$M$2:$M$19, "&lt;=" &amp; Z98)</f>
        <v>12</v>
      </c>
      <c r="V98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14:15:03-0600',mode:absolute,to:'2016-06-22 15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8" s="50" t="str">
        <f t="shared" si="28"/>
        <v>N</v>
      </c>
      <c r="X98" s="50">
        <f t="shared" si="29"/>
        <v>1</v>
      </c>
      <c r="Y98" s="50">
        <f t="shared" si="21"/>
        <v>4.5100000000000001E-2</v>
      </c>
      <c r="Z98" s="50">
        <f t="shared" si="22"/>
        <v>23.330200000000001</v>
      </c>
      <c r="AA98" s="50">
        <f t="shared" si="30"/>
        <v>23.2851</v>
      </c>
      <c r="AB98" s="51" t="e">
        <f>VLOOKUP(A98,Enforcements!$C$7:$J$74,8,0)</f>
        <v>#N/A</v>
      </c>
      <c r="AC98" s="51" t="e">
        <f>VLOOKUP(A98,Enforcements!$C$7:$E$74,3,0)</f>
        <v>#N/A</v>
      </c>
    </row>
    <row r="99" spans="1:29" s="2" customFormat="1" x14ac:dyDescent="0.25">
      <c r="A99" s="43" t="s">
        <v>412</v>
      </c>
      <c r="B99" s="43">
        <v>4028</v>
      </c>
      <c r="C99" s="43" t="s">
        <v>60</v>
      </c>
      <c r="D99" s="43" t="s">
        <v>149</v>
      </c>
      <c r="E99" s="25">
        <v>42543.631365740737</v>
      </c>
      <c r="F99" s="25">
        <v>42543.633715277778</v>
      </c>
      <c r="G99" s="31">
        <v>3</v>
      </c>
      <c r="H99" s="25" t="s">
        <v>71</v>
      </c>
      <c r="I99" s="25">
        <v>42543.633738425924</v>
      </c>
      <c r="J99" s="43">
        <v>0</v>
      </c>
      <c r="K99" s="43" t="str">
        <f t="shared" si="24"/>
        <v>4027/4028</v>
      </c>
      <c r="L99" s="43" t="str">
        <f>VLOOKUP(A99,'Trips&amp;Operators'!$C$1:$E$10000,3,FALSE)</f>
        <v>RIVERA</v>
      </c>
      <c r="M99" s="11">
        <f t="shared" si="25"/>
        <v>2.314814628334716E-5</v>
      </c>
      <c r="N99" s="12"/>
      <c r="O99" s="12"/>
      <c r="P99" s="12">
        <v>1</v>
      </c>
      <c r="Q99" s="44"/>
      <c r="R99" s="44" t="s">
        <v>550</v>
      </c>
      <c r="S99" s="72">
        <f t="shared" si="32"/>
        <v>0</v>
      </c>
      <c r="T99" s="2" t="str">
        <f t="shared" si="26"/>
        <v>Southbound</v>
      </c>
      <c r="U99" s="2">
        <f>COUNTIFS(Variables!$M$2:$M$19, "&lt;=" &amp; Y99, Variables!$M$2:$M$19, "&gt;=" &amp; Z99)</f>
        <v>0</v>
      </c>
      <c r="V99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15:08:10-0600',mode:absolute,to:'2016-06-22 15:13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9" s="50" t="str">
        <f t="shared" si="28"/>
        <v>Y</v>
      </c>
      <c r="X99" s="50">
        <f t="shared" si="29"/>
        <v>1</v>
      </c>
      <c r="Y99" s="50">
        <f t="shared" si="21"/>
        <v>23.298300000000001</v>
      </c>
      <c r="Z99" s="50">
        <f t="shared" si="22"/>
        <v>23.297699999999999</v>
      </c>
      <c r="AA99" s="50">
        <f t="shared" si="30"/>
        <v>6.0000000000215437E-4</v>
      </c>
      <c r="AB99" s="51" t="e">
        <f>VLOOKUP(A99,Enforcements!$C$7:$J$74,8,0)</f>
        <v>#N/A</v>
      </c>
      <c r="AC99" s="51" t="e">
        <f>VLOOKUP(A99,Enforcements!$C$7:$E$74,3,0)</f>
        <v>#N/A</v>
      </c>
    </row>
    <row r="100" spans="1:29" s="2" customFormat="1" x14ac:dyDescent="0.25">
      <c r="A100" s="68" t="s">
        <v>413</v>
      </c>
      <c r="B100" s="43">
        <v>4007</v>
      </c>
      <c r="C100" s="43" t="s">
        <v>60</v>
      </c>
      <c r="D100" s="43" t="s">
        <v>414</v>
      </c>
      <c r="E100" s="25">
        <v>42543.611608796295</v>
      </c>
      <c r="F100" s="25">
        <v>42543.612824074073</v>
      </c>
      <c r="G100" s="31">
        <v>1</v>
      </c>
      <c r="H100" s="25" t="s">
        <v>304</v>
      </c>
      <c r="I100" s="25">
        <v>42543.614537037036</v>
      </c>
      <c r="J100" s="43">
        <v>1</v>
      </c>
      <c r="K100" s="43" t="str">
        <f t="shared" si="24"/>
        <v>4007/4008</v>
      </c>
      <c r="L100" s="43" t="str">
        <f>VLOOKUP(A100,'Trips&amp;Operators'!$C$1:$E$10000,3,FALSE)</f>
        <v>SANTIZO</v>
      </c>
      <c r="M100" s="11">
        <f t="shared" si="25"/>
        <v>1.7129629632108845E-3</v>
      </c>
      <c r="N100" s="12"/>
      <c r="O100" s="12"/>
      <c r="P100" s="12">
        <v>1</v>
      </c>
      <c r="Q100" s="44"/>
      <c r="R100" s="44" t="s">
        <v>253</v>
      </c>
      <c r="S100" s="72">
        <f t="shared" si="32"/>
        <v>0</v>
      </c>
      <c r="T100" s="2" t="str">
        <f t="shared" si="26"/>
        <v>NorthBound</v>
      </c>
      <c r="U100" s="2">
        <f>COUNTIFS(Variables!$M$2:$M$19, "&gt;=" &amp; Y100, Variables!$M$2:$M$19, "&lt;=" &amp; Z100)</f>
        <v>0</v>
      </c>
      <c r="V100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14:39:43-0600',mode:absolute,to:'2016-06-22 14:45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0" s="50" t="str">
        <f t="shared" si="28"/>
        <v>Y</v>
      </c>
      <c r="X100" s="50">
        <f t="shared" si="29"/>
        <v>1</v>
      </c>
      <c r="Y100" s="50">
        <v>23.301500000000001</v>
      </c>
      <c r="Z100" s="50">
        <v>23.301500000000001</v>
      </c>
      <c r="AA100" s="50">
        <f t="shared" si="30"/>
        <v>0</v>
      </c>
      <c r="AB100" s="51">
        <f>VLOOKUP(A100,Enforcements!$C$7:$J$74,8,0)</f>
        <v>1692</v>
      </c>
      <c r="AC100" s="51" t="str">
        <f>VLOOKUP(A100,Enforcements!$C$7:$E$74,3,0)</f>
        <v>SIGNAL</v>
      </c>
    </row>
    <row r="101" spans="1:29" s="2" customFormat="1" x14ac:dyDescent="0.25">
      <c r="A101" s="43" t="s">
        <v>415</v>
      </c>
      <c r="B101" s="43">
        <v>4008</v>
      </c>
      <c r="C101" s="43" t="s">
        <v>60</v>
      </c>
      <c r="D101" s="43" t="s">
        <v>126</v>
      </c>
      <c r="E101" s="25">
        <v>42543.642314814817</v>
      </c>
      <c r="F101" s="25">
        <v>42543.643275462964</v>
      </c>
      <c r="G101" s="31">
        <v>1</v>
      </c>
      <c r="H101" s="25" t="s">
        <v>128</v>
      </c>
      <c r="I101" s="25">
        <v>42543.671215277776</v>
      </c>
      <c r="J101" s="43">
        <v>0</v>
      </c>
      <c r="K101" s="43" t="str">
        <f t="shared" si="24"/>
        <v>4007/4008</v>
      </c>
      <c r="L101" s="43" t="str">
        <f>VLOOKUP(A101,'Trips&amp;Operators'!$C$1:$E$10000,3,FALSE)</f>
        <v>SANTIZO</v>
      </c>
      <c r="M101" s="11">
        <f t="shared" si="25"/>
        <v>2.7939814812270924E-2</v>
      </c>
      <c r="N101" s="12">
        <f t="shared" ref="N101:N107" si="33">24*60*SUM($M101:$M101)</f>
        <v>40.233333329670131</v>
      </c>
      <c r="O101" s="12"/>
      <c r="P101" s="12"/>
      <c r="Q101" s="44"/>
      <c r="R101" s="44"/>
      <c r="S101" s="72">
        <f t="shared" si="32"/>
        <v>1</v>
      </c>
      <c r="T101" s="2" t="str">
        <f t="shared" si="26"/>
        <v>Southbound</v>
      </c>
      <c r="U101" s="2">
        <f>COUNTIFS(Variables!$M$2:$M$19, "&lt;=" &amp; Y101, Variables!$M$2:$M$19, "&gt;=" &amp; Z101)</f>
        <v>12</v>
      </c>
      <c r="V101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15:23:56-0600',mode:absolute,to:'2016-06-22 16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1" s="50" t="str">
        <f t="shared" si="28"/>
        <v>N</v>
      </c>
      <c r="X101" s="50">
        <f t="shared" si="29"/>
        <v>1</v>
      </c>
      <c r="Y101" s="50">
        <f t="shared" ref="Y101:Y143" si="34">RIGHT(D101,LEN(D101)-4)/10000</f>
        <v>23.299800000000001</v>
      </c>
      <c r="Z101" s="50">
        <f t="shared" ref="Z101:Z143" si="35">RIGHT(H101,LEN(H101)-4)/10000</f>
        <v>1.6299999999999999E-2</v>
      </c>
      <c r="AA101" s="50">
        <f t="shared" si="30"/>
        <v>23.2835</v>
      </c>
      <c r="AB101" s="51" t="e">
        <f>VLOOKUP(A101,Enforcements!$C$7:$J$74,8,0)</f>
        <v>#N/A</v>
      </c>
      <c r="AC101" s="51" t="e">
        <f>VLOOKUP(A101,Enforcements!$C$7:$E$74,3,0)</f>
        <v>#N/A</v>
      </c>
    </row>
    <row r="102" spans="1:29" s="2" customFormat="1" x14ac:dyDescent="0.25">
      <c r="A102" s="43" t="s">
        <v>416</v>
      </c>
      <c r="B102" s="43">
        <v>4024</v>
      </c>
      <c r="C102" s="43" t="s">
        <v>60</v>
      </c>
      <c r="D102" s="43" t="s">
        <v>88</v>
      </c>
      <c r="E102" s="25">
        <v>42543.615844907406</v>
      </c>
      <c r="F102" s="25">
        <v>42543.616967592592</v>
      </c>
      <c r="G102" s="31">
        <v>1</v>
      </c>
      <c r="H102" s="25" t="s">
        <v>417</v>
      </c>
      <c r="I102" s="25">
        <v>42543.650451388887</v>
      </c>
      <c r="J102" s="43">
        <v>1</v>
      </c>
      <c r="K102" s="43" t="str">
        <f t="shared" si="24"/>
        <v>4023/4024</v>
      </c>
      <c r="L102" s="43" t="str">
        <f>VLOOKUP(A102,'Trips&amp;Operators'!$C$1:$E$10000,3,FALSE)</f>
        <v>LOZA</v>
      </c>
      <c r="M102" s="11">
        <f t="shared" si="25"/>
        <v>3.3483796294603962E-2</v>
      </c>
      <c r="N102" s="12">
        <f t="shared" si="33"/>
        <v>48.216666664229706</v>
      </c>
      <c r="O102" s="12"/>
      <c r="P102" s="12"/>
      <c r="Q102" s="44"/>
      <c r="R102" s="44"/>
      <c r="S102" s="72">
        <f t="shared" si="32"/>
        <v>1</v>
      </c>
      <c r="T102" s="2" t="str">
        <f t="shared" si="26"/>
        <v>NorthBound</v>
      </c>
      <c r="U102" s="2">
        <f>COUNTIFS(Variables!$M$2:$M$19, "&gt;=" &amp; Y102, Variables!$M$2:$M$19, "&lt;=" &amp; Z102)</f>
        <v>12</v>
      </c>
      <c r="V102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14:45:49-0600',mode:absolute,to:'2016-06-22 15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2" s="50" t="str">
        <f t="shared" si="28"/>
        <v>N</v>
      </c>
      <c r="X102" s="50">
        <f t="shared" si="29"/>
        <v>1</v>
      </c>
      <c r="Y102" s="50">
        <f t="shared" si="34"/>
        <v>4.58E-2</v>
      </c>
      <c r="Z102" s="50">
        <f t="shared" si="35"/>
        <v>23.314</v>
      </c>
      <c r="AA102" s="50">
        <f t="shared" si="30"/>
        <v>23.2682</v>
      </c>
      <c r="AB102" s="51">
        <f>VLOOKUP(A102,Enforcements!$C$7:$J$74,8,0)</f>
        <v>233491</v>
      </c>
      <c r="AC102" s="51" t="str">
        <f>VLOOKUP(A102,Enforcements!$C$7:$E$74,3,0)</f>
        <v>TRACK WARRANT AUTHORITY</v>
      </c>
    </row>
    <row r="103" spans="1:29" s="2" customFormat="1" x14ac:dyDescent="0.25">
      <c r="A103" s="43" t="s">
        <v>418</v>
      </c>
      <c r="B103" s="43">
        <v>4023</v>
      </c>
      <c r="C103" s="43" t="s">
        <v>60</v>
      </c>
      <c r="D103" s="43" t="s">
        <v>419</v>
      </c>
      <c r="E103" s="25">
        <v>42543.652638888889</v>
      </c>
      <c r="F103" s="25">
        <v>42543.654131944444</v>
      </c>
      <c r="G103" s="31">
        <v>2</v>
      </c>
      <c r="H103" s="25" t="s">
        <v>420</v>
      </c>
      <c r="I103" s="25">
        <v>42543.68310185185</v>
      </c>
      <c r="J103" s="43">
        <v>1</v>
      </c>
      <c r="K103" s="43" t="str">
        <f t="shared" si="24"/>
        <v>4023/4024</v>
      </c>
      <c r="L103" s="43" t="str">
        <f>VLOOKUP(A103,'Trips&amp;Operators'!$C$1:$E$10000,3,FALSE)</f>
        <v>LOZA</v>
      </c>
      <c r="M103" s="11">
        <f t="shared" si="25"/>
        <v>2.8969907405553386E-2</v>
      </c>
      <c r="N103" s="12">
        <f t="shared" si="33"/>
        <v>41.716666663996875</v>
      </c>
      <c r="O103" s="12"/>
      <c r="P103" s="12"/>
      <c r="Q103" s="44"/>
      <c r="R103" s="44"/>
      <c r="S103" s="72">
        <f t="shared" si="32"/>
        <v>1</v>
      </c>
      <c r="T103" s="2" t="str">
        <f t="shared" si="26"/>
        <v>Southbound</v>
      </c>
      <c r="U103" s="2">
        <f>COUNTIFS(Variables!$M$2:$M$19, "&lt;=" &amp; Y103, Variables!$M$2:$M$19, "&gt;=" &amp; Z103)</f>
        <v>12</v>
      </c>
      <c r="V103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15:38:48-0600',mode:absolute,to:'2016-06-22 16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3" s="50" t="str">
        <f t="shared" si="28"/>
        <v>N</v>
      </c>
      <c r="X103" s="50">
        <f t="shared" si="29"/>
        <v>1</v>
      </c>
      <c r="Y103" s="50">
        <f t="shared" si="34"/>
        <v>23.280899999999999</v>
      </c>
      <c r="Z103" s="50">
        <f t="shared" si="35"/>
        <v>2.6200000000000001E-2</v>
      </c>
      <c r="AA103" s="50">
        <f t="shared" si="30"/>
        <v>23.2547</v>
      </c>
      <c r="AB103" s="51">
        <f>VLOOKUP(A103,Enforcements!$C$7:$J$74,8,0)</f>
        <v>1</v>
      </c>
      <c r="AC103" s="51" t="str">
        <f>VLOOKUP(A103,Enforcements!$C$7:$E$74,3,0)</f>
        <v>TRACK WARRANT AUTHORITY</v>
      </c>
    </row>
    <row r="104" spans="1:29" s="2" customFormat="1" x14ac:dyDescent="0.25">
      <c r="A104" s="43" t="s">
        <v>421</v>
      </c>
      <c r="B104" s="43">
        <v>4040</v>
      </c>
      <c r="C104" s="43" t="s">
        <v>60</v>
      </c>
      <c r="D104" s="43" t="s">
        <v>422</v>
      </c>
      <c r="E104" s="25">
        <v>42543.621145833335</v>
      </c>
      <c r="F104" s="25">
        <v>42543.622106481482</v>
      </c>
      <c r="G104" s="31">
        <v>1</v>
      </c>
      <c r="H104" s="25" t="s">
        <v>423</v>
      </c>
      <c r="I104" s="25">
        <v>42543.652615740742</v>
      </c>
      <c r="J104" s="43">
        <v>1</v>
      </c>
      <c r="K104" s="43" t="str">
        <f t="shared" si="24"/>
        <v>4039/4040</v>
      </c>
      <c r="L104" s="43" t="str">
        <f>VLOOKUP(A104,'Trips&amp;Operators'!$C$1:$E$10000,3,FALSE)</f>
        <v>BONDS</v>
      </c>
      <c r="M104" s="11">
        <f t="shared" si="25"/>
        <v>3.050925926072523E-2</v>
      </c>
      <c r="N104" s="12">
        <f t="shared" si="33"/>
        <v>43.933333335444331</v>
      </c>
      <c r="O104" s="12"/>
      <c r="P104" s="12"/>
      <c r="Q104" s="44"/>
      <c r="R104" s="44"/>
      <c r="S104" s="72">
        <f t="shared" si="32"/>
        <v>1</v>
      </c>
      <c r="T104" s="2" t="str">
        <f t="shared" si="26"/>
        <v>NorthBound</v>
      </c>
      <c r="U104" s="2">
        <f>COUNTIFS(Variables!$M$2:$M$19, "&gt;=" &amp; Y104, Variables!$M$2:$M$19, "&lt;=" &amp; Z104)</f>
        <v>12</v>
      </c>
      <c r="V104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14:53:27-0600',mode:absolute,to:'2016-06-22 15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4" s="50" t="str">
        <f t="shared" si="28"/>
        <v>N</v>
      </c>
      <c r="X104" s="50">
        <f t="shared" si="29"/>
        <v>1</v>
      </c>
      <c r="Y104" s="50">
        <f t="shared" si="34"/>
        <v>7.7399999999999997E-2</v>
      </c>
      <c r="Z104" s="50">
        <f t="shared" si="35"/>
        <v>23.335100000000001</v>
      </c>
      <c r="AA104" s="50">
        <f t="shared" si="30"/>
        <v>23.2577</v>
      </c>
      <c r="AB104" s="51">
        <f>VLOOKUP(A104,Enforcements!$C$7:$J$74,8,0)</f>
        <v>149694</v>
      </c>
      <c r="AC104" s="51" t="str">
        <f>VLOOKUP(A104,Enforcements!$C$7:$E$74,3,0)</f>
        <v>SIGNAL</v>
      </c>
    </row>
    <row r="105" spans="1:29" s="2" customFormat="1" x14ac:dyDescent="0.25">
      <c r="A105" s="43" t="s">
        <v>424</v>
      </c>
      <c r="B105" s="43">
        <v>4039</v>
      </c>
      <c r="C105" s="43" t="s">
        <v>60</v>
      </c>
      <c r="D105" s="43" t="s">
        <v>425</v>
      </c>
      <c r="E105" s="25">
        <v>42543.65761574074</v>
      </c>
      <c r="F105" s="25">
        <v>42543.658437500002</v>
      </c>
      <c r="G105" s="31">
        <v>1</v>
      </c>
      <c r="H105" s="25" t="s">
        <v>346</v>
      </c>
      <c r="I105" s="25">
        <v>42543.692083333335</v>
      </c>
      <c r="J105" s="43">
        <v>0</v>
      </c>
      <c r="K105" s="43" t="str">
        <f t="shared" si="24"/>
        <v>4039/4040</v>
      </c>
      <c r="L105" s="43" t="str">
        <f>VLOOKUP(A105,'Trips&amp;Operators'!$C$1:$E$10000,3,FALSE)</f>
        <v>BONDS</v>
      </c>
      <c r="M105" s="11">
        <f t="shared" si="25"/>
        <v>3.3645833333139308E-2</v>
      </c>
      <c r="N105" s="12">
        <f t="shared" si="33"/>
        <v>48.449999999720603</v>
      </c>
      <c r="O105" s="12"/>
      <c r="P105" s="12"/>
      <c r="Q105" s="44"/>
      <c r="R105" s="44"/>
      <c r="S105" s="72">
        <f t="shared" si="32"/>
        <v>1</v>
      </c>
      <c r="T105" s="2" t="str">
        <f t="shared" si="26"/>
        <v>Southbound</v>
      </c>
      <c r="U105" s="2">
        <f>COUNTIFS(Variables!$M$2:$M$19, "&lt;=" &amp; Y105, Variables!$M$2:$M$19, "&gt;=" &amp; Z105)</f>
        <v>12</v>
      </c>
      <c r="V105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15:45:58-0600',mode:absolute,to:'2016-06-22 16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5" s="50" t="str">
        <f t="shared" si="28"/>
        <v>N</v>
      </c>
      <c r="X105" s="50">
        <f t="shared" si="29"/>
        <v>1</v>
      </c>
      <c r="Y105" s="50">
        <f t="shared" si="34"/>
        <v>23.302499999999998</v>
      </c>
      <c r="Z105" s="50">
        <f t="shared" si="35"/>
        <v>1.43E-2</v>
      </c>
      <c r="AA105" s="50">
        <f t="shared" si="30"/>
        <v>23.2882</v>
      </c>
      <c r="AB105" s="51" t="e">
        <f>VLOOKUP(A105,Enforcements!$C$7:$J$74,8,0)</f>
        <v>#N/A</v>
      </c>
      <c r="AC105" s="51" t="e">
        <f>VLOOKUP(A105,Enforcements!$C$7:$E$74,3,0)</f>
        <v>#N/A</v>
      </c>
    </row>
    <row r="106" spans="1:29" s="2" customFormat="1" x14ac:dyDescent="0.25">
      <c r="A106" s="43" t="s">
        <v>426</v>
      </c>
      <c r="B106" s="43">
        <v>4042</v>
      </c>
      <c r="C106" s="43" t="s">
        <v>60</v>
      </c>
      <c r="D106" s="43" t="s">
        <v>88</v>
      </c>
      <c r="E106" s="25">
        <v>42543.632372685184</v>
      </c>
      <c r="F106" s="25">
        <v>42543.63354166667</v>
      </c>
      <c r="G106" s="31">
        <v>1</v>
      </c>
      <c r="H106" s="25" t="s">
        <v>341</v>
      </c>
      <c r="I106" s="25">
        <v>42543.661423611113</v>
      </c>
      <c r="J106" s="43">
        <v>0</v>
      </c>
      <c r="K106" s="43" t="str">
        <f t="shared" si="24"/>
        <v>4041/4042</v>
      </c>
      <c r="L106" s="43" t="str">
        <f>VLOOKUP(A106,'Trips&amp;Operators'!$C$1:$E$10000,3,FALSE)</f>
        <v>COOLAHAN</v>
      </c>
      <c r="M106" s="11">
        <f t="shared" si="25"/>
        <v>2.7881944442924578E-2</v>
      </c>
      <c r="N106" s="12">
        <f t="shared" si="33"/>
        <v>40.149999997811392</v>
      </c>
      <c r="O106" s="12"/>
      <c r="P106" s="12"/>
      <c r="Q106" s="44"/>
      <c r="R106" s="44"/>
      <c r="S106" s="72">
        <f t="shared" si="32"/>
        <v>1</v>
      </c>
      <c r="T106" s="2" t="str">
        <f t="shared" si="26"/>
        <v>NorthBound</v>
      </c>
      <c r="U106" s="2">
        <f>COUNTIFS(Variables!$M$2:$M$19, "&gt;=" &amp; Y106, Variables!$M$2:$M$19, "&lt;=" &amp; Z106)</f>
        <v>12</v>
      </c>
      <c r="V106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15:09:37-0600',mode:absolute,to:'2016-06-22 15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6" s="50" t="str">
        <f t="shared" si="28"/>
        <v>N</v>
      </c>
      <c r="X106" s="50">
        <f t="shared" si="29"/>
        <v>1</v>
      </c>
      <c r="Y106" s="50">
        <f t="shared" si="34"/>
        <v>4.58E-2</v>
      </c>
      <c r="Z106" s="50">
        <f t="shared" si="35"/>
        <v>23.332000000000001</v>
      </c>
      <c r="AA106" s="50">
        <f t="shared" si="30"/>
        <v>23.286200000000001</v>
      </c>
      <c r="AB106" s="51" t="e">
        <f>VLOOKUP(A106,Enforcements!$C$7:$J$74,8,0)</f>
        <v>#N/A</v>
      </c>
      <c r="AC106" s="51" t="e">
        <f>VLOOKUP(A106,Enforcements!$C$7:$E$74,3,0)</f>
        <v>#N/A</v>
      </c>
    </row>
    <row r="107" spans="1:29" s="2" customFormat="1" x14ac:dyDescent="0.25">
      <c r="A107" s="43" t="s">
        <v>427</v>
      </c>
      <c r="B107" s="43">
        <v>4041</v>
      </c>
      <c r="C107" s="43" t="s">
        <v>60</v>
      </c>
      <c r="D107" s="43" t="s">
        <v>428</v>
      </c>
      <c r="E107" s="25">
        <v>42543.670208333337</v>
      </c>
      <c r="F107" s="25">
        <v>42543.671585648146</v>
      </c>
      <c r="G107" s="31">
        <v>1</v>
      </c>
      <c r="H107" s="25" t="s">
        <v>131</v>
      </c>
      <c r="I107" s="25">
        <v>42543.704583333332</v>
      </c>
      <c r="J107" s="43">
        <v>0</v>
      </c>
      <c r="K107" s="43" t="str">
        <f t="shared" si="24"/>
        <v>4041/4042</v>
      </c>
      <c r="L107" s="43" t="str">
        <f>VLOOKUP(A107,'Trips&amp;Operators'!$C$1:$E$10000,3,FALSE)</f>
        <v>COOLAHAN</v>
      </c>
      <c r="M107" s="11">
        <f t="shared" si="25"/>
        <v>3.2997685186273884E-2</v>
      </c>
      <c r="N107" s="12">
        <f t="shared" si="33"/>
        <v>47.516666668234393</v>
      </c>
      <c r="O107" s="12"/>
      <c r="P107" s="12"/>
      <c r="Q107" s="44"/>
      <c r="R107" s="44"/>
      <c r="S107" s="72">
        <f t="shared" si="32"/>
        <v>1</v>
      </c>
      <c r="T107" s="2" t="str">
        <f t="shared" si="26"/>
        <v>Southbound</v>
      </c>
      <c r="U107" s="2">
        <f>COUNTIFS(Variables!$M$2:$M$19, "&lt;=" &amp; Y107, Variables!$M$2:$M$19, "&gt;=" &amp; Z107)</f>
        <v>12</v>
      </c>
      <c r="V107" s="50" t="str">
        <f t="shared" si="27"/>
        <v>https://search-rtdc-monitor-bjffxe2xuh6vdkpspy63sjmuny.us-east-1.es.amazonaws.com/_plugin/kibana/#/discover/Steve-Slow-Train-Analysis-(2080s-and-2083s)?_g=(refreshInterval:(display:Off,section:0,value:0),time:(from:'2016-06-22 16:04:06-0600',mode:absolute,to:'2016-06-22 16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7" s="50" t="str">
        <f t="shared" si="28"/>
        <v>N</v>
      </c>
      <c r="X107" s="50">
        <f t="shared" si="29"/>
        <v>1</v>
      </c>
      <c r="Y107" s="50">
        <f t="shared" si="34"/>
        <v>23.3005</v>
      </c>
      <c r="Z107" s="50">
        <f t="shared" si="35"/>
        <v>1.3899999999999999E-2</v>
      </c>
      <c r="AA107" s="50">
        <f t="shared" si="30"/>
        <v>23.2866</v>
      </c>
      <c r="AB107" s="51" t="e">
        <f>VLOOKUP(A107,Enforcements!$C$7:$J$74,8,0)</f>
        <v>#N/A</v>
      </c>
      <c r="AC107" s="51" t="e">
        <f>VLOOKUP(A107,Enforcements!$C$7:$E$74,3,0)</f>
        <v>#N/A</v>
      </c>
    </row>
    <row r="108" spans="1:29" s="2" customFormat="1" x14ac:dyDescent="0.25">
      <c r="A108" s="43" t="s">
        <v>536</v>
      </c>
      <c r="B108" s="43">
        <v>4025</v>
      </c>
      <c r="C108" s="43"/>
      <c r="D108" s="43"/>
      <c r="E108" s="25"/>
      <c r="F108" s="25">
        <v>42543.641493055555</v>
      </c>
      <c r="G108" s="31"/>
      <c r="H108" s="25"/>
      <c r="I108" s="25">
        <v>42543.643240740741</v>
      </c>
      <c r="J108" s="43"/>
      <c r="K108" s="43" t="str">
        <f t="shared" si="24"/>
        <v>4025/4026</v>
      </c>
      <c r="L108" s="43" t="str">
        <f>VLOOKUP(A108,'Trips&amp;Operators'!$C$1:$E$10000,3,FALSE)</f>
        <v>SPECTOR</v>
      </c>
      <c r="M108" s="11">
        <f t="shared" si="25"/>
        <v>1.747685186273884E-3</v>
      </c>
      <c r="N108" s="12"/>
      <c r="O108" s="12"/>
      <c r="P108" s="12">
        <f>24*60*SUM($M108:$M108)</f>
        <v>2.516666668234393</v>
      </c>
      <c r="Q108" s="44"/>
      <c r="R108" s="44" t="s">
        <v>550</v>
      </c>
      <c r="S108" s="72">
        <f t="shared" si="32"/>
        <v>0</v>
      </c>
      <c r="T108" s="2" t="str">
        <f t="shared" si="26"/>
        <v>NorthBound</v>
      </c>
      <c r="U108" s="2">
        <f>COUNTIFS(Variables!$M$2:$M$19, "&gt;=" &amp; Y108, Variables!$M$2:$M$19, "&lt;=" &amp; Z108)</f>
        <v>0</v>
      </c>
      <c r="V108" s="50" t="e">
        <f t="shared" si="27"/>
        <v>#VALUE!</v>
      </c>
      <c r="W108" s="50" t="e">
        <f t="shared" si="28"/>
        <v>#VALUE!</v>
      </c>
      <c r="X108" s="50">
        <f t="shared" si="29"/>
        <v>1</v>
      </c>
      <c r="Y108" s="50" t="e">
        <f t="shared" si="34"/>
        <v>#VALUE!</v>
      </c>
      <c r="Z108" s="50" t="e">
        <f t="shared" si="35"/>
        <v>#VALUE!</v>
      </c>
      <c r="AA108" s="50" t="e">
        <f t="shared" si="30"/>
        <v>#VALUE!</v>
      </c>
      <c r="AB108" s="51" t="e">
        <f>VLOOKUP(A108,Enforcements!$C$7:$J$74,8,0)</f>
        <v>#N/A</v>
      </c>
      <c r="AC108" s="51" t="e">
        <f>VLOOKUP(A108,Enforcements!$C$7:$E$74,3,0)</f>
        <v>#N/A</v>
      </c>
    </row>
    <row r="109" spans="1:29" s="2" customFormat="1" x14ac:dyDescent="0.25">
      <c r="A109" s="43" t="s">
        <v>429</v>
      </c>
      <c r="B109" s="43">
        <v>4026</v>
      </c>
      <c r="C109" s="43" t="s">
        <v>60</v>
      </c>
      <c r="D109" s="43" t="s">
        <v>430</v>
      </c>
      <c r="E109" s="25">
        <v>42543.679201388892</v>
      </c>
      <c r="F109" s="25">
        <v>42543.680081018516</v>
      </c>
      <c r="G109" s="31">
        <v>1</v>
      </c>
      <c r="H109" s="25" t="s">
        <v>67</v>
      </c>
      <c r="I109" s="25">
        <v>42543.713854166665</v>
      </c>
      <c r="J109" s="43">
        <v>1</v>
      </c>
      <c r="K109" s="43" t="str">
        <f t="shared" ref="K109:K140" si="36">IF(ISEVEN(B109),(B109-1)&amp;"/"&amp;B109,B109&amp;"/"&amp;(B109+1))</f>
        <v>4025/4026</v>
      </c>
      <c r="L109" s="43" t="str">
        <f>VLOOKUP(A109,'Trips&amp;Operators'!$C$1:$E$10000,3,FALSE)</f>
        <v>SPECTOR</v>
      </c>
      <c r="M109" s="11">
        <f t="shared" ref="M109:M140" si="37">I109-F109</f>
        <v>3.3773148148611654E-2</v>
      </c>
      <c r="N109" s="12">
        <f t="shared" ref="N109:N117" si="38">24*60*SUM($M109:$M109)</f>
        <v>48.633333334000781</v>
      </c>
      <c r="O109" s="12"/>
      <c r="P109" s="12"/>
      <c r="Q109" s="44"/>
      <c r="R109" s="44"/>
      <c r="S109" s="72">
        <f t="shared" si="32"/>
        <v>1</v>
      </c>
      <c r="T109" s="2" t="str">
        <f t="shared" ref="T109:T140" si="39">IF(ISEVEN(LEFT(A109,3)),"Southbound","NorthBound")</f>
        <v>Southbound</v>
      </c>
      <c r="U109" s="2">
        <f>COUNTIFS(Variables!$M$2:$M$19, "&lt;=" &amp; Y109, Variables!$M$2:$M$19, "&gt;=" &amp; Z109)</f>
        <v>12</v>
      </c>
      <c r="V109" s="50" t="str">
        <f t="shared" ref="V109:V140" si="40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https://search-rtdc-monitor-bjffxe2xuh6vdkpspy63sjmuny.us-east-1.es.amazonaws.com/_plugin/kibana/#/discover/Steve-Slow-Train-Analysis-(2080s-and-2083s)?_g=(refreshInterval:(display:Off,section:0,value:0),time:(from:'2016-06-22 16:17:03-0600',mode:absolute,to:'2016-06-22 17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9" s="50" t="str">
        <f t="shared" ref="W109:W140" si="41">IF(AA109&lt;23,"Y","N")</f>
        <v>N</v>
      </c>
      <c r="X109" s="50">
        <f t="shared" ref="X109:X140" si="42">VALUE(LEFT(A109,3))-VALUE(LEFT(A108,3))</f>
        <v>1</v>
      </c>
      <c r="Y109" s="50">
        <f t="shared" si="34"/>
        <v>23.300599999999999</v>
      </c>
      <c r="Z109" s="50">
        <f t="shared" si="35"/>
        <v>1.47E-2</v>
      </c>
      <c r="AA109" s="50">
        <f t="shared" ref="AA109:AA140" si="43">ABS(Z109-Y109)</f>
        <v>23.285899999999998</v>
      </c>
      <c r="AB109" s="51">
        <f>VLOOKUP(A109,Enforcements!$C$7:$J$74,8,0)</f>
        <v>119716</v>
      </c>
      <c r="AC109" s="51" t="str">
        <f>VLOOKUP(A109,Enforcements!$C$7:$E$74,3,0)</f>
        <v>PERMANENT SPEED RESTRICTION</v>
      </c>
    </row>
    <row r="110" spans="1:29" s="2" customFormat="1" x14ac:dyDescent="0.25">
      <c r="A110" s="43" t="s">
        <v>431</v>
      </c>
      <c r="B110" s="43">
        <v>4009</v>
      </c>
      <c r="C110" s="43" t="s">
        <v>60</v>
      </c>
      <c r="D110" s="43" t="s">
        <v>72</v>
      </c>
      <c r="E110" s="25">
        <v>42543.655474537038</v>
      </c>
      <c r="F110" s="25">
        <v>42543.656712962962</v>
      </c>
      <c r="G110" s="31">
        <v>1</v>
      </c>
      <c r="H110" s="25" t="s">
        <v>432</v>
      </c>
      <c r="I110" s="25">
        <v>42543.685127314813</v>
      </c>
      <c r="J110" s="43">
        <v>0</v>
      </c>
      <c r="K110" s="43" t="str">
        <f t="shared" si="36"/>
        <v>4009/4010</v>
      </c>
      <c r="L110" s="43" t="str">
        <f>VLOOKUP(A110,'Trips&amp;Operators'!$C$1:$E$10000,3,FALSE)</f>
        <v>STEWART</v>
      </c>
      <c r="M110" s="11">
        <f t="shared" si="37"/>
        <v>2.8414351851097308E-2</v>
      </c>
      <c r="N110" s="12">
        <f t="shared" si="38"/>
        <v>40.916666665580124</v>
      </c>
      <c r="O110" s="12"/>
      <c r="P110" s="12"/>
      <c r="Q110" s="44"/>
      <c r="R110" s="44"/>
      <c r="S110" s="72">
        <f t="shared" si="32"/>
        <v>1</v>
      </c>
      <c r="T110" s="2" t="str">
        <f t="shared" si="39"/>
        <v>NorthBound</v>
      </c>
      <c r="U110" s="2">
        <f>COUNTIFS(Variables!$M$2:$M$19, "&gt;=" &amp; Y110, Variables!$M$2:$M$19, "&lt;=" &amp; Z110)</f>
        <v>12</v>
      </c>
      <c r="V110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15:42:53-0600',mode:absolute,to:'2016-06-22 16:27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0" s="50" t="str">
        <f t="shared" si="41"/>
        <v>N</v>
      </c>
      <c r="X110" s="50">
        <f t="shared" si="42"/>
        <v>1</v>
      </c>
      <c r="Y110" s="50">
        <f t="shared" si="34"/>
        <v>4.6199999999999998E-2</v>
      </c>
      <c r="Z110" s="50">
        <f t="shared" si="35"/>
        <v>23.328199999999999</v>
      </c>
      <c r="AA110" s="50">
        <f t="shared" si="43"/>
        <v>23.282</v>
      </c>
      <c r="AB110" s="51" t="e">
        <f>VLOOKUP(A110,Enforcements!$C$7:$J$74,8,0)</f>
        <v>#N/A</v>
      </c>
      <c r="AC110" s="51" t="e">
        <f>VLOOKUP(A110,Enforcements!$C$7:$E$74,3,0)</f>
        <v>#N/A</v>
      </c>
    </row>
    <row r="111" spans="1:29" s="2" customFormat="1" x14ac:dyDescent="0.25">
      <c r="A111" s="43" t="s">
        <v>433</v>
      </c>
      <c r="B111" s="43">
        <v>4010</v>
      </c>
      <c r="C111" s="43" t="s">
        <v>60</v>
      </c>
      <c r="D111" s="43" t="s">
        <v>83</v>
      </c>
      <c r="E111" s="25">
        <v>42543.69091435185</v>
      </c>
      <c r="F111" s="25">
        <v>42543.692175925928</v>
      </c>
      <c r="G111" s="31">
        <v>1</v>
      </c>
      <c r="H111" s="25" t="s">
        <v>118</v>
      </c>
      <c r="I111" s="25">
        <v>42543.727673611109</v>
      </c>
      <c r="J111" s="43">
        <v>0</v>
      </c>
      <c r="K111" s="43" t="str">
        <f t="shared" si="36"/>
        <v>4009/4010</v>
      </c>
      <c r="L111" s="43" t="str">
        <f>VLOOKUP(A111,'Trips&amp;Operators'!$C$1:$E$10000,3,FALSE)</f>
        <v>STEWART</v>
      </c>
      <c r="M111" s="11">
        <f t="shared" si="37"/>
        <v>3.5497685181326233E-2</v>
      </c>
      <c r="N111" s="12">
        <f t="shared" si="38"/>
        <v>51.116666661109775</v>
      </c>
      <c r="O111" s="12"/>
      <c r="P111" s="12"/>
      <c r="Q111" s="44"/>
      <c r="R111" s="44"/>
      <c r="S111" s="72">
        <f t="shared" si="32"/>
        <v>1</v>
      </c>
      <c r="T111" s="2" t="str">
        <f t="shared" si="39"/>
        <v>Southbound</v>
      </c>
      <c r="U111" s="2">
        <f>COUNTIFS(Variables!$M$2:$M$19, "&lt;=" &amp; Y111, Variables!$M$2:$M$19, "&gt;=" &amp; Z111)</f>
        <v>12</v>
      </c>
      <c r="V111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16:33:55-0600',mode:absolute,to:'2016-06-22 17:28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1" s="50" t="str">
        <f t="shared" si="41"/>
        <v>N</v>
      </c>
      <c r="X111" s="50">
        <f t="shared" si="42"/>
        <v>1</v>
      </c>
      <c r="Y111" s="50">
        <f t="shared" si="34"/>
        <v>23.297799999999999</v>
      </c>
      <c r="Z111" s="50">
        <f t="shared" si="35"/>
        <v>1.5800000000000002E-2</v>
      </c>
      <c r="AA111" s="50">
        <f t="shared" si="43"/>
        <v>23.282</v>
      </c>
      <c r="AB111" s="51" t="e">
        <f>VLOOKUP(A111,Enforcements!$C$7:$J$74,8,0)</f>
        <v>#N/A</v>
      </c>
      <c r="AC111" s="51" t="e">
        <f>VLOOKUP(A111,Enforcements!$C$7:$E$74,3,0)</f>
        <v>#N/A</v>
      </c>
    </row>
    <row r="112" spans="1:29" s="2" customFormat="1" x14ac:dyDescent="0.25">
      <c r="A112" s="43" t="s">
        <v>434</v>
      </c>
      <c r="B112" s="43">
        <v>4011</v>
      </c>
      <c r="C112" s="43" t="s">
        <v>60</v>
      </c>
      <c r="D112" s="43" t="s">
        <v>129</v>
      </c>
      <c r="E112" s="25">
        <v>42543.672592592593</v>
      </c>
      <c r="F112" s="25">
        <v>42543.674618055556</v>
      </c>
      <c r="G112" s="31">
        <v>2</v>
      </c>
      <c r="H112" s="25" t="s">
        <v>282</v>
      </c>
      <c r="I112" s="25">
        <v>42543.702534722222</v>
      </c>
      <c r="J112" s="43">
        <v>1</v>
      </c>
      <c r="K112" s="43" t="str">
        <f t="shared" si="36"/>
        <v>4011/4012</v>
      </c>
      <c r="L112" s="43" t="str">
        <f>VLOOKUP(A112,'Trips&amp;Operators'!$C$1:$E$10000,3,FALSE)</f>
        <v>RIVERA</v>
      </c>
      <c r="M112" s="11">
        <f t="shared" si="37"/>
        <v>2.7916666665987577E-2</v>
      </c>
      <c r="N112" s="12">
        <f t="shared" si="38"/>
        <v>40.199999999022111</v>
      </c>
      <c r="O112" s="12"/>
      <c r="P112" s="12"/>
      <c r="Q112" s="44"/>
      <c r="R112" s="44"/>
      <c r="S112" s="72">
        <f t="shared" si="32"/>
        <v>1</v>
      </c>
      <c r="T112" s="2" t="str">
        <f t="shared" si="39"/>
        <v>NorthBound</v>
      </c>
      <c r="U112" s="2">
        <f>COUNTIFS(Variables!$M$2:$M$19, "&gt;=" &amp; Y112, Variables!$M$2:$M$19, "&lt;=" &amp; Z112)</f>
        <v>12</v>
      </c>
      <c r="V112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16:07:32-0600',mode:absolute,to:'2016-06-22 16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2" s="50" t="str">
        <f t="shared" si="41"/>
        <v>N</v>
      </c>
      <c r="X112" s="50">
        <f t="shared" si="42"/>
        <v>1</v>
      </c>
      <c r="Y112" s="50">
        <f t="shared" si="34"/>
        <v>4.6899999999999997E-2</v>
      </c>
      <c r="Z112" s="50">
        <f t="shared" si="35"/>
        <v>23.330500000000001</v>
      </c>
      <c r="AA112" s="50">
        <f t="shared" si="43"/>
        <v>23.2836</v>
      </c>
      <c r="AB112" s="51">
        <f>VLOOKUP(A112,Enforcements!$C$7:$J$74,8,0)</f>
        <v>20338</v>
      </c>
      <c r="AC112" s="51" t="str">
        <f>VLOOKUP(A112,Enforcements!$C$7:$E$74,3,0)</f>
        <v>PERMANENT SPEED RESTRICTION</v>
      </c>
    </row>
    <row r="113" spans="1:29" s="2" customFormat="1" x14ac:dyDescent="0.25">
      <c r="A113" s="43" t="s">
        <v>435</v>
      </c>
      <c r="B113" s="43">
        <v>4012</v>
      </c>
      <c r="C113" s="43" t="s">
        <v>60</v>
      </c>
      <c r="D113" s="43" t="s">
        <v>148</v>
      </c>
      <c r="E113" s="25">
        <v>42543.70553240741</v>
      </c>
      <c r="F113" s="25">
        <v>42543.706400462965</v>
      </c>
      <c r="G113" s="31">
        <v>1</v>
      </c>
      <c r="H113" s="25" t="s">
        <v>203</v>
      </c>
      <c r="I113" s="25">
        <v>42543.73636574074</v>
      </c>
      <c r="J113" s="43">
        <v>0</v>
      </c>
      <c r="K113" s="43" t="str">
        <f t="shared" si="36"/>
        <v>4011/4012</v>
      </c>
      <c r="L113" s="43" t="str">
        <f>VLOOKUP(A113,'Trips&amp;Operators'!$C$1:$E$10000,3,FALSE)</f>
        <v>RIVERA</v>
      </c>
      <c r="M113" s="11">
        <f t="shared" si="37"/>
        <v>2.9965277775772847E-2</v>
      </c>
      <c r="N113" s="12">
        <f t="shared" si="38"/>
        <v>43.1499999971129</v>
      </c>
      <c r="O113" s="12"/>
      <c r="P113" s="12"/>
      <c r="Q113" s="44"/>
      <c r="R113" s="44"/>
      <c r="S113" s="72">
        <f t="shared" si="32"/>
        <v>1</v>
      </c>
      <c r="T113" s="2" t="str">
        <f t="shared" si="39"/>
        <v>Southbound</v>
      </c>
      <c r="U113" s="2">
        <f>COUNTIFS(Variables!$M$2:$M$19, "&lt;=" &amp; Y113, Variables!$M$2:$M$19, "&gt;=" &amp; Z113)</f>
        <v>12</v>
      </c>
      <c r="V113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16:54:58-0600',mode:absolute,to:'2016-06-22 17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50" t="str">
        <f t="shared" si="41"/>
        <v>N</v>
      </c>
      <c r="X113" s="50">
        <f t="shared" si="42"/>
        <v>1</v>
      </c>
      <c r="Y113" s="50">
        <f t="shared" si="34"/>
        <v>23.2986</v>
      </c>
      <c r="Z113" s="50">
        <f t="shared" si="35"/>
        <v>1.38E-2</v>
      </c>
      <c r="AA113" s="50">
        <f t="shared" si="43"/>
        <v>23.284800000000001</v>
      </c>
      <c r="AB113" s="51" t="e">
        <f>VLOOKUP(A113,Enforcements!$C$7:$J$74,8,0)</f>
        <v>#N/A</v>
      </c>
      <c r="AC113" s="51" t="e">
        <f>VLOOKUP(A113,Enforcements!$C$7:$E$74,3,0)</f>
        <v>#N/A</v>
      </c>
    </row>
    <row r="114" spans="1:29" s="2" customFormat="1" x14ac:dyDescent="0.25">
      <c r="A114" s="43" t="s">
        <v>436</v>
      </c>
      <c r="B114" s="43">
        <v>4007</v>
      </c>
      <c r="C114" s="43" t="s">
        <v>60</v>
      </c>
      <c r="D114" s="43" t="s">
        <v>318</v>
      </c>
      <c r="E114" s="25">
        <v>42543.674814814818</v>
      </c>
      <c r="F114" s="25">
        <v>42543.676168981481</v>
      </c>
      <c r="G114" s="31">
        <v>1</v>
      </c>
      <c r="H114" s="25" t="s">
        <v>437</v>
      </c>
      <c r="I114" s="25">
        <v>42543.705914351849</v>
      </c>
      <c r="J114" s="43">
        <v>0</v>
      </c>
      <c r="K114" s="43" t="str">
        <f t="shared" si="36"/>
        <v>4007/4008</v>
      </c>
      <c r="L114" s="43" t="str">
        <f>VLOOKUP(A114,'Trips&amp;Operators'!$C$1:$E$10000,3,FALSE)</f>
        <v>DE LA ROSA</v>
      </c>
      <c r="M114" s="11">
        <f t="shared" si="37"/>
        <v>2.9745370367891155E-2</v>
      </c>
      <c r="N114" s="12">
        <f t="shared" si="38"/>
        <v>42.833333329763263</v>
      </c>
      <c r="O114" s="12"/>
      <c r="P114" s="12"/>
      <c r="Q114" s="44"/>
      <c r="R114" s="44"/>
      <c r="S114" s="72">
        <f t="shared" si="32"/>
        <v>1</v>
      </c>
      <c r="T114" s="2" t="str">
        <f t="shared" si="39"/>
        <v>NorthBound</v>
      </c>
      <c r="U114" s="2">
        <f>COUNTIFS(Variables!$M$2:$M$19, "&gt;=" &amp; Y114, Variables!$M$2:$M$19, "&lt;=" &amp; Z114)</f>
        <v>12</v>
      </c>
      <c r="V114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16:10:44-0600',mode:absolute,to:'2016-06-22 16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4" s="50" t="str">
        <f t="shared" si="41"/>
        <v>N</v>
      </c>
      <c r="X114" s="50">
        <f t="shared" si="42"/>
        <v>1</v>
      </c>
      <c r="Y114" s="50">
        <f t="shared" si="34"/>
        <v>4.6600000000000003E-2</v>
      </c>
      <c r="Z114" s="50">
        <f t="shared" si="35"/>
        <v>23.334900000000001</v>
      </c>
      <c r="AA114" s="50">
        <f t="shared" si="43"/>
        <v>23.2883</v>
      </c>
      <c r="AB114" s="51" t="e">
        <f>VLOOKUP(A114,Enforcements!$C$7:$J$74,8,0)</f>
        <v>#N/A</v>
      </c>
      <c r="AC114" s="51" t="e">
        <f>VLOOKUP(A114,Enforcements!$C$7:$E$74,3,0)</f>
        <v>#N/A</v>
      </c>
    </row>
    <row r="115" spans="1:29" s="2" customFormat="1" x14ac:dyDescent="0.25">
      <c r="A115" s="43" t="s">
        <v>438</v>
      </c>
      <c r="B115" s="43">
        <v>4008</v>
      </c>
      <c r="C115" s="43" t="s">
        <v>60</v>
      </c>
      <c r="D115" s="43" t="s">
        <v>439</v>
      </c>
      <c r="E115" s="25">
        <v>42543.711701388886</v>
      </c>
      <c r="F115" s="25">
        <v>42543.712777777779</v>
      </c>
      <c r="G115" s="31">
        <v>1</v>
      </c>
      <c r="H115" s="25" t="s">
        <v>440</v>
      </c>
      <c r="I115" s="25">
        <v>42543.747187499997</v>
      </c>
      <c r="J115" s="43">
        <v>0</v>
      </c>
      <c r="K115" s="43" t="str">
        <f t="shared" si="36"/>
        <v>4007/4008</v>
      </c>
      <c r="L115" s="43" t="str">
        <f>VLOOKUP(A115,'Trips&amp;Operators'!$C$1:$E$10000,3,FALSE)</f>
        <v>LYNN</v>
      </c>
      <c r="M115" s="11">
        <f t="shared" si="37"/>
        <v>3.4409722218697425E-2</v>
      </c>
      <c r="N115" s="12">
        <f t="shared" si="38"/>
        <v>49.549999994924292</v>
      </c>
      <c r="O115" s="12"/>
      <c r="P115" s="12"/>
      <c r="Q115" s="44"/>
      <c r="R115" s="44"/>
      <c r="S115" s="72">
        <f t="shared" si="32"/>
        <v>1</v>
      </c>
      <c r="T115" s="2" t="str">
        <f t="shared" si="39"/>
        <v>Southbound</v>
      </c>
      <c r="U115" s="2">
        <f>COUNTIFS(Variables!$M$2:$M$19, "&lt;=" &amp; Y115, Variables!$M$2:$M$19, "&gt;=" &amp; Z115)</f>
        <v>12</v>
      </c>
      <c r="V115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17:03:51-0600',mode:absolute,to:'2016-06-22 17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5" s="50" t="str">
        <f t="shared" si="41"/>
        <v>N</v>
      </c>
      <c r="X115" s="50">
        <f t="shared" si="42"/>
        <v>1</v>
      </c>
      <c r="Y115" s="50">
        <f t="shared" si="34"/>
        <v>23.3034</v>
      </c>
      <c r="Z115" s="50">
        <f t="shared" si="35"/>
        <v>3.44E-2</v>
      </c>
      <c r="AA115" s="50">
        <f t="shared" si="43"/>
        <v>23.268999999999998</v>
      </c>
      <c r="AB115" s="51" t="e">
        <f>VLOOKUP(A115,Enforcements!$C$7:$J$74,8,0)</f>
        <v>#N/A</v>
      </c>
      <c r="AC115" s="51" t="e">
        <f>VLOOKUP(A115,Enforcements!$C$7:$E$74,3,0)</f>
        <v>#N/A</v>
      </c>
    </row>
    <row r="116" spans="1:29" s="2" customFormat="1" x14ac:dyDescent="0.25">
      <c r="A116" s="43" t="s">
        <v>441</v>
      </c>
      <c r="B116" s="43">
        <v>4024</v>
      </c>
      <c r="C116" s="43" t="s">
        <v>60</v>
      </c>
      <c r="D116" s="43" t="s">
        <v>442</v>
      </c>
      <c r="E116" s="25">
        <v>42543.685659722221</v>
      </c>
      <c r="F116" s="25">
        <v>42543.687662037039</v>
      </c>
      <c r="G116" s="31">
        <v>2</v>
      </c>
      <c r="H116" s="25" t="s">
        <v>443</v>
      </c>
      <c r="I116" s="25">
        <v>42543.712638888886</v>
      </c>
      <c r="J116" s="43">
        <v>1</v>
      </c>
      <c r="K116" s="43" t="str">
        <f t="shared" si="36"/>
        <v>4023/4024</v>
      </c>
      <c r="L116" s="43" t="str">
        <f>VLOOKUP(A116,'Trips&amp;Operators'!$C$1:$E$10000,3,FALSE)</f>
        <v>LOZA</v>
      </c>
      <c r="M116" s="11">
        <f t="shared" si="37"/>
        <v>2.4976851847895887E-2</v>
      </c>
      <c r="N116" s="12">
        <f t="shared" si="38"/>
        <v>35.966666660970077</v>
      </c>
      <c r="O116" s="12"/>
      <c r="P116" s="12"/>
      <c r="Q116" s="44"/>
      <c r="R116" s="44"/>
      <c r="S116" s="72">
        <f t="shared" ref="S116:S151" si="44">SUM(U116:U116)/12</f>
        <v>1</v>
      </c>
      <c r="T116" s="2" t="str">
        <f t="shared" si="39"/>
        <v>NorthBound</v>
      </c>
      <c r="U116" s="2">
        <f>COUNTIFS(Variables!$M$2:$M$19, "&gt;=" &amp; Y116, Variables!$M$2:$M$19, "&lt;=" &amp; Z116)</f>
        <v>12</v>
      </c>
      <c r="V116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16:26:21-0600',mode:absolute,to:'2016-06-22 17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6" s="50" t="str">
        <f t="shared" si="41"/>
        <v>N</v>
      </c>
      <c r="X116" s="50">
        <f t="shared" si="42"/>
        <v>1</v>
      </c>
      <c r="Y116" s="50">
        <f t="shared" si="34"/>
        <v>5.8000000000000003E-2</v>
      </c>
      <c r="Z116" s="50">
        <f t="shared" si="35"/>
        <v>23.337399999999999</v>
      </c>
      <c r="AA116" s="50">
        <f t="shared" si="43"/>
        <v>23.279399999999999</v>
      </c>
      <c r="AB116" s="51">
        <f>VLOOKUP(A116,Enforcements!$C$7:$J$74,8,0)</f>
        <v>233491</v>
      </c>
      <c r="AC116" s="51" t="str">
        <f>VLOOKUP(A116,Enforcements!$C$7:$E$74,3,0)</f>
        <v>TRACK WARRANT AUTHORITY</v>
      </c>
    </row>
    <row r="117" spans="1:29" s="2" customFormat="1" x14ac:dyDescent="0.25">
      <c r="A117" s="43" t="s">
        <v>444</v>
      </c>
      <c r="B117" s="43">
        <v>4023</v>
      </c>
      <c r="C117" s="43" t="s">
        <v>60</v>
      </c>
      <c r="D117" s="43" t="s">
        <v>445</v>
      </c>
      <c r="E117" s="25">
        <v>42543.724675925929</v>
      </c>
      <c r="F117" s="25">
        <v>42543.72552083333</v>
      </c>
      <c r="G117" s="31">
        <v>1</v>
      </c>
      <c r="H117" s="25" t="s">
        <v>131</v>
      </c>
      <c r="I117" s="25">
        <v>42543.757326388892</v>
      </c>
      <c r="J117" s="43">
        <v>0</v>
      </c>
      <c r="K117" s="43" t="str">
        <f t="shared" si="36"/>
        <v>4023/4024</v>
      </c>
      <c r="L117" s="43" t="str">
        <f>VLOOKUP(A117,'Trips&amp;Operators'!$C$1:$E$10000,3,FALSE)</f>
        <v>LOZA</v>
      </c>
      <c r="M117" s="11">
        <f t="shared" si="37"/>
        <v>3.1805555561732035E-2</v>
      </c>
      <c r="N117" s="12">
        <f t="shared" si="38"/>
        <v>45.800000008894131</v>
      </c>
      <c r="O117" s="12"/>
      <c r="P117" s="12"/>
      <c r="Q117" s="44"/>
      <c r="R117" s="44"/>
      <c r="S117" s="72">
        <f t="shared" si="44"/>
        <v>1</v>
      </c>
      <c r="T117" s="2" t="str">
        <f t="shared" si="39"/>
        <v>Southbound</v>
      </c>
      <c r="U117" s="2">
        <f>COUNTIFS(Variables!$M$2:$M$19, "&lt;=" &amp; Y117, Variables!$M$2:$M$19, "&gt;=" &amp; Z117)</f>
        <v>12</v>
      </c>
      <c r="V117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17:22:32-0600',mode:absolute,to:'2016-06-22 18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7" s="50" t="str">
        <f t="shared" si="41"/>
        <v>N</v>
      </c>
      <c r="X117" s="50">
        <f t="shared" si="42"/>
        <v>1</v>
      </c>
      <c r="Y117" s="50">
        <f t="shared" si="34"/>
        <v>23.303599999999999</v>
      </c>
      <c r="Z117" s="50">
        <f t="shared" si="35"/>
        <v>1.3899999999999999E-2</v>
      </c>
      <c r="AA117" s="50">
        <f t="shared" si="43"/>
        <v>23.2897</v>
      </c>
      <c r="AB117" s="51" t="e">
        <f>VLOOKUP(A117,Enforcements!$C$7:$J$74,8,0)</f>
        <v>#N/A</v>
      </c>
      <c r="AC117" s="51" t="e">
        <f>VLOOKUP(A117,Enforcements!$C$7:$E$74,3,0)</f>
        <v>#N/A</v>
      </c>
    </row>
    <row r="118" spans="1:29" s="2" customFormat="1" x14ac:dyDescent="0.25">
      <c r="A118" s="43" t="s">
        <v>446</v>
      </c>
      <c r="B118" s="43">
        <v>4040</v>
      </c>
      <c r="C118" s="43" t="s">
        <v>60</v>
      </c>
      <c r="D118" s="43" t="s">
        <v>133</v>
      </c>
      <c r="E118" s="25">
        <v>42543.694027777776</v>
      </c>
      <c r="F118" s="25">
        <v>42543.695</v>
      </c>
      <c r="G118" s="31">
        <v>1</v>
      </c>
      <c r="H118" s="25" t="s">
        <v>133</v>
      </c>
      <c r="I118" s="25">
        <v>42543.695</v>
      </c>
      <c r="J118" s="43">
        <v>0</v>
      </c>
      <c r="K118" s="43" t="str">
        <f t="shared" si="36"/>
        <v>4039/4040</v>
      </c>
      <c r="L118" s="43" t="str">
        <f>VLOOKUP(A118,'Trips&amp;Operators'!$C$1:$E$10000,3,FALSE)</f>
        <v>BONDS</v>
      </c>
      <c r="M118" s="11">
        <f t="shared" si="37"/>
        <v>0</v>
      </c>
      <c r="N118" s="12"/>
      <c r="O118" s="12"/>
      <c r="P118" s="12">
        <v>1</v>
      </c>
      <c r="Q118" s="44"/>
      <c r="R118" s="44" t="s">
        <v>550</v>
      </c>
      <c r="S118" s="72">
        <f t="shared" si="44"/>
        <v>0</v>
      </c>
      <c r="T118" s="2" t="str">
        <f t="shared" si="39"/>
        <v>NorthBound</v>
      </c>
      <c r="U118" s="2">
        <f>COUNTIFS(Variables!$M$2:$M$19, "&gt;=" &amp; Y118, Variables!$M$2:$M$19, "&lt;=" &amp; Z118)</f>
        <v>0</v>
      </c>
      <c r="V118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16:38:24-0600',mode:absolute,to:'2016-06-22 16:41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8" s="50" t="str">
        <f t="shared" si="41"/>
        <v>Y</v>
      </c>
      <c r="X118" s="50">
        <f t="shared" si="42"/>
        <v>1</v>
      </c>
      <c r="Y118" s="50">
        <f t="shared" si="34"/>
        <v>4.5499999999999999E-2</v>
      </c>
      <c r="Z118" s="50">
        <f t="shared" si="35"/>
        <v>4.5499999999999999E-2</v>
      </c>
      <c r="AA118" s="50">
        <f t="shared" si="43"/>
        <v>0</v>
      </c>
      <c r="AB118" s="51" t="e">
        <f>VLOOKUP(A118,Enforcements!$C$7:$J$74,8,0)</f>
        <v>#N/A</v>
      </c>
      <c r="AC118" s="51" t="e">
        <f>VLOOKUP(A118,Enforcements!$C$7:$E$74,3,0)</f>
        <v>#N/A</v>
      </c>
    </row>
    <row r="119" spans="1:29" s="2" customFormat="1" x14ac:dyDescent="0.25">
      <c r="A119" s="43" t="s">
        <v>447</v>
      </c>
      <c r="B119" s="43">
        <v>4039</v>
      </c>
      <c r="C119" s="43" t="s">
        <v>60</v>
      </c>
      <c r="D119" s="43" t="s">
        <v>157</v>
      </c>
      <c r="E119" s="25">
        <v>42543.730868055558</v>
      </c>
      <c r="F119" s="25">
        <v>42543.731805555559</v>
      </c>
      <c r="G119" s="31">
        <v>1</v>
      </c>
      <c r="H119" s="25" t="s">
        <v>195</v>
      </c>
      <c r="I119" s="25">
        <v>42543.769062500003</v>
      </c>
      <c r="J119" s="43">
        <v>2</v>
      </c>
      <c r="K119" s="43" t="str">
        <f t="shared" si="36"/>
        <v>4039/4040</v>
      </c>
      <c r="L119" s="43" t="str">
        <f>VLOOKUP(A119,'Trips&amp;Operators'!$C$1:$E$10000,3,FALSE)</f>
        <v>BONDS</v>
      </c>
      <c r="M119" s="11">
        <f t="shared" si="37"/>
        <v>3.7256944444379769E-2</v>
      </c>
      <c r="N119" s="12">
        <f t="shared" ref="N119:N131" si="45">24*60*SUM($M119:$M119)</f>
        <v>53.649999999906868</v>
      </c>
      <c r="O119" s="12"/>
      <c r="P119" s="12"/>
      <c r="Q119" s="44"/>
      <c r="R119" s="44"/>
      <c r="S119" s="72">
        <f t="shared" si="44"/>
        <v>1</v>
      </c>
      <c r="T119" s="2" t="str">
        <f t="shared" si="39"/>
        <v>Southbound</v>
      </c>
      <c r="U119" s="2">
        <f>COUNTIFS(Variables!$M$2:$M$19, "&lt;=" &amp; Y119, Variables!$M$2:$M$19, "&gt;=" &amp; Z119)</f>
        <v>12</v>
      </c>
      <c r="V119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17:31:27-0600',mode:absolute,to:'2016-06-22 18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9" s="50" t="str">
        <f t="shared" si="41"/>
        <v>N</v>
      </c>
      <c r="X119" s="50">
        <f t="shared" si="42"/>
        <v>1</v>
      </c>
      <c r="Y119" s="50">
        <f t="shared" si="34"/>
        <v>23.301300000000001</v>
      </c>
      <c r="Z119" s="50">
        <f t="shared" si="35"/>
        <v>0.11600000000000001</v>
      </c>
      <c r="AA119" s="50">
        <f t="shared" si="43"/>
        <v>23.185300000000002</v>
      </c>
      <c r="AB119" s="51">
        <f>VLOOKUP(A119,Enforcements!$C$7:$J$74,8,0)</f>
        <v>63309</v>
      </c>
      <c r="AC119" s="51" t="str">
        <f>VLOOKUP(A119,Enforcements!$C$7:$E$74,3,0)</f>
        <v>GRADE CROSSING</v>
      </c>
    </row>
    <row r="120" spans="1:29" s="2" customFormat="1" x14ac:dyDescent="0.25">
      <c r="A120" s="43" t="s">
        <v>448</v>
      </c>
      <c r="B120" s="43">
        <v>4042</v>
      </c>
      <c r="C120" s="43" t="s">
        <v>60</v>
      </c>
      <c r="D120" s="43" t="s">
        <v>133</v>
      </c>
      <c r="E120" s="25">
        <v>42543.706724537034</v>
      </c>
      <c r="F120" s="25">
        <v>42543.70789351852</v>
      </c>
      <c r="G120" s="31">
        <v>1</v>
      </c>
      <c r="H120" s="25" t="s">
        <v>449</v>
      </c>
      <c r="I120" s="25">
        <v>42543.733912037038</v>
      </c>
      <c r="J120" s="43">
        <v>1</v>
      </c>
      <c r="K120" s="43" t="str">
        <f t="shared" si="36"/>
        <v>4041/4042</v>
      </c>
      <c r="L120" s="43" t="str">
        <f>VLOOKUP(A120,'Trips&amp;Operators'!$C$1:$E$10000,3,FALSE)</f>
        <v>COOLAHAN</v>
      </c>
      <c r="M120" s="11">
        <f t="shared" si="37"/>
        <v>2.6018518517958E-2</v>
      </c>
      <c r="N120" s="12">
        <f t="shared" si="45"/>
        <v>37.46666666585952</v>
      </c>
      <c r="O120" s="12"/>
      <c r="P120" s="12"/>
      <c r="Q120" s="44"/>
      <c r="R120" s="44"/>
      <c r="S120" s="72">
        <f t="shared" si="44"/>
        <v>1</v>
      </c>
      <c r="T120" s="2" t="str">
        <f t="shared" si="39"/>
        <v>NorthBound</v>
      </c>
      <c r="U120" s="2">
        <f>COUNTIFS(Variables!$M$2:$M$19, "&gt;=" &amp; Y120, Variables!$M$2:$M$19, "&lt;=" &amp; Z120)</f>
        <v>12</v>
      </c>
      <c r="V120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16:56:41-0600',mode:absolute,to:'2016-06-22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0" s="50" t="str">
        <f t="shared" si="41"/>
        <v>N</v>
      </c>
      <c r="X120" s="50">
        <f t="shared" si="42"/>
        <v>1</v>
      </c>
      <c r="Y120" s="50">
        <f t="shared" si="34"/>
        <v>4.5499999999999999E-2</v>
      </c>
      <c r="Z120" s="50">
        <f t="shared" si="35"/>
        <v>23.3142</v>
      </c>
      <c r="AA120" s="50">
        <f t="shared" si="43"/>
        <v>23.268699999999999</v>
      </c>
      <c r="AB120" s="51">
        <f>VLOOKUP(A120,Enforcements!$C$7:$J$74,8,0)</f>
        <v>233491</v>
      </c>
      <c r="AC120" s="51" t="str">
        <f>VLOOKUP(A120,Enforcements!$C$7:$E$74,3,0)</f>
        <v>TRACK WARRANT AUTHORITY</v>
      </c>
    </row>
    <row r="121" spans="1:29" s="2" customFormat="1" x14ac:dyDescent="0.25">
      <c r="A121" s="43" t="s">
        <v>450</v>
      </c>
      <c r="B121" s="43">
        <v>4041</v>
      </c>
      <c r="C121" s="43" t="s">
        <v>60</v>
      </c>
      <c r="D121" s="43" t="s">
        <v>451</v>
      </c>
      <c r="E121" s="25">
        <v>42543.741875</v>
      </c>
      <c r="F121" s="25">
        <v>42543.742685185185</v>
      </c>
      <c r="G121" s="31">
        <v>1</v>
      </c>
      <c r="H121" s="25" t="s">
        <v>62</v>
      </c>
      <c r="I121" s="25">
        <v>42543.781828703701</v>
      </c>
      <c r="J121" s="43">
        <v>3</v>
      </c>
      <c r="K121" s="43" t="str">
        <f t="shared" si="36"/>
        <v>4041/4042</v>
      </c>
      <c r="L121" s="43" t="str">
        <f>VLOOKUP(A121,'Trips&amp;Operators'!$C$1:$E$10000,3,FALSE)</f>
        <v>COOLAHAN</v>
      </c>
      <c r="M121" s="11">
        <f t="shared" si="37"/>
        <v>3.9143518515629694E-2</v>
      </c>
      <c r="N121" s="12">
        <f t="shared" si="45"/>
        <v>56.366666662506759</v>
      </c>
      <c r="O121" s="12"/>
      <c r="P121" s="12"/>
      <c r="Q121" s="44"/>
      <c r="R121" s="44"/>
      <c r="S121" s="72">
        <f t="shared" si="44"/>
        <v>1</v>
      </c>
      <c r="T121" s="2" t="str">
        <f t="shared" si="39"/>
        <v>Southbound</v>
      </c>
      <c r="U121" s="2">
        <f>COUNTIFS(Variables!$M$2:$M$19, "&lt;=" &amp; Y121, Variables!$M$2:$M$19, "&gt;=" &amp; Z121)</f>
        <v>12</v>
      </c>
      <c r="V121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1" s="50" t="str">
        <f t="shared" si="41"/>
        <v>N</v>
      </c>
      <c r="X121" s="50">
        <f t="shared" si="42"/>
        <v>1</v>
      </c>
      <c r="Y121" s="50">
        <f t="shared" si="34"/>
        <v>23.282299999999999</v>
      </c>
      <c r="Z121" s="50">
        <f t="shared" si="35"/>
        <v>1.52E-2</v>
      </c>
      <c r="AA121" s="50">
        <f t="shared" si="43"/>
        <v>23.267099999999999</v>
      </c>
      <c r="AB121" s="51">
        <f>VLOOKUP(A121,Enforcements!$C$7:$J$74,8,0)</f>
        <v>30970</v>
      </c>
      <c r="AC121" s="51" t="str">
        <f>VLOOKUP(A121,Enforcements!$C$7:$E$74,3,0)</f>
        <v>GRADE CROSSING</v>
      </c>
    </row>
    <row r="122" spans="1:29" s="2" customFormat="1" x14ac:dyDescent="0.25">
      <c r="A122" s="43" t="s">
        <v>452</v>
      </c>
      <c r="B122" s="43">
        <v>4044</v>
      </c>
      <c r="C122" s="43" t="s">
        <v>60</v>
      </c>
      <c r="D122" s="43" t="s">
        <v>453</v>
      </c>
      <c r="E122" s="25">
        <v>42543.714236111111</v>
      </c>
      <c r="F122" s="25">
        <v>42543.716168981482</v>
      </c>
      <c r="G122" s="31">
        <v>2</v>
      </c>
      <c r="H122" s="25" t="s">
        <v>143</v>
      </c>
      <c r="I122" s="25">
        <v>42543.754259259258</v>
      </c>
      <c r="J122" s="43">
        <v>3</v>
      </c>
      <c r="K122" s="43" t="str">
        <f t="shared" si="36"/>
        <v>4043/4044</v>
      </c>
      <c r="L122" s="43" t="str">
        <f>VLOOKUP(A122,'Trips&amp;Operators'!$C$1:$E$10000,3,FALSE)</f>
        <v>STRICKLAND</v>
      </c>
      <c r="M122" s="11">
        <f t="shared" si="37"/>
        <v>3.8090277776063886E-2</v>
      </c>
      <c r="N122" s="12">
        <f t="shared" si="45"/>
        <v>54.849999997531995</v>
      </c>
      <c r="O122" s="12"/>
      <c r="P122" s="12"/>
      <c r="Q122" s="44"/>
      <c r="R122" s="44"/>
      <c r="S122" s="72">
        <f t="shared" si="44"/>
        <v>1</v>
      </c>
      <c r="T122" s="2" t="str">
        <f t="shared" si="39"/>
        <v>NorthBound</v>
      </c>
      <c r="U122" s="2">
        <f>COUNTIFS(Variables!$M$2:$M$19, "&gt;=" &amp; Y122, Variables!$M$2:$M$19, "&lt;=" &amp; Z122)</f>
        <v>12</v>
      </c>
      <c r="V122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2" s="50" t="str">
        <f t="shared" si="41"/>
        <v>N</v>
      </c>
      <c r="X122" s="50">
        <f t="shared" si="42"/>
        <v>1</v>
      </c>
      <c r="Y122" s="50">
        <f t="shared" si="34"/>
        <v>0.1169</v>
      </c>
      <c r="Z122" s="50">
        <f t="shared" si="35"/>
        <v>23.331199999999999</v>
      </c>
      <c r="AA122" s="50">
        <f t="shared" si="43"/>
        <v>23.214299999999998</v>
      </c>
      <c r="AB122" s="51">
        <f>VLOOKUP(A122,Enforcements!$C$7:$J$74,8,0)</f>
        <v>1692</v>
      </c>
      <c r="AC122" s="51" t="str">
        <f>VLOOKUP(A122,Enforcements!$C$7:$E$74,3,0)</f>
        <v>SIGNAL</v>
      </c>
    </row>
    <row r="123" spans="1:29" s="2" customFormat="1" x14ac:dyDescent="0.25">
      <c r="A123" s="43" t="s">
        <v>454</v>
      </c>
      <c r="B123" s="43">
        <v>4043</v>
      </c>
      <c r="C123" s="43" t="s">
        <v>60</v>
      </c>
      <c r="D123" s="43" t="s">
        <v>126</v>
      </c>
      <c r="E123" s="25">
        <v>42543.755590277775</v>
      </c>
      <c r="F123" s="25">
        <v>42543.757037037038</v>
      </c>
      <c r="G123" s="31">
        <v>2</v>
      </c>
      <c r="H123" s="25" t="s">
        <v>203</v>
      </c>
      <c r="I123" s="25">
        <v>42543.788078703707</v>
      </c>
      <c r="J123" s="43">
        <v>0</v>
      </c>
      <c r="K123" s="43" t="str">
        <f t="shared" si="36"/>
        <v>4043/4044</v>
      </c>
      <c r="L123" s="43" t="str">
        <f>VLOOKUP(A123,'Trips&amp;Operators'!$C$1:$E$10000,3,FALSE)</f>
        <v>STRICKLAND</v>
      </c>
      <c r="M123" s="11">
        <f t="shared" si="37"/>
        <v>3.104166666889796E-2</v>
      </c>
      <c r="N123" s="12">
        <f t="shared" si="45"/>
        <v>44.700000003213063</v>
      </c>
      <c r="O123" s="12"/>
      <c r="P123" s="12"/>
      <c r="Q123" s="44"/>
      <c r="R123" s="44"/>
      <c r="S123" s="72">
        <f t="shared" si="44"/>
        <v>1</v>
      </c>
      <c r="T123" s="2" t="str">
        <f t="shared" si="39"/>
        <v>Southbound</v>
      </c>
      <c r="U123" s="2">
        <f>COUNTIFS(Variables!$M$2:$M$19, "&lt;=" &amp; Y123, Variables!$M$2:$M$19, "&gt;=" &amp; Z123)</f>
        <v>12</v>
      </c>
      <c r="V123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18:07:03-0600',mode:absolute,to:'2016-06-22 18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3" s="50" t="str">
        <f t="shared" si="41"/>
        <v>N</v>
      </c>
      <c r="X123" s="50">
        <f t="shared" si="42"/>
        <v>1</v>
      </c>
      <c r="Y123" s="50">
        <f t="shared" si="34"/>
        <v>23.299800000000001</v>
      </c>
      <c r="Z123" s="50">
        <f t="shared" si="35"/>
        <v>1.38E-2</v>
      </c>
      <c r="AA123" s="50">
        <f t="shared" si="43"/>
        <v>23.286000000000001</v>
      </c>
      <c r="AB123" s="51" t="e">
        <f>VLOOKUP(A123,Enforcements!$C$7:$J$74,8,0)</f>
        <v>#N/A</v>
      </c>
      <c r="AC123" s="51" t="e">
        <f>VLOOKUP(A123,Enforcements!$C$7:$E$74,3,0)</f>
        <v>#N/A</v>
      </c>
    </row>
    <row r="124" spans="1:29" s="2" customFormat="1" x14ac:dyDescent="0.25">
      <c r="A124" s="43" t="s">
        <v>455</v>
      </c>
      <c r="B124" s="43">
        <v>4009</v>
      </c>
      <c r="C124" s="43" t="s">
        <v>60</v>
      </c>
      <c r="D124" s="43" t="s">
        <v>81</v>
      </c>
      <c r="E124" s="25">
        <v>42543.729467592595</v>
      </c>
      <c r="F124" s="25">
        <v>42543.730636574073</v>
      </c>
      <c r="G124" s="31">
        <v>1</v>
      </c>
      <c r="H124" s="25" t="s">
        <v>158</v>
      </c>
      <c r="I124" s="25">
        <v>42543.760196759256</v>
      </c>
      <c r="J124" s="43">
        <v>1</v>
      </c>
      <c r="K124" s="43" t="str">
        <f t="shared" si="36"/>
        <v>4009/4010</v>
      </c>
      <c r="L124" s="43" t="str">
        <f>VLOOKUP(A124,'Trips&amp;Operators'!$C$1:$E$10000,3,FALSE)</f>
        <v>STEWART</v>
      </c>
      <c r="M124" s="11">
        <f t="shared" si="37"/>
        <v>2.9560185183072463E-2</v>
      </c>
      <c r="N124" s="12">
        <f t="shared" si="45"/>
        <v>42.566666663624346</v>
      </c>
      <c r="O124" s="12"/>
      <c r="P124" s="12"/>
      <c r="Q124" s="44"/>
      <c r="R124" s="44"/>
      <c r="S124" s="72">
        <f t="shared" si="44"/>
        <v>1</v>
      </c>
      <c r="T124" s="2" t="str">
        <f t="shared" si="39"/>
        <v>NorthBound</v>
      </c>
      <c r="U124" s="2">
        <f>COUNTIFS(Variables!$M$2:$M$19, "&gt;=" &amp; Y124, Variables!$M$2:$M$19, "&lt;=" &amp; Z124)</f>
        <v>12</v>
      </c>
      <c r="V124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17:29:26-0600',mode:absolute,to:'2016-06-22 18:15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4" s="50" t="str">
        <f t="shared" si="41"/>
        <v>N</v>
      </c>
      <c r="X124" s="50">
        <f t="shared" si="42"/>
        <v>1</v>
      </c>
      <c r="Y124" s="50">
        <f t="shared" si="34"/>
        <v>4.53E-2</v>
      </c>
      <c r="Z124" s="50">
        <f t="shared" si="35"/>
        <v>23.333200000000001</v>
      </c>
      <c r="AA124" s="50">
        <f t="shared" si="43"/>
        <v>23.2879</v>
      </c>
      <c r="AB124" s="51">
        <f>VLOOKUP(A124,Enforcements!$C$7:$J$74,8,0)</f>
        <v>233491</v>
      </c>
      <c r="AC124" s="51" t="str">
        <f>VLOOKUP(A124,Enforcements!$C$7:$E$74,3,0)</f>
        <v>TRACK WARRANT AUTHORITY</v>
      </c>
    </row>
    <row r="125" spans="1:29" s="2" customFormat="1" x14ac:dyDescent="0.25">
      <c r="A125" s="43" t="s">
        <v>456</v>
      </c>
      <c r="B125" s="43">
        <v>4010</v>
      </c>
      <c r="C125" s="43" t="s">
        <v>60</v>
      </c>
      <c r="D125" s="43" t="s">
        <v>457</v>
      </c>
      <c r="E125" s="25">
        <v>42543.765833333331</v>
      </c>
      <c r="F125" s="25">
        <v>42543.766793981478</v>
      </c>
      <c r="G125" s="31">
        <v>1</v>
      </c>
      <c r="H125" s="25" t="s">
        <v>77</v>
      </c>
      <c r="I125" s="25">
        <v>42543.798738425925</v>
      </c>
      <c r="J125" s="43">
        <v>0</v>
      </c>
      <c r="K125" s="43" t="str">
        <f t="shared" si="36"/>
        <v>4009/4010</v>
      </c>
      <c r="L125" s="43" t="str">
        <f>VLOOKUP(A125,'Trips&amp;Operators'!$C$1:$E$10000,3,FALSE)</f>
        <v>STEWART</v>
      </c>
      <c r="M125" s="11">
        <f t="shared" si="37"/>
        <v>3.1944444446708076E-2</v>
      </c>
      <c r="N125" s="12">
        <f t="shared" si="45"/>
        <v>46.000000003259629</v>
      </c>
      <c r="O125" s="12"/>
      <c r="P125" s="12"/>
      <c r="Q125" s="44"/>
      <c r="R125" s="44"/>
      <c r="S125" s="72">
        <f t="shared" si="44"/>
        <v>1</v>
      </c>
      <c r="T125" s="2" t="str">
        <f t="shared" si="39"/>
        <v>Southbound</v>
      </c>
      <c r="U125" s="2">
        <f>COUNTIFS(Variables!$M$2:$M$19, "&lt;=" &amp; Y125, Variables!$M$2:$M$19, "&gt;=" &amp; Z125)</f>
        <v>12</v>
      </c>
      <c r="V125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18:21:48-0600',mode:absolute,to:'2016-06-22 19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5" s="50" t="str">
        <f t="shared" si="41"/>
        <v>N</v>
      </c>
      <c r="X125" s="50">
        <f t="shared" si="42"/>
        <v>1</v>
      </c>
      <c r="Y125" s="50">
        <f t="shared" si="34"/>
        <v>23.305900000000001</v>
      </c>
      <c r="Z125" s="50">
        <f t="shared" si="35"/>
        <v>1.5599999999999999E-2</v>
      </c>
      <c r="AA125" s="50">
        <f t="shared" si="43"/>
        <v>23.290300000000002</v>
      </c>
      <c r="AB125" s="51" t="e">
        <f>VLOOKUP(A125,Enforcements!$C$7:$J$74,8,0)</f>
        <v>#N/A</v>
      </c>
      <c r="AC125" s="51" t="e">
        <f>VLOOKUP(A125,Enforcements!$C$7:$E$74,3,0)</f>
        <v>#N/A</v>
      </c>
    </row>
    <row r="126" spans="1:29" s="2" customFormat="1" x14ac:dyDescent="0.25">
      <c r="A126" s="43" t="s">
        <v>458</v>
      </c>
      <c r="B126" s="43">
        <v>4011</v>
      </c>
      <c r="C126" s="43" t="s">
        <v>60</v>
      </c>
      <c r="D126" s="43" t="s">
        <v>197</v>
      </c>
      <c r="E126" s="25">
        <v>42543.742013888892</v>
      </c>
      <c r="F126" s="25">
        <v>42543.742696759262</v>
      </c>
      <c r="G126" s="31">
        <v>0</v>
      </c>
      <c r="H126" s="25" t="s">
        <v>459</v>
      </c>
      <c r="I126" s="25">
        <v>42543.772615740738</v>
      </c>
      <c r="J126" s="43">
        <v>0</v>
      </c>
      <c r="K126" s="43" t="str">
        <f t="shared" si="36"/>
        <v>4011/4012</v>
      </c>
      <c r="L126" s="43" t="str">
        <f>VLOOKUP(A126,'Trips&amp;Operators'!$C$1:$E$10000,3,FALSE)</f>
        <v>MAELZER</v>
      </c>
      <c r="M126" s="11">
        <f t="shared" si="37"/>
        <v>2.9918981475930195E-2</v>
      </c>
      <c r="N126" s="12">
        <f t="shared" si="45"/>
        <v>43.083333325339481</v>
      </c>
      <c r="O126" s="12"/>
      <c r="P126" s="12"/>
      <c r="Q126" s="44"/>
      <c r="R126" s="44"/>
      <c r="S126" s="72">
        <f t="shared" si="44"/>
        <v>1</v>
      </c>
      <c r="T126" s="2" t="str">
        <f t="shared" si="39"/>
        <v>NorthBound</v>
      </c>
      <c r="U126" s="2">
        <f>COUNTIFS(Variables!$M$2:$M$19, "&gt;=" &amp; Y126, Variables!$M$2:$M$19, "&lt;=" &amp; Z126)</f>
        <v>12</v>
      </c>
      <c r="V126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17:47:30-0600',mode:absolute,to:'2016-06-22 18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6" s="50" t="str">
        <f t="shared" si="41"/>
        <v>N</v>
      </c>
      <c r="X126" s="50">
        <f t="shared" si="42"/>
        <v>1</v>
      </c>
      <c r="Y126" s="50">
        <f t="shared" si="34"/>
        <v>4.4200000000000003E-2</v>
      </c>
      <c r="Z126" s="50">
        <f t="shared" si="35"/>
        <v>23.327999999999999</v>
      </c>
      <c r="AA126" s="50">
        <f t="shared" si="43"/>
        <v>23.283799999999999</v>
      </c>
      <c r="AB126" s="51" t="e">
        <f>VLOOKUP(A126,Enforcements!$C$7:$J$74,8,0)</f>
        <v>#N/A</v>
      </c>
      <c r="AC126" s="51" t="e">
        <f>VLOOKUP(A126,Enforcements!$C$7:$E$74,3,0)</f>
        <v>#N/A</v>
      </c>
    </row>
    <row r="127" spans="1:29" s="2" customFormat="1" x14ac:dyDescent="0.25">
      <c r="A127" s="43" t="s">
        <v>460</v>
      </c>
      <c r="B127" s="43">
        <v>4012</v>
      </c>
      <c r="C127" s="43" t="s">
        <v>60</v>
      </c>
      <c r="D127" s="43" t="s">
        <v>461</v>
      </c>
      <c r="E127" s="25">
        <v>42543.774224537039</v>
      </c>
      <c r="F127" s="25">
        <v>42543.775416666664</v>
      </c>
      <c r="G127" s="31">
        <v>1</v>
      </c>
      <c r="H127" s="25" t="s">
        <v>62</v>
      </c>
      <c r="I127" s="25">
        <v>42543.808182870373</v>
      </c>
      <c r="J127" s="43">
        <v>0</v>
      </c>
      <c r="K127" s="43" t="str">
        <f t="shared" si="36"/>
        <v>4011/4012</v>
      </c>
      <c r="L127" s="43" t="str">
        <f>VLOOKUP(A127,'Trips&amp;Operators'!$C$1:$E$10000,3,FALSE)</f>
        <v>MAELZER</v>
      </c>
      <c r="M127" s="11">
        <f t="shared" si="37"/>
        <v>3.2766203708888497E-2</v>
      </c>
      <c r="N127" s="12">
        <f t="shared" si="45"/>
        <v>47.183333340799436</v>
      </c>
      <c r="O127" s="12"/>
      <c r="P127" s="12"/>
      <c r="Q127" s="44"/>
      <c r="R127" s="44"/>
      <c r="S127" s="72">
        <f t="shared" si="44"/>
        <v>1</v>
      </c>
      <c r="T127" s="2" t="str">
        <f t="shared" si="39"/>
        <v>Southbound</v>
      </c>
      <c r="U127" s="2">
        <f>COUNTIFS(Variables!$M$2:$M$19, "&lt;=" &amp; Y127, Variables!$M$2:$M$19, "&gt;=" &amp; Z127)</f>
        <v>12</v>
      </c>
      <c r="V127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18:33:53-0600',mode:absolute,to:'2016-06-22 19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7" s="50" t="str">
        <f t="shared" si="41"/>
        <v>N</v>
      </c>
      <c r="X127" s="50">
        <f t="shared" si="42"/>
        <v>1</v>
      </c>
      <c r="Y127" s="50">
        <f t="shared" si="34"/>
        <v>23.296199999999999</v>
      </c>
      <c r="Z127" s="50">
        <f t="shared" si="35"/>
        <v>1.52E-2</v>
      </c>
      <c r="AA127" s="50">
        <f t="shared" si="43"/>
        <v>23.280999999999999</v>
      </c>
      <c r="AB127" s="51" t="e">
        <f>VLOOKUP(A127,Enforcements!$C$7:$J$74,8,0)</f>
        <v>#N/A</v>
      </c>
      <c r="AC127" s="51" t="e">
        <f>VLOOKUP(A127,Enforcements!$C$7:$E$74,3,0)</f>
        <v>#N/A</v>
      </c>
    </row>
    <row r="128" spans="1:29" s="2" customFormat="1" x14ac:dyDescent="0.25">
      <c r="A128" s="43" t="s">
        <v>462</v>
      </c>
      <c r="B128" s="43">
        <v>4007</v>
      </c>
      <c r="C128" s="43" t="s">
        <v>60</v>
      </c>
      <c r="D128" s="43" t="s">
        <v>463</v>
      </c>
      <c r="E128" s="25">
        <v>42543.748518518521</v>
      </c>
      <c r="F128" s="25">
        <v>42543.7496875</v>
      </c>
      <c r="G128" s="31">
        <v>1</v>
      </c>
      <c r="H128" s="25" t="s">
        <v>158</v>
      </c>
      <c r="I128" s="25">
        <v>42543.778831018521</v>
      </c>
      <c r="J128" s="43">
        <v>0</v>
      </c>
      <c r="K128" s="43" t="str">
        <f t="shared" si="36"/>
        <v>4007/4008</v>
      </c>
      <c r="L128" s="43" t="str">
        <f>VLOOKUP(A128,'Trips&amp;Operators'!$C$1:$E$10000,3,FALSE)</f>
        <v>DE LA ROSA</v>
      </c>
      <c r="M128" s="11">
        <f t="shared" si="37"/>
        <v>2.9143518520868383E-2</v>
      </c>
      <c r="N128" s="12">
        <f t="shared" si="45"/>
        <v>41.966666670050472</v>
      </c>
      <c r="O128" s="12"/>
      <c r="P128" s="12"/>
      <c r="Q128" s="44"/>
      <c r="R128" s="44"/>
      <c r="S128" s="72">
        <f t="shared" si="44"/>
        <v>1</v>
      </c>
      <c r="T128" s="2" t="str">
        <f t="shared" si="39"/>
        <v>NorthBound</v>
      </c>
      <c r="U128" s="2">
        <f>COUNTIFS(Variables!$M$2:$M$19, "&gt;=" &amp; Y128, Variables!$M$2:$M$19, "&lt;=" &amp; Z128)</f>
        <v>12</v>
      </c>
      <c r="V128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17:56:52-0600',mode:absolute,to:'2016-06-22 18:42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8" s="50" t="str">
        <f t="shared" si="41"/>
        <v>N</v>
      </c>
      <c r="X128" s="50">
        <f t="shared" si="42"/>
        <v>1</v>
      </c>
      <c r="Y128" s="50">
        <f t="shared" si="34"/>
        <v>6.5000000000000002E-2</v>
      </c>
      <c r="Z128" s="50">
        <f t="shared" si="35"/>
        <v>23.333200000000001</v>
      </c>
      <c r="AA128" s="50">
        <f t="shared" si="43"/>
        <v>23.2682</v>
      </c>
      <c r="AB128" s="51" t="e">
        <f>VLOOKUP(A128,Enforcements!$C$7:$J$74,8,0)</f>
        <v>#N/A</v>
      </c>
      <c r="AC128" s="51" t="e">
        <f>VLOOKUP(A128,Enforcements!$C$7:$E$74,3,0)</f>
        <v>#N/A</v>
      </c>
    </row>
    <row r="129" spans="1:29" s="2" customFormat="1" x14ac:dyDescent="0.25">
      <c r="A129" s="43" t="s">
        <v>464</v>
      </c>
      <c r="B129" s="43">
        <v>4008</v>
      </c>
      <c r="C129" s="43" t="s">
        <v>60</v>
      </c>
      <c r="D129" s="43" t="s">
        <v>428</v>
      </c>
      <c r="E129" s="25">
        <v>42543.783402777779</v>
      </c>
      <c r="F129" s="25">
        <v>42543.784212962964</v>
      </c>
      <c r="G129" s="31">
        <v>1</v>
      </c>
      <c r="H129" s="25" t="s">
        <v>62</v>
      </c>
      <c r="I129" s="25">
        <v>42543.816736111112</v>
      </c>
      <c r="J129" s="43">
        <v>0</v>
      </c>
      <c r="K129" s="43" t="str">
        <f t="shared" si="36"/>
        <v>4007/4008</v>
      </c>
      <c r="L129" s="43" t="str">
        <f>VLOOKUP(A129,'Trips&amp;Operators'!$C$1:$E$10000,3,FALSE)</f>
        <v>LYNN</v>
      </c>
      <c r="M129" s="11">
        <f t="shared" si="37"/>
        <v>3.25231481474475E-2</v>
      </c>
      <c r="N129" s="12">
        <f t="shared" si="45"/>
        <v>46.833333332324401</v>
      </c>
      <c r="O129" s="12"/>
      <c r="P129" s="12"/>
      <c r="Q129" s="44"/>
      <c r="R129" s="44"/>
      <c r="S129" s="72">
        <f t="shared" si="44"/>
        <v>1</v>
      </c>
      <c r="T129" s="2" t="str">
        <f t="shared" si="39"/>
        <v>Southbound</v>
      </c>
      <c r="U129" s="2">
        <f>COUNTIFS(Variables!$M$2:$M$19, "&lt;=" &amp; Y129, Variables!$M$2:$M$19, "&gt;=" &amp; Z129)</f>
        <v>12</v>
      </c>
      <c r="V129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18:47:06-0600',mode:absolute,to:'2016-06-22 19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9" s="50" t="str">
        <f t="shared" si="41"/>
        <v>N</v>
      </c>
      <c r="X129" s="50">
        <f t="shared" si="42"/>
        <v>1</v>
      </c>
      <c r="Y129" s="50">
        <f t="shared" si="34"/>
        <v>23.3005</v>
      </c>
      <c r="Z129" s="50">
        <f t="shared" si="35"/>
        <v>1.52E-2</v>
      </c>
      <c r="AA129" s="50">
        <f t="shared" si="43"/>
        <v>23.285299999999999</v>
      </c>
      <c r="AB129" s="51" t="e">
        <f>VLOOKUP(A129,Enforcements!$C$7:$J$74,8,0)</f>
        <v>#N/A</v>
      </c>
      <c r="AC129" s="51" t="e">
        <f>VLOOKUP(A129,Enforcements!$C$7:$E$74,3,0)</f>
        <v>#N/A</v>
      </c>
    </row>
    <row r="130" spans="1:29" s="2" customFormat="1" x14ac:dyDescent="0.25">
      <c r="A130" s="43" t="s">
        <v>465</v>
      </c>
      <c r="B130" s="43">
        <v>4024</v>
      </c>
      <c r="C130" s="43" t="s">
        <v>60</v>
      </c>
      <c r="D130" s="43" t="s">
        <v>113</v>
      </c>
      <c r="E130" s="25">
        <v>42543.760335648149</v>
      </c>
      <c r="F130" s="25">
        <v>42543.761331018519</v>
      </c>
      <c r="G130" s="31">
        <v>1</v>
      </c>
      <c r="H130" s="25" t="s">
        <v>85</v>
      </c>
      <c r="I130" s="25">
        <v>42543.789189814815</v>
      </c>
      <c r="J130" s="43">
        <v>0</v>
      </c>
      <c r="K130" s="43" t="str">
        <f t="shared" si="36"/>
        <v>4023/4024</v>
      </c>
      <c r="L130" s="43" t="str">
        <f>VLOOKUP(A130,'Trips&amp;Operators'!$C$1:$E$10000,3,FALSE)</f>
        <v>ADANE</v>
      </c>
      <c r="M130" s="11">
        <f t="shared" si="37"/>
        <v>2.7858796296641231E-2</v>
      </c>
      <c r="N130" s="12">
        <f t="shared" si="45"/>
        <v>40.116666667163372</v>
      </c>
      <c r="O130" s="12"/>
      <c r="P130" s="12"/>
      <c r="Q130" s="44"/>
      <c r="R130" s="44"/>
      <c r="S130" s="72">
        <f t="shared" si="44"/>
        <v>1</v>
      </c>
      <c r="T130" s="2" t="str">
        <f t="shared" si="39"/>
        <v>NorthBound</v>
      </c>
      <c r="U130" s="2">
        <f>COUNTIFS(Variables!$M$2:$M$19, "&gt;=" &amp; Y130, Variables!$M$2:$M$19, "&lt;=" &amp; Z130)</f>
        <v>12</v>
      </c>
      <c r="V130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18:13:53-0600',mode:absolute,to:'2016-06-22 18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30" s="50" t="str">
        <f t="shared" si="41"/>
        <v>N</v>
      </c>
      <c r="X130" s="50">
        <f t="shared" si="42"/>
        <v>1</v>
      </c>
      <c r="Y130" s="50">
        <f t="shared" si="34"/>
        <v>4.4699999999999997E-2</v>
      </c>
      <c r="Z130" s="50">
        <f t="shared" si="35"/>
        <v>23.330400000000001</v>
      </c>
      <c r="AA130" s="50">
        <f t="shared" si="43"/>
        <v>23.285700000000002</v>
      </c>
      <c r="AB130" s="51" t="e">
        <f>VLOOKUP(A130,Enforcements!$C$7:$J$74,8,0)</f>
        <v>#N/A</v>
      </c>
      <c r="AC130" s="51" t="e">
        <f>VLOOKUP(A130,Enforcements!$C$7:$E$74,3,0)</f>
        <v>#N/A</v>
      </c>
    </row>
    <row r="131" spans="1:29" s="2" customFormat="1" x14ac:dyDescent="0.25">
      <c r="A131" s="43" t="s">
        <v>466</v>
      </c>
      <c r="B131" s="43">
        <v>4023</v>
      </c>
      <c r="C131" s="43" t="s">
        <v>60</v>
      </c>
      <c r="D131" s="43" t="s">
        <v>467</v>
      </c>
      <c r="E131" s="25">
        <v>42543.797152777777</v>
      </c>
      <c r="F131" s="25">
        <v>42543.79886574074</v>
      </c>
      <c r="G131" s="31">
        <v>2</v>
      </c>
      <c r="H131" s="25" t="s">
        <v>128</v>
      </c>
      <c r="I131" s="25">
        <v>42543.826122685183</v>
      </c>
      <c r="J131" s="43">
        <v>2</v>
      </c>
      <c r="K131" s="43" t="str">
        <f t="shared" si="36"/>
        <v>4023/4024</v>
      </c>
      <c r="L131" s="43" t="str">
        <f>VLOOKUP(A131,'Trips&amp;Operators'!$C$1:$E$10000,3,FALSE)</f>
        <v>ADANE</v>
      </c>
      <c r="M131" s="11">
        <f t="shared" si="37"/>
        <v>2.7256944442342501E-2</v>
      </c>
      <c r="N131" s="12">
        <f t="shared" si="45"/>
        <v>39.249999996973202</v>
      </c>
      <c r="O131" s="12"/>
      <c r="P131" s="12"/>
      <c r="Q131" s="44"/>
      <c r="R131" s="44"/>
      <c r="S131" s="72">
        <f t="shared" si="44"/>
        <v>1</v>
      </c>
      <c r="T131" s="2" t="str">
        <f t="shared" si="39"/>
        <v>Southbound</v>
      </c>
      <c r="U131" s="2">
        <f>COUNTIFS(Variables!$M$2:$M$19, "&lt;=" &amp; Y131, Variables!$M$2:$M$19, "&gt;=" &amp; Z131)</f>
        <v>12</v>
      </c>
      <c r="V131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19:06:54-0600',mode:absolute,to:'2016-06-22 19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31" s="50" t="str">
        <f t="shared" si="41"/>
        <v>N</v>
      </c>
      <c r="X131" s="50">
        <f t="shared" si="42"/>
        <v>1</v>
      </c>
      <c r="Y131" s="50">
        <f t="shared" si="34"/>
        <v>23.299399999999999</v>
      </c>
      <c r="Z131" s="50">
        <f t="shared" si="35"/>
        <v>1.6299999999999999E-2</v>
      </c>
      <c r="AA131" s="50">
        <f t="shared" si="43"/>
        <v>23.283099999999997</v>
      </c>
      <c r="AB131" s="51">
        <f>VLOOKUP(A131,Enforcements!$C$7:$J$74,8,0)</f>
        <v>30562</v>
      </c>
      <c r="AC131" s="51" t="str">
        <f>VLOOKUP(A131,Enforcements!$C$7:$E$74,3,0)</f>
        <v>PERMANENT SPEED RESTRICTION</v>
      </c>
    </row>
    <row r="132" spans="1:29" s="2" customFormat="1" x14ac:dyDescent="0.25">
      <c r="A132" s="43" t="s">
        <v>545</v>
      </c>
      <c r="B132" s="43">
        <v>4025</v>
      </c>
      <c r="C132" s="43"/>
      <c r="D132" s="43"/>
      <c r="E132" s="25"/>
      <c r="F132" s="25">
        <v>42543.770335648151</v>
      </c>
      <c r="G132" s="31"/>
      <c r="H132" s="25"/>
      <c r="I132" s="25">
        <v>42543.770509259259</v>
      </c>
      <c r="J132" s="43"/>
      <c r="K132" s="43" t="str">
        <f t="shared" si="36"/>
        <v>4025/4026</v>
      </c>
      <c r="L132" s="43" t="str">
        <f>VLOOKUP(A132,'Trips&amp;Operators'!$C$1:$E$10000,3,FALSE)</f>
        <v>MOSES</v>
      </c>
      <c r="M132" s="11">
        <f t="shared" si="37"/>
        <v>1.7361110803904012E-4</v>
      </c>
      <c r="N132" s="12"/>
      <c r="O132" s="12"/>
      <c r="P132" s="12">
        <v>1</v>
      </c>
      <c r="Q132" s="44"/>
      <c r="R132" s="44" t="s">
        <v>254</v>
      </c>
      <c r="S132" s="72">
        <f t="shared" si="44"/>
        <v>0</v>
      </c>
      <c r="T132" s="2" t="str">
        <f t="shared" si="39"/>
        <v>NorthBound</v>
      </c>
      <c r="U132" s="2">
        <f>COUNTIFS(Variables!$M$2:$M$19, "&gt;=" &amp; Y132, Variables!$M$2:$M$19, "&lt;=" &amp; Z132)</f>
        <v>0</v>
      </c>
      <c r="V132" s="50" t="e">
        <f t="shared" si="40"/>
        <v>#VALUE!</v>
      </c>
      <c r="W132" s="50" t="e">
        <f t="shared" si="41"/>
        <v>#VALUE!</v>
      </c>
      <c r="X132" s="50">
        <f t="shared" si="42"/>
        <v>1</v>
      </c>
      <c r="Y132" s="50" t="e">
        <f t="shared" si="34"/>
        <v>#VALUE!</v>
      </c>
      <c r="Z132" s="50" t="e">
        <f t="shared" si="35"/>
        <v>#VALUE!</v>
      </c>
      <c r="AA132" s="50" t="e">
        <f t="shared" si="43"/>
        <v>#VALUE!</v>
      </c>
      <c r="AB132" s="51" t="e">
        <f>VLOOKUP(A132,Enforcements!$C$7:$J$74,8,0)</f>
        <v>#N/A</v>
      </c>
      <c r="AC132" s="51" t="e">
        <f>VLOOKUP(A132,Enforcements!$C$7:$E$74,3,0)</f>
        <v>#N/A</v>
      </c>
    </row>
    <row r="133" spans="1:29" s="2" customFormat="1" x14ac:dyDescent="0.25">
      <c r="A133" s="43" t="s">
        <v>468</v>
      </c>
      <c r="B133" s="43">
        <v>4026</v>
      </c>
      <c r="C133" s="43" t="s">
        <v>60</v>
      </c>
      <c r="D133" s="43" t="s">
        <v>159</v>
      </c>
      <c r="E133" s="25">
        <v>42543.805937500001</v>
      </c>
      <c r="F133" s="25">
        <v>42543.806655092594</v>
      </c>
      <c r="G133" s="31">
        <v>1</v>
      </c>
      <c r="H133" s="25" t="s">
        <v>147</v>
      </c>
      <c r="I133" s="25">
        <v>42543.837685185186</v>
      </c>
      <c r="J133" s="43">
        <v>0</v>
      </c>
      <c r="K133" s="43" t="str">
        <f t="shared" si="36"/>
        <v>4025/4026</v>
      </c>
      <c r="L133" s="43" t="str">
        <f>VLOOKUP(A133,'Trips&amp;Operators'!$C$1:$E$10000,3,FALSE)</f>
        <v>MOSES</v>
      </c>
      <c r="M133" s="11">
        <f t="shared" si="37"/>
        <v>3.1030092592118308E-2</v>
      </c>
      <c r="N133" s="12">
        <f t="shared" ref="N133:N151" si="46">24*60*SUM($M133:$M133)</f>
        <v>44.683333332650363</v>
      </c>
      <c r="O133" s="12"/>
      <c r="P133" s="12"/>
      <c r="Q133" s="44"/>
      <c r="R133" s="44"/>
      <c r="S133" s="72">
        <f t="shared" si="44"/>
        <v>1</v>
      </c>
      <c r="T133" s="2" t="str">
        <f t="shared" si="39"/>
        <v>Southbound</v>
      </c>
      <c r="U133" s="2">
        <f>COUNTIFS(Variables!$M$2:$M$19, "&lt;=" &amp; Y133, Variables!$M$2:$M$19, "&gt;=" &amp; Z133)</f>
        <v>12</v>
      </c>
      <c r="V133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19:19:33-0600',mode:absolute,to:'2016-06-22 20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3" s="50" t="str">
        <f t="shared" si="41"/>
        <v>N</v>
      </c>
      <c r="X133" s="50">
        <f t="shared" si="42"/>
        <v>1</v>
      </c>
      <c r="Y133" s="50">
        <f t="shared" si="34"/>
        <v>23.298400000000001</v>
      </c>
      <c r="Z133" s="50">
        <f t="shared" si="35"/>
        <v>1.4999999999999999E-2</v>
      </c>
      <c r="AA133" s="50">
        <f t="shared" si="43"/>
        <v>23.2834</v>
      </c>
      <c r="AB133" s="51" t="e">
        <f>VLOOKUP(A133,Enforcements!$C$7:$J$74,8,0)</f>
        <v>#N/A</v>
      </c>
      <c r="AC133" s="51" t="e">
        <f>VLOOKUP(A133,Enforcements!$C$7:$E$74,3,0)</f>
        <v>#N/A</v>
      </c>
    </row>
    <row r="134" spans="1:29" s="2" customFormat="1" x14ac:dyDescent="0.25">
      <c r="A134" s="43" t="s">
        <v>469</v>
      </c>
      <c r="B134" s="43">
        <v>4044</v>
      </c>
      <c r="C134" s="43" t="s">
        <v>60</v>
      </c>
      <c r="D134" s="43" t="s">
        <v>232</v>
      </c>
      <c r="E134" s="25">
        <v>42543.790972222225</v>
      </c>
      <c r="F134" s="25">
        <v>42543.791863425926</v>
      </c>
      <c r="G134" s="31">
        <v>1</v>
      </c>
      <c r="H134" s="25" t="s">
        <v>120</v>
      </c>
      <c r="I134" s="25">
        <v>42543.820729166669</v>
      </c>
      <c r="J134" s="43">
        <v>1</v>
      </c>
      <c r="K134" s="43" t="str">
        <f t="shared" si="36"/>
        <v>4043/4044</v>
      </c>
      <c r="L134" s="43" t="str">
        <f>VLOOKUP(A134,'Trips&amp;Operators'!$C$1:$E$10000,3,FALSE)</f>
        <v>STRICKLAND</v>
      </c>
      <c r="M134" s="11">
        <f t="shared" si="37"/>
        <v>2.8865740743640345E-2</v>
      </c>
      <c r="N134" s="12">
        <f t="shared" si="46"/>
        <v>41.566666670842096</v>
      </c>
      <c r="O134" s="12"/>
      <c r="P134" s="12"/>
      <c r="Q134" s="44"/>
      <c r="R134" s="44"/>
      <c r="S134" s="72">
        <f t="shared" si="44"/>
        <v>1</v>
      </c>
      <c r="T134" s="2" t="str">
        <f t="shared" si="39"/>
        <v>NorthBound</v>
      </c>
      <c r="U134" s="2">
        <f>COUNTIFS(Variables!$M$2:$M$19, "&gt;=" &amp; Y134, Variables!$M$2:$M$19, "&lt;=" &amp; Z134)</f>
        <v>12</v>
      </c>
      <c r="V134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18:58:00-0600',mode:absolute,to:'2016-06-22 19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4" s="50" t="str">
        <f t="shared" si="41"/>
        <v>N</v>
      </c>
      <c r="X134" s="50">
        <f t="shared" si="42"/>
        <v>1</v>
      </c>
      <c r="Y134" s="50">
        <f t="shared" si="34"/>
        <v>4.82E-2</v>
      </c>
      <c r="Z134" s="50">
        <f t="shared" si="35"/>
        <v>23.329699999999999</v>
      </c>
      <c r="AA134" s="50">
        <f t="shared" si="43"/>
        <v>23.281499999999998</v>
      </c>
      <c r="AB134" s="51">
        <f>VLOOKUP(A134,Enforcements!$C$7:$J$74,8,0)</f>
        <v>183829</v>
      </c>
      <c r="AC134" s="51" t="str">
        <f>VLOOKUP(A134,Enforcements!$C$7:$E$74,3,0)</f>
        <v>PERMANENT SPEED RESTRICTION</v>
      </c>
    </row>
    <row r="135" spans="1:29" s="2" customFormat="1" x14ac:dyDescent="0.25">
      <c r="A135" s="43" t="s">
        <v>470</v>
      </c>
      <c r="B135" s="43">
        <v>4043</v>
      </c>
      <c r="C135" s="43" t="s">
        <v>60</v>
      </c>
      <c r="D135" s="43" t="s">
        <v>148</v>
      </c>
      <c r="E135" s="25">
        <v>42543.824652777781</v>
      </c>
      <c r="F135" s="25">
        <v>42543.82576388889</v>
      </c>
      <c r="G135" s="31">
        <v>1</v>
      </c>
      <c r="H135" s="25" t="s">
        <v>151</v>
      </c>
      <c r="I135" s="25">
        <v>42543.857916666668</v>
      </c>
      <c r="J135" s="43">
        <v>0</v>
      </c>
      <c r="K135" s="43" t="str">
        <f t="shared" si="36"/>
        <v>4043/4044</v>
      </c>
      <c r="L135" s="43" t="str">
        <f>VLOOKUP(A135,'Trips&amp;Operators'!$C$1:$E$10000,3,FALSE)</f>
        <v>STRICKLAND</v>
      </c>
      <c r="M135" s="11">
        <f t="shared" si="37"/>
        <v>3.2152777777810115E-2</v>
      </c>
      <c r="N135" s="12">
        <f t="shared" si="46"/>
        <v>46.300000000046566</v>
      </c>
      <c r="O135" s="12"/>
      <c r="P135" s="12"/>
      <c r="Q135" s="44"/>
      <c r="R135" s="44"/>
      <c r="S135" s="72">
        <f t="shared" si="44"/>
        <v>1</v>
      </c>
      <c r="T135" s="2" t="str">
        <f t="shared" si="39"/>
        <v>Southbound</v>
      </c>
      <c r="U135" s="2">
        <f>COUNTIFS(Variables!$M$2:$M$19, "&lt;=" &amp; Y135, Variables!$M$2:$M$19, "&gt;=" &amp; Z135)</f>
        <v>12</v>
      </c>
      <c r="V135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19:46:30-0600',mode:absolute,to:'2016-06-22 20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5" s="50" t="str">
        <f t="shared" si="41"/>
        <v>N</v>
      </c>
      <c r="X135" s="50">
        <f t="shared" si="42"/>
        <v>1</v>
      </c>
      <c r="Y135" s="50">
        <f t="shared" si="34"/>
        <v>23.2986</v>
      </c>
      <c r="Z135" s="50">
        <f t="shared" si="35"/>
        <v>1.67E-2</v>
      </c>
      <c r="AA135" s="50">
        <f t="shared" si="43"/>
        <v>23.2819</v>
      </c>
      <c r="AB135" s="51" t="e">
        <f>VLOOKUP(A135,Enforcements!$C$7:$J$74,8,0)</f>
        <v>#N/A</v>
      </c>
      <c r="AC135" s="51" t="e">
        <f>VLOOKUP(A135,Enforcements!$C$7:$E$74,3,0)</f>
        <v>#N/A</v>
      </c>
    </row>
    <row r="136" spans="1:29" s="2" customFormat="1" x14ac:dyDescent="0.25">
      <c r="A136" s="43" t="s">
        <v>471</v>
      </c>
      <c r="B136" s="43">
        <v>4011</v>
      </c>
      <c r="C136" s="43" t="s">
        <v>60</v>
      </c>
      <c r="D136" s="43" t="s">
        <v>318</v>
      </c>
      <c r="E136" s="25">
        <v>42543.809606481482</v>
      </c>
      <c r="F136" s="25">
        <v>42543.81050925926</v>
      </c>
      <c r="G136" s="31">
        <v>1</v>
      </c>
      <c r="H136" s="25" t="s">
        <v>472</v>
      </c>
      <c r="I136" s="25">
        <v>42543.839571759258</v>
      </c>
      <c r="J136" s="43">
        <v>2</v>
      </c>
      <c r="K136" s="43" t="str">
        <f t="shared" si="36"/>
        <v>4011/4012</v>
      </c>
      <c r="L136" s="43" t="str">
        <f>VLOOKUP(A136,'Trips&amp;Operators'!$C$1:$E$10000,3,FALSE)</f>
        <v>MAELZER</v>
      </c>
      <c r="M136" s="11">
        <f t="shared" si="37"/>
        <v>2.9062499997962732E-2</v>
      </c>
      <c r="N136" s="12">
        <f t="shared" si="46"/>
        <v>41.849999997066334</v>
      </c>
      <c r="O136" s="12"/>
      <c r="P136" s="12"/>
      <c r="Q136" s="44"/>
      <c r="R136" s="44"/>
      <c r="S136" s="72">
        <f t="shared" si="44"/>
        <v>1</v>
      </c>
      <c r="T136" s="2" t="str">
        <f t="shared" si="39"/>
        <v>NorthBound</v>
      </c>
      <c r="U136" s="2">
        <f>COUNTIFS(Variables!$M$2:$M$19, "&gt;=" &amp; Y136, Variables!$M$2:$M$19, "&lt;=" &amp; Z136)</f>
        <v>12</v>
      </c>
      <c r="V136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19:24:50-0600',mode:absolute,to:'2016-06-22 20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6" s="50" t="str">
        <f t="shared" si="41"/>
        <v>N</v>
      </c>
      <c r="X136" s="50">
        <f t="shared" si="42"/>
        <v>1</v>
      </c>
      <c r="Y136" s="50">
        <f t="shared" si="34"/>
        <v>4.6600000000000003E-2</v>
      </c>
      <c r="Z136" s="50">
        <f t="shared" si="35"/>
        <v>23.3215</v>
      </c>
      <c r="AA136" s="50">
        <f t="shared" si="43"/>
        <v>23.274899999999999</v>
      </c>
      <c r="AB136" s="51">
        <f>VLOOKUP(A136,Enforcements!$C$7:$J$74,8,0)</f>
        <v>232080</v>
      </c>
      <c r="AC136" s="51" t="str">
        <f>VLOOKUP(A136,Enforcements!$C$7:$E$74,3,0)</f>
        <v>PERMANENT SPEED RESTRICTION</v>
      </c>
    </row>
    <row r="137" spans="1:29" s="2" customFormat="1" x14ac:dyDescent="0.25">
      <c r="A137" s="43" t="s">
        <v>473</v>
      </c>
      <c r="B137" s="43">
        <v>4012</v>
      </c>
      <c r="C137" s="43" t="s">
        <v>60</v>
      </c>
      <c r="D137" s="43" t="s">
        <v>210</v>
      </c>
      <c r="E137" s="25">
        <v>42543.845682870371</v>
      </c>
      <c r="F137" s="25">
        <v>42543.846678240741</v>
      </c>
      <c r="G137" s="31">
        <v>1</v>
      </c>
      <c r="H137" s="25" t="s">
        <v>68</v>
      </c>
      <c r="I137" s="25">
        <v>42543.879293981481</v>
      </c>
      <c r="J137" s="43">
        <v>1</v>
      </c>
      <c r="K137" s="43" t="str">
        <f t="shared" si="36"/>
        <v>4011/4012</v>
      </c>
      <c r="L137" s="43" t="str">
        <f>VLOOKUP(A137,'Trips&amp;Operators'!$C$1:$E$10000,3,FALSE)</f>
        <v>MAELZER</v>
      </c>
      <c r="M137" s="11">
        <f t="shared" si="37"/>
        <v>3.2615740739856847E-2</v>
      </c>
      <c r="N137" s="12">
        <f t="shared" si="46"/>
        <v>46.966666665393859</v>
      </c>
      <c r="O137" s="12"/>
      <c r="P137" s="12"/>
      <c r="Q137" s="44"/>
      <c r="R137" s="44"/>
      <c r="S137" s="72">
        <f t="shared" si="44"/>
        <v>1</v>
      </c>
      <c r="T137" s="2" t="str">
        <f t="shared" si="39"/>
        <v>Southbound</v>
      </c>
      <c r="U137" s="2">
        <f>COUNTIFS(Variables!$M$2:$M$19, "&lt;=" &amp; Y137, Variables!$M$2:$M$19, "&gt;=" &amp; Z137)</f>
        <v>12</v>
      </c>
      <c r="V137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20:16:47-0600',mode:absolute,to:'2016-06-22 21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7" s="50" t="str">
        <f t="shared" si="41"/>
        <v>N</v>
      </c>
      <c r="X137" s="50">
        <f t="shared" si="42"/>
        <v>1</v>
      </c>
      <c r="Y137" s="50">
        <f t="shared" si="34"/>
        <v>23.294</v>
      </c>
      <c r="Z137" s="50">
        <f t="shared" si="35"/>
        <v>1.6E-2</v>
      </c>
      <c r="AA137" s="50">
        <f t="shared" si="43"/>
        <v>23.278000000000002</v>
      </c>
      <c r="AB137" s="51">
        <f>VLOOKUP(A137,Enforcements!$C$7:$J$74,8,0)</f>
        <v>1</v>
      </c>
      <c r="AC137" s="51" t="str">
        <f>VLOOKUP(A137,Enforcements!$C$7:$E$74,3,0)</f>
        <v>TRACK WARRANT AUTHORITY</v>
      </c>
    </row>
    <row r="138" spans="1:29" s="2" customFormat="1" x14ac:dyDescent="0.25">
      <c r="A138" s="43" t="s">
        <v>474</v>
      </c>
      <c r="B138" s="43">
        <v>4024</v>
      </c>
      <c r="C138" s="43" t="s">
        <v>60</v>
      </c>
      <c r="D138" s="43" t="s">
        <v>475</v>
      </c>
      <c r="E138" s="25">
        <v>42543.829479166663</v>
      </c>
      <c r="F138" s="25">
        <v>42543.830358796295</v>
      </c>
      <c r="G138" s="31">
        <v>1</v>
      </c>
      <c r="H138" s="25" t="s">
        <v>476</v>
      </c>
      <c r="I138" s="25">
        <v>42543.858449074076</v>
      </c>
      <c r="J138" s="43">
        <v>1</v>
      </c>
      <c r="K138" s="43" t="str">
        <f t="shared" si="36"/>
        <v>4023/4024</v>
      </c>
      <c r="L138" s="43" t="str">
        <f>VLOOKUP(A138,'Trips&amp;Operators'!$C$1:$E$10000,3,FALSE)</f>
        <v>ADANE</v>
      </c>
      <c r="M138" s="11">
        <f t="shared" si="37"/>
        <v>2.8090277781302575E-2</v>
      </c>
      <c r="N138" s="12">
        <f t="shared" si="46"/>
        <v>40.450000005075708</v>
      </c>
      <c r="O138" s="12"/>
      <c r="P138" s="12"/>
      <c r="Q138" s="44"/>
      <c r="R138" s="44"/>
      <c r="S138" s="72">
        <f t="shared" si="44"/>
        <v>1</v>
      </c>
      <c r="T138" s="2" t="str">
        <f t="shared" si="39"/>
        <v>NorthBound</v>
      </c>
      <c r="U138" s="2">
        <f>COUNTIFS(Variables!$M$2:$M$19, "&gt;=" &amp; Y138, Variables!$M$2:$M$19, "&lt;=" &amp; Z138)</f>
        <v>12</v>
      </c>
      <c r="V138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19:53:27-0600',mode:absolute,to:'2016-06-22 20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38" s="50" t="str">
        <f t="shared" si="41"/>
        <v>N</v>
      </c>
      <c r="X138" s="50">
        <f t="shared" si="42"/>
        <v>1</v>
      </c>
      <c r="Y138" s="50">
        <f t="shared" si="34"/>
        <v>4.7500000000000001E-2</v>
      </c>
      <c r="Z138" s="50">
        <f t="shared" si="35"/>
        <v>23.318000000000001</v>
      </c>
      <c r="AA138" s="50">
        <f t="shared" si="43"/>
        <v>23.270500000000002</v>
      </c>
      <c r="AB138" s="51" t="e">
        <f>VLOOKUP(A138,Enforcements!$C$7:$J$74,8,0)</f>
        <v>#N/A</v>
      </c>
      <c r="AC138" s="51" t="e">
        <f>VLOOKUP(A138,Enforcements!$C$7:$E$74,3,0)</f>
        <v>#N/A</v>
      </c>
    </row>
    <row r="139" spans="1:29" s="2" customFormat="1" x14ac:dyDescent="0.25">
      <c r="A139" s="43" t="s">
        <v>477</v>
      </c>
      <c r="B139" s="43">
        <v>4023</v>
      </c>
      <c r="C139" s="43" t="s">
        <v>60</v>
      </c>
      <c r="D139" s="43" t="s">
        <v>478</v>
      </c>
      <c r="E139" s="25">
        <v>42543.868495370371</v>
      </c>
      <c r="F139" s="25">
        <v>42543.869664351849</v>
      </c>
      <c r="G139" s="31">
        <v>1</v>
      </c>
      <c r="H139" s="25" t="s">
        <v>106</v>
      </c>
      <c r="I139" s="25">
        <v>42543.898726851854</v>
      </c>
      <c r="J139" s="43">
        <v>0</v>
      </c>
      <c r="K139" s="43" t="str">
        <f t="shared" si="36"/>
        <v>4023/4024</v>
      </c>
      <c r="L139" s="43" t="str">
        <f>VLOOKUP(A139,'Trips&amp;Operators'!$C$1:$E$10000,3,FALSE)</f>
        <v>ADANE</v>
      </c>
      <c r="M139" s="11">
        <f t="shared" si="37"/>
        <v>2.9062500005238689E-2</v>
      </c>
      <c r="N139" s="12">
        <f t="shared" si="46"/>
        <v>41.850000007543713</v>
      </c>
      <c r="O139" s="12"/>
      <c r="P139" s="12"/>
      <c r="Q139" s="44"/>
      <c r="R139" s="44"/>
      <c r="S139" s="72">
        <f t="shared" si="44"/>
        <v>1</v>
      </c>
      <c r="T139" s="2" t="str">
        <f t="shared" si="39"/>
        <v>Southbound</v>
      </c>
      <c r="U139" s="2">
        <f>COUNTIFS(Variables!$M$2:$M$19, "&lt;=" &amp; Y139, Variables!$M$2:$M$19, "&gt;=" &amp; Z139)</f>
        <v>12</v>
      </c>
      <c r="V139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20:49:38-0600',mode:absolute,to:'2016-06-22 21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39" s="50" t="str">
        <f t="shared" si="41"/>
        <v>N</v>
      </c>
      <c r="X139" s="50">
        <f t="shared" si="42"/>
        <v>1</v>
      </c>
      <c r="Y139" s="50">
        <f t="shared" si="34"/>
        <v>23.285699999999999</v>
      </c>
      <c r="Z139" s="50">
        <f t="shared" si="35"/>
        <v>1.61E-2</v>
      </c>
      <c r="AA139" s="50">
        <f t="shared" si="43"/>
        <v>23.269599999999997</v>
      </c>
      <c r="AB139" s="51" t="e">
        <f>VLOOKUP(A139,Enforcements!$C$7:$J$74,8,0)</f>
        <v>#N/A</v>
      </c>
      <c r="AC139" s="51" t="e">
        <f>VLOOKUP(A139,Enforcements!$C$7:$E$74,3,0)</f>
        <v>#N/A</v>
      </c>
    </row>
    <row r="140" spans="1:29" s="2" customFormat="1" x14ac:dyDescent="0.25">
      <c r="A140" s="43" t="s">
        <v>479</v>
      </c>
      <c r="B140" s="43">
        <v>4025</v>
      </c>
      <c r="C140" s="43" t="s">
        <v>60</v>
      </c>
      <c r="D140" s="43" t="s">
        <v>134</v>
      </c>
      <c r="E140" s="25">
        <v>42543.849097222221</v>
      </c>
      <c r="F140" s="25">
        <v>42543.850358796299</v>
      </c>
      <c r="G140" s="31">
        <v>1</v>
      </c>
      <c r="H140" s="25" t="s">
        <v>193</v>
      </c>
      <c r="I140" s="25">
        <v>42543.881030092591</v>
      </c>
      <c r="J140" s="43">
        <v>1</v>
      </c>
      <c r="K140" s="43" t="str">
        <f t="shared" si="36"/>
        <v>4025/4026</v>
      </c>
      <c r="L140" s="43" t="str">
        <f>VLOOKUP(A140,'Trips&amp;Operators'!$C$1:$E$10000,3,FALSE)</f>
        <v>MOSES</v>
      </c>
      <c r="M140" s="11">
        <f t="shared" si="37"/>
        <v>3.0671296291984618E-2</v>
      </c>
      <c r="N140" s="12">
        <f t="shared" si="46"/>
        <v>44.16666666045785</v>
      </c>
      <c r="O140" s="12"/>
      <c r="P140" s="12"/>
      <c r="Q140" s="44"/>
      <c r="R140" s="44"/>
      <c r="S140" s="72">
        <f t="shared" si="44"/>
        <v>1</v>
      </c>
      <c r="T140" s="2" t="str">
        <f t="shared" si="39"/>
        <v>NorthBound</v>
      </c>
      <c r="U140" s="2">
        <f>COUNTIFS(Variables!$M$2:$M$19, "&gt;=" &amp; Y140, Variables!$M$2:$M$19, "&lt;=" &amp; Z140)</f>
        <v>12</v>
      </c>
      <c r="V140" s="50" t="str">
        <f t="shared" si="40"/>
        <v>https://search-rtdc-monitor-bjffxe2xuh6vdkpspy63sjmuny.us-east-1.es.amazonaws.com/_plugin/kibana/#/discover/Steve-Slow-Train-Analysis-(2080s-and-2083s)?_g=(refreshInterval:(display:Off,section:0,value:0),time:(from:'2016-06-22 20:21:42-0600',mode:absolute,to:'2016-06-22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0" s="50" t="str">
        <f t="shared" si="41"/>
        <v>N</v>
      </c>
      <c r="X140" s="50">
        <f t="shared" si="42"/>
        <v>1</v>
      </c>
      <c r="Y140" s="50">
        <f t="shared" si="34"/>
        <v>4.6699999999999998E-2</v>
      </c>
      <c r="Z140" s="50">
        <f t="shared" si="35"/>
        <v>23.327000000000002</v>
      </c>
      <c r="AA140" s="50">
        <f t="shared" si="43"/>
        <v>23.2803</v>
      </c>
      <c r="AB140" s="51" t="e">
        <f>VLOOKUP(A140,Enforcements!$C$7:$J$74,8,0)</f>
        <v>#N/A</v>
      </c>
      <c r="AC140" s="51" t="e">
        <f>VLOOKUP(A140,Enforcements!$C$7:$E$74,3,0)</f>
        <v>#N/A</v>
      </c>
    </row>
    <row r="141" spans="1:29" s="2" customFormat="1" x14ac:dyDescent="0.25">
      <c r="A141" s="43" t="s">
        <v>480</v>
      </c>
      <c r="B141" s="43">
        <v>4026</v>
      </c>
      <c r="C141" s="43" t="s">
        <v>60</v>
      </c>
      <c r="D141" s="43" t="s">
        <v>186</v>
      </c>
      <c r="E141" s="25">
        <v>42543.888877314814</v>
      </c>
      <c r="F141" s="25">
        <v>42543.889756944445</v>
      </c>
      <c r="G141" s="31">
        <v>1</v>
      </c>
      <c r="H141" s="25" t="s">
        <v>67</v>
      </c>
      <c r="I141" s="25">
        <v>42543.922777777778</v>
      </c>
      <c r="J141" s="43">
        <v>0</v>
      </c>
      <c r="K141" s="43" t="str">
        <f t="shared" ref="K141:K158" si="47">IF(ISEVEN(B141),(B141-1)&amp;"/"&amp;B141,B141&amp;"/"&amp;(B141+1))</f>
        <v>4025/4026</v>
      </c>
      <c r="L141" s="43" t="str">
        <f>VLOOKUP(A141,'Trips&amp;Operators'!$C$1:$E$10000,3,FALSE)</f>
        <v>MOSES</v>
      </c>
      <c r="M141" s="11">
        <f t="shared" ref="M141:M158" si="48">I141-F141</f>
        <v>3.3020833332557231E-2</v>
      </c>
      <c r="N141" s="12">
        <f t="shared" si="46"/>
        <v>47.549999998882413</v>
      </c>
      <c r="O141" s="12"/>
      <c r="P141" s="12"/>
      <c r="Q141" s="44"/>
      <c r="R141" s="44"/>
      <c r="S141" s="72">
        <f t="shared" si="44"/>
        <v>1</v>
      </c>
      <c r="T141" s="2" t="str">
        <f t="shared" ref="T141:T158" si="49">IF(ISEVEN(LEFT(A141,3)),"Southbound","NorthBound")</f>
        <v>Southbound</v>
      </c>
      <c r="U141" s="2">
        <f>COUNTIFS(Variables!$M$2:$M$19, "&lt;=" &amp; Y141, Variables!$M$2:$M$19, "&gt;=" &amp; Z141)</f>
        <v>12</v>
      </c>
      <c r="V141" s="50" t="str">
        <f t="shared" ref="V141:V158" si="50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https://search-rtdc-monitor-bjffxe2xuh6vdkpspy63sjmuny.us-east-1.es.amazonaws.com/_plugin/kibana/#/discover/Steve-Slow-Train-Analysis-(2080s-and-2083s)?_g=(refreshInterval:(display:Off,section:0,value:0),time:(from:'2016-06-22 21:18:59-0600',mode:absolute,to:'2016-06-22 22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1" s="50" t="str">
        <f t="shared" ref="W141:W158" si="51">IF(AA141&lt;23,"Y","N")</f>
        <v>N</v>
      </c>
      <c r="X141" s="50">
        <f t="shared" ref="X141:X158" si="52">VALUE(LEFT(A141,3))-VALUE(LEFT(A140,3))</f>
        <v>1</v>
      </c>
      <c r="Y141" s="50">
        <f t="shared" si="34"/>
        <v>23.296700000000001</v>
      </c>
      <c r="Z141" s="50">
        <f t="shared" si="35"/>
        <v>1.47E-2</v>
      </c>
      <c r="AA141" s="50">
        <f t="shared" ref="AA141:AA158" si="53">ABS(Z141-Y141)</f>
        <v>23.282</v>
      </c>
      <c r="AB141" s="51" t="e">
        <f>VLOOKUP(A141,Enforcements!$C$7:$J$74,8,0)</f>
        <v>#N/A</v>
      </c>
      <c r="AC141" s="51" t="e">
        <f>VLOOKUP(A141,Enforcements!$C$7:$E$74,3,0)</f>
        <v>#N/A</v>
      </c>
    </row>
    <row r="142" spans="1:29" s="2" customFormat="1" x14ac:dyDescent="0.25">
      <c r="A142" s="43" t="s">
        <v>481</v>
      </c>
      <c r="B142" s="43">
        <v>4044</v>
      </c>
      <c r="C142" s="43" t="s">
        <v>60</v>
      </c>
      <c r="D142" s="43" t="s">
        <v>318</v>
      </c>
      <c r="E142" s="25">
        <v>42543.865416666667</v>
      </c>
      <c r="F142" s="25">
        <v>42543.86996527778</v>
      </c>
      <c r="G142" s="31">
        <v>6</v>
      </c>
      <c r="H142" s="25" t="s">
        <v>135</v>
      </c>
      <c r="I142" s="25">
        <v>42543.903773148151</v>
      </c>
      <c r="J142" s="43">
        <v>0</v>
      </c>
      <c r="K142" s="43" t="str">
        <f t="shared" si="47"/>
        <v>4043/4044</v>
      </c>
      <c r="L142" s="43" t="str">
        <f>VLOOKUP(A142,'Trips&amp;Operators'!$C$1:$E$10000,3,FALSE)</f>
        <v>STRICKLAND</v>
      </c>
      <c r="M142" s="11">
        <f t="shared" si="48"/>
        <v>3.3807870371674653E-2</v>
      </c>
      <c r="N142" s="12">
        <f t="shared" si="46"/>
        <v>48.683333335211501</v>
      </c>
      <c r="O142" s="12"/>
      <c r="P142" s="12"/>
      <c r="Q142" s="44"/>
      <c r="R142" s="44"/>
      <c r="S142" s="72">
        <f t="shared" si="44"/>
        <v>1</v>
      </c>
      <c r="T142" s="2" t="str">
        <f t="shared" si="49"/>
        <v>NorthBound</v>
      </c>
      <c r="U142" s="2">
        <f>COUNTIFS(Variables!$M$2:$M$19, "&gt;=" &amp; Y142, Variables!$M$2:$M$19, "&lt;=" &amp; Z142)</f>
        <v>12</v>
      </c>
      <c r="V142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20:45:12-0600',mode:absolute,to:'2016-06-22 21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2" s="50" t="str">
        <f t="shared" si="51"/>
        <v>N</v>
      </c>
      <c r="X142" s="50">
        <f t="shared" si="52"/>
        <v>1</v>
      </c>
      <c r="Y142" s="50">
        <f t="shared" si="34"/>
        <v>4.6600000000000003E-2</v>
      </c>
      <c r="Z142" s="50">
        <f t="shared" si="35"/>
        <v>23.330300000000001</v>
      </c>
      <c r="AA142" s="50">
        <f t="shared" si="53"/>
        <v>23.2837</v>
      </c>
      <c r="AB142" s="51" t="e">
        <f>VLOOKUP(A142,Enforcements!$C$7:$J$74,8,0)</f>
        <v>#N/A</v>
      </c>
      <c r="AC142" s="51" t="e">
        <f>VLOOKUP(A142,Enforcements!$C$7:$E$74,3,0)</f>
        <v>#N/A</v>
      </c>
    </row>
    <row r="143" spans="1:29" s="2" customFormat="1" x14ac:dyDescent="0.25">
      <c r="A143" s="43" t="s">
        <v>482</v>
      </c>
      <c r="B143" s="43">
        <v>4043</v>
      </c>
      <c r="C143" s="43" t="s">
        <v>60</v>
      </c>
      <c r="D143" s="43" t="s">
        <v>183</v>
      </c>
      <c r="E143" s="25">
        <v>42543.9062037037</v>
      </c>
      <c r="F143" s="25">
        <v>42543.907407407409</v>
      </c>
      <c r="G143" s="31">
        <v>1</v>
      </c>
      <c r="H143" s="25" t="s">
        <v>147</v>
      </c>
      <c r="I143" s="25">
        <v>42543.944409722222</v>
      </c>
      <c r="J143" s="43">
        <v>0</v>
      </c>
      <c r="K143" s="43" t="str">
        <f t="shared" si="47"/>
        <v>4043/4044</v>
      </c>
      <c r="L143" s="43" t="str">
        <f>VLOOKUP(A143,'Trips&amp;Operators'!$C$1:$E$10000,3,FALSE)</f>
        <v>STRICKLAND</v>
      </c>
      <c r="M143" s="11">
        <f t="shared" si="48"/>
        <v>3.7002314813435078E-2</v>
      </c>
      <c r="N143" s="12">
        <f t="shared" si="46"/>
        <v>53.283333331346512</v>
      </c>
      <c r="O143" s="12"/>
      <c r="P143" s="12"/>
      <c r="Q143" s="44"/>
      <c r="R143" s="44"/>
      <c r="S143" s="72">
        <f t="shared" si="44"/>
        <v>1</v>
      </c>
      <c r="T143" s="2" t="str">
        <f t="shared" si="49"/>
        <v>Southbound</v>
      </c>
      <c r="U143" s="2">
        <f>COUNTIFS(Variables!$M$2:$M$19, "&lt;=" &amp; Y143, Variables!$M$2:$M$19, "&gt;=" &amp; Z143)</f>
        <v>12</v>
      </c>
      <c r="V143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21:43:56-0600',mode:absolute,to:'2016-06-22 22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3" s="50" t="str">
        <f t="shared" si="51"/>
        <v>N</v>
      </c>
      <c r="X143" s="50">
        <f t="shared" si="52"/>
        <v>1</v>
      </c>
      <c r="Y143" s="50">
        <f t="shared" si="34"/>
        <v>23.298200000000001</v>
      </c>
      <c r="Z143" s="50">
        <f t="shared" si="35"/>
        <v>1.4999999999999999E-2</v>
      </c>
      <c r="AA143" s="50">
        <f t="shared" si="53"/>
        <v>23.283200000000001</v>
      </c>
      <c r="AB143" s="51" t="e">
        <f>VLOOKUP(A143,Enforcements!$C$7:$J$74,8,0)</f>
        <v>#N/A</v>
      </c>
      <c r="AC143" s="51" t="e">
        <f>VLOOKUP(A143,Enforcements!$C$7:$E$74,3,0)</f>
        <v>#N/A</v>
      </c>
    </row>
    <row r="144" spans="1:29" s="2" customFormat="1" x14ac:dyDescent="0.25">
      <c r="A144" s="68" t="s">
        <v>483</v>
      </c>
      <c r="B144" s="43">
        <v>4011</v>
      </c>
      <c r="C144" s="43" t="s">
        <v>60</v>
      </c>
      <c r="D144" s="43" t="s">
        <v>318</v>
      </c>
      <c r="E144" s="25">
        <v>42543.889097222222</v>
      </c>
      <c r="F144" s="25">
        <v>42543.889953703707</v>
      </c>
      <c r="G144" s="31">
        <v>1</v>
      </c>
      <c r="H144" s="25" t="s">
        <v>130</v>
      </c>
      <c r="I144" s="25">
        <v>42543.922384259262</v>
      </c>
      <c r="J144" s="43">
        <v>0</v>
      </c>
      <c r="K144" s="43" t="str">
        <f t="shared" si="47"/>
        <v>4011/4012</v>
      </c>
      <c r="L144" s="43" t="str">
        <f>VLOOKUP(A144,'Trips&amp;Operators'!$C$1:$E$10000,3,FALSE)</f>
        <v>MAELZER</v>
      </c>
      <c r="M144" s="11">
        <f t="shared" si="48"/>
        <v>3.2430555555038154E-2</v>
      </c>
      <c r="N144" s="12">
        <f t="shared" si="46"/>
        <v>46.699999999254942</v>
      </c>
      <c r="O144" s="12"/>
      <c r="P144" s="12"/>
      <c r="Q144" s="44"/>
      <c r="R144" s="44"/>
      <c r="S144" s="72">
        <f t="shared" si="44"/>
        <v>1</v>
      </c>
      <c r="T144" s="2" t="str">
        <f t="shared" si="49"/>
        <v>NorthBound</v>
      </c>
      <c r="U144" s="2">
        <f>COUNTIFS(Variables!$M$2:$M$19, "&gt;=" &amp; Y144, Variables!$M$2:$M$19, "&lt;=" &amp; Z144)</f>
        <v>12</v>
      </c>
      <c r="V144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21:19:18-0600',mode:absolute,to:'2016-06-22 22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4" s="50" t="str">
        <f t="shared" si="51"/>
        <v>N</v>
      </c>
      <c r="X144" s="50">
        <f t="shared" si="52"/>
        <v>1</v>
      </c>
      <c r="Y144" s="50">
        <v>4.6699999999999998E-2</v>
      </c>
      <c r="Z144" s="50">
        <v>23.2974</v>
      </c>
      <c r="AA144" s="50">
        <f t="shared" si="53"/>
        <v>23.250699999999998</v>
      </c>
      <c r="AB144" s="51" t="e">
        <f>VLOOKUP(A144,Enforcements!$C$7:$J$74,8,0)</f>
        <v>#N/A</v>
      </c>
      <c r="AC144" s="51" t="e">
        <f>VLOOKUP(A144,Enforcements!$C$7:$E$74,3,0)</f>
        <v>#N/A</v>
      </c>
    </row>
    <row r="145" spans="1:29" s="2" customFormat="1" x14ac:dyDescent="0.25">
      <c r="A145" s="43" t="s">
        <v>484</v>
      </c>
      <c r="B145" s="43">
        <v>4012</v>
      </c>
      <c r="C145" s="43" t="s">
        <v>60</v>
      </c>
      <c r="D145" s="43" t="s">
        <v>125</v>
      </c>
      <c r="E145" s="25">
        <v>42543.928680555553</v>
      </c>
      <c r="F145" s="25">
        <v>42543.929710648146</v>
      </c>
      <c r="G145" s="31">
        <v>1</v>
      </c>
      <c r="H145" s="25" t="s">
        <v>151</v>
      </c>
      <c r="I145" s="25">
        <v>42543.961840277778</v>
      </c>
      <c r="J145" s="43">
        <v>0</v>
      </c>
      <c r="K145" s="43" t="str">
        <f t="shared" si="47"/>
        <v>4011/4012</v>
      </c>
      <c r="L145" s="43" t="str">
        <f>VLOOKUP(A145,'Trips&amp;Operators'!$C$1:$E$10000,3,FALSE)</f>
        <v>MAELZER</v>
      </c>
      <c r="M145" s="11">
        <f t="shared" si="48"/>
        <v>3.2129629631526768E-2</v>
      </c>
      <c r="N145" s="12">
        <f t="shared" si="46"/>
        <v>46.266666669398546</v>
      </c>
      <c r="O145" s="12"/>
      <c r="P145" s="12"/>
      <c r="Q145" s="44"/>
      <c r="R145" s="44"/>
      <c r="S145" s="72">
        <f t="shared" si="44"/>
        <v>1</v>
      </c>
      <c r="T145" s="2" t="str">
        <f t="shared" si="49"/>
        <v>Southbound</v>
      </c>
      <c r="U145" s="2">
        <f>COUNTIFS(Variables!$M$2:$M$19, "&lt;=" &amp; Y145, Variables!$M$2:$M$19, "&gt;=" &amp; Z145)</f>
        <v>12</v>
      </c>
      <c r="V145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22:16:18-0600',mode:absolute,to:'2016-06-22 23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5" s="50" t="str">
        <f t="shared" si="51"/>
        <v>N</v>
      </c>
      <c r="X145" s="50">
        <f t="shared" si="52"/>
        <v>1</v>
      </c>
      <c r="Y145" s="50">
        <f t="shared" ref="Y145:Y158" si="54">RIGHT(D145,LEN(D145)-4)/10000</f>
        <v>23.2973</v>
      </c>
      <c r="Z145" s="50">
        <f t="shared" ref="Z145:Z158" si="55">RIGHT(H145,LEN(H145)-4)/10000</f>
        <v>1.67E-2</v>
      </c>
      <c r="AA145" s="50">
        <f t="shared" si="53"/>
        <v>23.2806</v>
      </c>
      <c r="AB145" s="51" t="e">
        <f>VLOOKUP(A145,Enforcements!$C$7:$J$74,8,0)</f>
        <v>#N/A</v>
      </c>
      <c r="AC145" s="51" t="e">
        <f>VLOOKUP(A145,Enforcements!$C$7:$E$74,3,0)</f>
        <v>#N/A</v>
      </c>
    </row>
    <row r="146" spans="1:29" s="2" customFormat="1" x14ac:dyDescent="0.25">
      <c r="A146" s="43" t="s">
        <v>485</v>
      </c>
      <c r="B146" s="43">
        <v>4024</v>
      </c>
      <c r="C146" s="43" t="s">
        <v>60</v>
      </c>
      <c r="D146" s="43" t="s">
        <v>69</v>
      </c>
      <c r="E146" s="25">
        <v>42543.912812499999</v>
      </c>
      <c r="F146" s="25">
        <v>42543.913599537038</v>
      </c>
      <c r="G146" s="31">
        <v>1</v>
      </c>
      <c r="H146" s="25" t="s">
        <v>262</v>
      </c>
      <c r="I146" s="25">
        <v>42543.942407407405</v>
      </c>
      <c r="J146" s="43">
        <v>1</v>
      </c>
      <c r="K146" s="43" t="str">
        <f t="shared" si="47"/>
        <v>4023/4024</v>
      </c>
      <c r="L146" s="43" t="str">
        <f>VLOOKUP(A146,'Trips&amp;Operators'!$C$1:$E$10000,3,FALSE)</f>
        <v>ADANE</v>
      </c>
      <c r="M146" s="11">
        <f t="shared" si="48"/>
        <v>2.880787036701804E-2</v>
      </c>
      <c r="N146" s="12">
        <f t="shared" si="46"/>
        <v>41.483333328505978</v>
      </c>
      <c r="O146" s="12"/>
      <c r="P146" s="12"/>
      <c r="Q146" s="44"/>
      <c r="R146" s="44"/>
      <c r="S146" s="72">
        <f t="shared" si="44"/>
        <v>1</v>
      </c>
      <c r="T146" s="2" t="str">
        <f t="shared" si="49"/>
        <v>NorthBound</v>
      </c>
      <c r="U146" s="2">
        <f>COUNTIFS(Variables!$M$2:$M$19, "&gt;=" &amp; Y146, Variables!$M$2:$M$19, "&lt;=" &amp; Z146)</f>
        <v>12</v>
      </c>
      <c r="V146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21:53:27-0600',mode:absolute,to:'2016-06-22 22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46" s="50" t="str">
        <f t="shared" si="51"/>
        <v>N</v>
      </c>
      <c r="X146" s="50">
        <f t="shared" si="52"/>
        <v>1</v>
      </c>
      <c r="Y146" s="50">
        <f t="shared" si="54"/>
        <v>4.5999999999999999E-2</v>
      </c>
      <c r="Z146" s="50">
        <f t="shared" si="55"/>
        <v>23.329899999999999</v>
      </c>
      <c r="AA146" s="50">
        <f t="shared" si="53"/>
        <v>23.283899999999999</v>
      </c>
      <c r="AB146" s="51">
        <f>VLOOKUP(A146,Enforcements!$C$7:$J$74,8,0)</f>
        <v>108954</v>
      </c>
      <c r="AC146" s="51" t="str">
        <f>VLOOKUP(A146,Enforcements!$C$7:$E$74,3,0)</f>
        <v>GRADE CROSSING</v>
      </c>
    </row>
    <row r="147" spans="1:29" s="2" customFormat="1" x14ac:dyDescent="0.25">
      <c r="A147" s="43" t="s">
        <v>486</v>
      </c>
      <c r="B147" s="43">
        <v>4023</v>
      </c>
      <c r="C147" s="43" t="s">
        <v>60</v>
      </c>
      <c r="D147" s="43" t="s">
        <v>183</v>
      </c>
      <c r="E147" s="25">
        <v>42543.951944444445</v>
      </c>
      <c r="F147" s="25">
        <v>42543.953263888892</v>
      </c>
      <c r="G147" s="31">
        <v>1</v>
      </c>
      <c r="H147" s="25" t="s">
        <v>84</v>
      </c>
      <c r="I147" s="25">
        <v>42543.982129629629</v>
      </c>
      <c r="J147" s="43">
        <v>0</v>
      </c>
      <c r="K147" s="43" t="str">
        <f t="shared" si="47"/>
        <v>4023/4024</v>
      </c>
      <c r="L147" s="43" t="str">
        <f>VLOOKUP(A147,'Trips&amp;Operators'!$C$1:$E$10000,3,FALSE)</f>
        <v>ADANE</v>
      </c>
      <c r="M147" s="11">
        <f t="shared" si="48"/>
        <v>2.8865740736364387E-2</v>
      </c>
      <c r="N147" s="12">
        <f t="shared" si="46"/>
        <v>41.566666660364717</v>
      </c>
      <c r="O147" s="12"/>
      <c r="P147" s="12"/>
      <c r="Q147" s="44"/>
      <c r="R147" s="44"/>
      <c r="S147" s="72">
        <f t="shared" si="44"/>
        <v>1</v>
      </c>
      <c r="T147" s="2" t="str">
        <f t="shared" si="49"/>
        <v>Southbound</v>
      </c>
      <c r="U147" s="2">
        <f>COUNTIFS(Variables!$M$2:$M$19, "&lt;=" &amp; Y147, Variables!$M$2:$M$19, "&gt;=" &amp; Z147)</f>
        <v>12</v>
      </c>
      <c r="V147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22:49:48-0600',mode:absolute,to:'2016-06-22 23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47" s="50" t="str">
        <f t="shared" si="51"/>
        <v>N</v>
      </c>
      <c r="X147" s="50">
        <f t="shared" si="52"/>
        <v>1</v>
      </c>
      <c r="Y147" s="50">
        <f t="shared" si="54"/>
        <v>23.298200000000001</v>
      </c>
      <c r="Z147" s="50">
        <f t="shared" si="55"/>
        <v>1.54E-2</v>
      </c>
      <c r="AA147" s="50">
        <f t="shared" si="53"/>
        <v>23.282800000000002</v>
      </c>
      <c r="AB147" s="51" t="e">
        <f>VLOOKUP(A147,Enforcements!$C$7:$J$74,8,0)</f>
        <v>#N/A</v>
      </c>
      <c r="AC147" s="51" t="e">
        <f>VLOOKUP(A147,Enforcements!$C$7:$E$74,3,0)</f>
        <v>#N/A</v>
      </c>
    </row>
    <row r="148" spans="1:29" s="2" customFormat="1" x14ac:dyDescent="0.25">
      <c r="A148" s="43" t="s">
        <v>487</v>
      </c>
      <c r="B148" s="43">
        <v>4025</v>
      </c>
      <c r="C148" s="43" t="s">
        <v>60</v>
      </c>
      <c r="D148" s="43" t="s">
        <v>69</v>
      </c>
      <c r="E148" s="25">
        <v>42543.932997685188</v>
      </c>
      <c r="F148" s="25">
        <v>42543.933865740742</v>
      </c>
      <c r="G148" s="31">
        <v>1</v>
      </c>
      <c r="H148" s="25" t="s">
        <v>120</v>
      </c>
      <c r="I148" s="25">
        <v>42543.962847222225</v>
      </c>
      <c r="J148" s="43">
        <v>0</v>
      </c>
      <c r="K148" s="43" t="str">
        <f t="shared" si="47"/>
        <v>4025/4026</v>
      </c>
      <c r="L148" s="43" t="str">
        <f>VLOOKUP(A148,'Trips&amp;Operators'!$C$1:$E$10000,3,FALSE)</f>
        <v>MOSES</v>
      </c>
      <c r="M148" s="11">
        <f t="shared" si="48"/>
        <v>2.8981481482333038E-2</v>
      </c>
      <c r="N148" s="12">
        <f t="shared" si="46"/>
        <v>41.733333334559575</v>
      </c>
      <c r="O148" s="12"/>
      <c r="P148" s="12"/>
      <c r="Q148" s="44"/>
      <c r="R148" s="44"/>
      <c r="S148" s="72">
        <f t="shared" si="44"/>
        <v>1</v>
      </c>
      <c r="T148" s="2" t="str">
        <f t="shared" si="49"/>
        <v>NorthBound</v>
      </c>
      <c r="U148" s="2">
        <f>COUNTIFS(Variables!$M$2:$M$19, "&gt;=" &amp; Y148, Variables!$M$2:$M$19, "&lt;=" &amp; Z148)</f>
        <v>12</v>
      </c>
      <c r="V148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22:22:31-0600',mode:absolute,to:'2016-06-22 23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8" s="50" t="str">
        <f t="shared" si="51"/>
        <v>N</v>
      </c>
      <c r="X148" s="50">
        <f t="shared" si="52"/>
        <v>1</v>
      </c>
      <c r="Y148" s="50">
        <f t="shared" si="54"/>
        <v>4.5999999999999999E-2</v>
      </c>
      <c r="Z148" s="50">
        <f t="shared" si="55"/>
        <v>23.329699999999999</v>
      </c>
      <c r="AA148" s="50">
        <f t="shared" si="53"/>
        <v>23.2837</v>
      </c>
      <c r="AB148" s="51" t="e">
        <f>VLOOKUP(A148,Enforcements!$C$7:$J$74,8,0)</f>
        <v>#N/A</v>
      </c>
      <c r="AC148" s="51" t="e">
        <f>VLOOKUP(A148,Enforcements!$C$7:$E$74,3,0)</f>
        <v>#N/A</v>
      </c>
    </row>
    <row r="149" spans="1:29" s="2" customFormat="1" x14ac:dyDescent="0.25">
      <c r="A149" s="43" t="s">
        <v>488</v>
      </c>
      <c r="B149" s="43">
        <v>4026</v>
      </c>
      <c r="C149" s="43" t="s">
        <v>60</v>
      </c>
      <c r="D149" s="43" t="s">
        <v>467</v>
      </c>
      <c r="E149" s="25">
        <v>42543.973171296297</v>
      </c>
      <c r="F149" s="25">
        <v>42543.974016203705</v>
      </c>
      <c r="G149" s="31">
        <v>1</v>
      </c>
      <c r="H149" s="25" t="s">
        <v>84</v>
      </c>
      <c r="I149" s="25">
        <v>42544.004930555559</v>
      </c>
      <c r="J149" s="43">
        <v>0</v>
      </c>
      <c r="K149" s="43" t="str">
        <f t="shared" si="47"/>
        <v>4025/4026</v>
      </c>
      <c r="L149" s="43" t="str">
        <f>VLOOKUP(A149,'Trips&amp;Operators'!$C$1:$E$10000,3,FALSE)</f>
        <v>MOSES</v>
      </c>
      <c r="M149" s="11">
        <f t="shared" si="48"/>
        <v>3.0914351853425615E-2</v>
      </c>
      <c r="N149" s="12">
        <f t="shared" si="46"/>
        <v>44.516666668932885</v>
      </c>
      <c r="O149" s="12"/>
      <c r="P149" s="12"/>
      <c r="Q149" s="44"/>
      <c r="R149" s="44"/>
      <c r="S149" s="72">
        <f t="shared" si="44"/>
        <v>1</v>
      </c>
      <c r="T149" s="2" t="str">
        <f t="shared" si="49"/>
        <v>Southbound</v>
      </c>
      <c r="U149" s="2">
        <f>COUNTIFS(Variables!$M$2:$M$19, "&lt;=" &amp; Y149, Variables!$M$2:$M$19, "&gt;=" &amp; Z149)</f>
        <v>12</v>
      </c>
      <c r="V149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23:20:22-0600',mode:absolute,to:'2016-06-23 00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9" s="50" t="str">
        <f t="shared" si="51"/>
        <v>N</v>
      </c>
      <c r="X149" s="50">
        <f t="shared" si="52"/>
        <v>1</v>
      </c>
      <c r="Y149" s="50">
        <f t="shared" si="54"/>
        <v>23.299399999999999</v>
      </c>
      <c r="Z149" s="50">
        <f t="shared" si="55"/>
        <v>1.54E-2</v>
      </c>
      <c r="AA149" s="50">
        <f t="shared" si="53"/>
        <v>23.283999999999999</v>
      </c>
      <c r="AB149" s="51" t="e">
        <f>VLOOKUP(A149,Enforcements!$C$7:$J$74,8,0)</f>
        <v>#N/A</v>
      </c>
      <c r="AC149" s="51" t="e">
        <f>VLOOKUP(A149,Enforcements!$C$7:$E$74,3,0)</f>
        <v>#N/A</v>
      </c>
    </row>
    <row r="150" spans="1:29" s="2" customFormat="1" x14ac:dyDescent="0.25">
      <c r="A150" s="43" t="s">
        <v>489</v>
      </c>
      <c r="B150" s="43">
        <v>4044</v>
      </c>
      <c r="C150" s="43" t="s">
        <v>60</v>
      </c>
      <c r="D150" s="43" t="s">
        <v>490</v>
      </c>
      <c r="E150" s="25">
        <v>42543.946736111109</v>
      </c>
      <c r="F150" s="25">
        <v>42543.947893518518</v>
      </c>
      <c r="G150" s="31">
        <v>1</v>
      </c>
      <c r="H150" s="25" t="s">
        <v>196</v>
      </c>
      <c r="I150" s="25">
        <v>42543.986759259256</v>
      </c>
      <c r="J150" s="43">
        <v>0</v>
      </c>
      <c r="K150" s="43" t="str">
        <f t="shared" si="47"/>
        <v>4043/4044</v>
      </c>
      <c r="L150" s="43" t="str">
        <f>VLOOKUP(A150,'Trips&amp;Operators'!$C$1:$E$10000,3,FALSE)</f>
        <v>STRICKLAND</v>
      </c>
      <c r="M150" s="11">
        <f t="shared" si="48"/>
        <v>3.8865740738401655E-2</v>
      </c>
      <c r="N150" s="12">
        <f t="shared" si="46"/>
        <v>55.966666663298383</v>
      </c>
      <c r="O150" s="12"/>
      <c r="P150" s="12"/>
      <c r="Q150" s="44"/>
      <c r="R150" s="44"/>
      <c r="S150" s="72">
        <f t="shared" si="44"/>
        <v>1</v>
      </c>
      <c r="T150" s="2" t="str">
        <f t="shared" si="49"/>
        <v>NorthBound</v>
      </c>
      <c r="U150" s="2">
        <f>COUNTIFS(Variables!$M$2:$M$19, "&gt;=" &amp; Y150, Variables!$M$2:$M$19, "&lt;=" &amp; Z150)</f>
        <v>12</v>
      </c>
      <c r="V150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22:42:18-0600',mode:absolute,to:'2016-06-22 23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0" s="50" t="str">
        <f t="shared" si="51"/>
        <v>N</v>
      </c>
      <c r="X150" s="50">
        <f t="shared" si="52"/>
        <v>1</v>
      </c>
      <c r="Y150" s="50">
        <f t="shared" si="54"/>
        <v>4.9299999999999997E-2</v>
      </c>
      <c r="Z150" s="50">
        <f t="shared" si="55"/>
        <v>23.328800000000001</v>
      </c>
      <c r="AA150" s="50">
        <f t="shared" si="53"/>
        <v>23.279500000000002</v>
      </c>
      <c r="AB150" s="51" t="e">
        <f>VLOOKUP(A150,Enforcements!$C$7:$J$74,8,0)</f>
        <v>#N/A</v>
      </c>
      <c r="AC150" s="51" t="e">
        <f>VLOOKUP(A150,Enforcements!$C$7:$E$74,3,0)</f>
        <v>#N/A</v>
      </c>
    </row>
    <row r="151" spans="1:29" s="2" customFormat="1" x14ac:dyDescent="0.25">
      <c r="A151" s="43" t="s">
        <v>491</v>
      </c>
      <c r="B151" s="43">
        <v>4043</v>
      </c>
      <c r="C151" s="43" t="s">
        <v>60</v>
      </c>
      <c r="D151" s="43" t="s">
        <v>148</v>
      </c>
      <c r="E151" s="25">
        <v>42543.992847222224</v>
      </c>
      <c r="F151" s="25">
        <v>42543.994386574072</v>
      </c>
      <c r="G151" s="31">
        <v>2</v>
      </c>
      <c r="H151" s="25" t="s">
        <v>77</v>
      </c>
      <c r="I151" s="25">
        <v>42544.028240740743</v>
      </c>
      <c r="J151" s="43">
        <v>0</v>
      </c>
      <c r="K151" s="43" t="str">
        <f t="shared" si="47"/>
        <v>4043/4044</v>
      </c>
      <c r="L151" s="43" t="str">
        <f>VLOOKUP(A151,'Trips&amp;Operators'!$C$1:$E$10000,3,FALSE)</f>
        <v>STRICKLAND</v>
      </c>
      <c r="M151" s="11">
        <f t="shared" si="48"/>
        <v>3.3854166671517305E-2</v>
      </c>
      <c r="N151" s="12">
        <f t="shared" si="46"/>
        <v>48.750000006984919</v>
      </c>
      <c r="O151" s="12"/>
      <c r="P151" s="12"/>
      <c r="Q151" s="44"/>
      <c r="R151" s="44"/>
      <c r="S151" s="72">
        <f t="shared" si="44"/>
        <v>1</v>
      </c>
      <c r="T151" s="2" t="str">
        <f t="shared" si="49"/>
        <v>Southbound</v>
      </c>
      <c r="U151" s="2">
        <f>COUNTIFS(Variables!$M$2:$M$19, "&lt;=" &amp; Y151, Variables!$M$2:$M$19, "&gt;=" &amp; Z151)</f>
        <v>12</v>
      </c>
      <c r="V151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23:48:42-0600',mode:absolute,to:'2016-06-23 00:41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1" s="50" t="str">
        <f t="shared" si="51"/>
        <v>N</v>
      </c>
      <c r="X151" s="50">
        <f t="shared" si="52"/>
        <v>1</v>
      </c>
      <c r="Y151" s="50">
        <f t="shared" si="54"/>
        <v>23.2986</v>
      </c>
      <c r="Z151" s="50">
        <f t="shared" si="55"/>
        <v>1.5599999999999999E-2</v>
      </c>
      <c r="AA151" s="50">
        <f t="shared" si="53"/>
        <v>23.283000000000001</v>
      </c>
      <c r="AB151" s="51" t="e">
        <f>VLOOKUP(A151,Enforcements!$C$7:$J$74,8,0)</f>
        <v>#N/A</v>
      </c>
      <c r="AC151" s="51" t="e">
        <f>VLOOKUP(A151,Enforcements!$C$7:$E$74,3,0)</f>
        <v>#N/A</v>
      </c>
    </row>
    <row r="152" spans="1:29" s="2" customFormat="1" x14ac:dyDescent="0.25">
      <c r="A152" s="43" t="s">
        <v>492</v>
      </c>
      <c r="B152" s="43">
        <v>4011</v>
      </c>
      <c r="C152" s="43" t="s">
        <v>60</v>
      </c>
      <c r="D152" s="43" t="s">
        <v>74</v>
      </c>
      <c r="E152" s="25">
        <v>42543.973935185182</v>
      </c>
      <c r="F152" s="25">
        <v>42543.978125000001</v>
      </c>
      <c r="G152" s="31">
        <v>6</v>
      </c>
      <c r="H152" s="25" t="s">
        <v>494</v>
      </c>
      <c r="I152" s="25">
        <v>42543.979895833334</v>
      </c>
      <c r="J152" s="43">
        <v>0</v>
      </c>
      <c r="K152" s="43" t="str">
        <f t="shared" si="47"/>
        <v>4011/4012</v>
      </c>
      <c r="L152" s="43" t="str">
        <f>VLOOKUP(A152,'Trips&amp;Operators'!$C$1:$E$10000,3,FALSE)</f>
        <v>MAELZER</v>
      </c>
      <c r="M152" s="11">
        <f t="shared" si="48"/>
        <v>1.7708333325572312E-3</v>
      </c>
      <c r="N152" s="12"/>
      <c r="O152" s="12"/>
      <c r="P152" s="12">
        <v>3</v>
      </c>
      <c r="Q152" s="44"/>
      <c r="R152" s="44" t="s">
        <v>257</v>
      </c>
      <c r="S152" s="72">
        <f>SUM(U152:U153)/12</f>
        <v>1</v>
      </c>
      <c r="T152" s="2" t="str">
        <f t="shared" si="49"/>
        <v>NorthBound</v>
      </c>
      <c r="U152" s="2">
        <f>COUNTIFS(Variables!$M$2:$M$19, "&gt;=" &amp; Y152, Variables!$M$2:$M$19, "&lt;=" &amp; Z152)</f>
        <v>0</v>
      </c>
      <c r="V152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23:21:28-0600',mode:absolute,to:'2016-06-22 23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2" s="50" t="str">
        <f t="shared" si="51"/>
        <v>Y</v>
      </c>
      <c r="X152" s="50">
        <f t="shared" si="52"/>
        <v>1</v>
      </c>
      <c r="Y152" s="50">
        <f t="shared" si="54"/>
        <v>4.5699999999999998E-2</v>
      </c>
      <c r="Z152" s="50">
        <f t="shared" si="55"/>
        <v>0.12659999999999999</v>
      </c>
      <c r="AA152" s="50">
        <f t="shared" si="53"/>
        <v>8.09E-2</v>
      </c>
      <c r="AB152" s="51" t="e">
        <f>VLOOKUP(A152,Enforcements!$C$7:$J$74,8,0)</f>
        <v>#N/A</v>
      </c>
      <c r="AC152" s="51" t="e">
        <f>VLOOKUP(A152,Enforcements!$C$7:$E$74,3,0)</f>
        <v>#N/A</v>
      </c>
    </row>
    <row r="153" spans="1:29" s="2" customFormat="1" x14ac:dyDescent="0.25">
      <c r="A153" s="43" t="s">
        <v>492</v>
      </c>
      <c r="B153" s="43">
        <v>4011</v>
      </c>
      <c r="C153" s="43" t="s">
        <v>60</v>
      </c>
      <c r="D153" s="43" t="s">
        <v>493</v>
      </c>
      <c r="E153" s="25">
        <v>42543.983831018515</v>
      </c>
      <c r="F153" s="25">
        <v>42543.984594907408</v>
      </c>
      <c r="G153" s="31">
        <v>1</v>
      </c>
      <c r="H153" s="25" t="s">
        <v>130</v>
      </c>
      <c r="I153" s="25">
        <v>42544.0078587963</v>
      </c>
      <c r="J153" s="43">
        <v>0</v>
      </c>
      <c r="K153" s="43" t="str">
        <f t="shared" si="47"/>
        <v>4011/4012</v>
      </c>
      <c r="L153" s="43" t="str">
        <f>VLOOKUP(A153,'Trips&amp;Operators'!$C$1:$E$10000,3,FALSE)</f>
        <v>MAELZER</v>
      </c>
      <c r="M153" s="11">
        <f t="shared" si="48"/>
        <v>2.326388889196096E-2</v>
      </c>
      <c r="N153" s="12"/>
      <c r="O153" s="12"/>
      <c r="P153" s="12"/>
      <c r="Q153" s="44"/>
      <c r="R153" s="44"/>
      <c r="S153" s="72"/>
      <c r="T153" s="2" t="str">
        <f t="shared" si="49"/>
        <v>NorthBound</v>
      </c>
      <c r="U153" s="2">
        <f>COUNTIFS(Variables!$M$2:$M$19, "&gt;=" &amp; Y153, Variables!$M$2:$M$19, "&lt;=" &amp; Z153)</f>
        <v>12</v>
      </c>
      <c r="V153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23:35:43-0600',mode:absolute,to:'2016-06-23 00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3" s="50" t="str">
        <f t="shared" si="51"/>
        <v>Y</v>
      </c>
      <c r="X153" s="50">
        <f t="shared" si="52"/>
        <v>0</v>
      </c>
      <c r="Y153" s="50">
        <f t="shared" si="54"/>
        <v>1.9113</v>
      </c>
      <c r="Z153" s="50">
        <f t="shared" si="55"/>
        <v>23.3291</v>
      </c>
      <c r="AA153" s="50">
        <f t="shared" si="53"/>
        <v>21.4178</v>
      </c>
      <c r="AB153" s="51" t="e">
        <f>VLOOKUP(A153,Enforcements!$C$7:$J$74,8,0)</f>
        <v>#N/A</v>
      </c>
      <c r="AC153" s="51" t="e">
        <f>VLOOKUP(A153,Enforcements!$C$7:$E$74,3,0)</f>
        <v>#N/A</v>
      </c>
    </row>
    <row r="154" spans="1:29" s="2" customFormat="1" x14ac:dyDescent="0.25">
      <c r="A154" s="43" t="s">
        <v>495</v>
      </c>
      <c r="B154" s="43">
        <v>4012</v>
      </c>
      <c r="C154" s="43" t="s">
        <v>60</v>
      </c>
      <c r="D154" s="43" t="s">
        <v>186</v>
      </c>
      <c r="E154" s="25">
        <v>42544.013657407406</v>
      </c>
      <c r="F154" s="25">
        <v>42544.014745370368</v>
      </c>
      <c r="G154" s="31">
        <v>1</v>
      </c>
      <c r="H154" s="25" t="s">
        <v>106</v>
      </c>
      <c r="I154" s="25">
        <v>42544.046678240738</v>
      </c>
      <c r="J154" s="43">
        <v>2</v>
      </c>
      <c r="K154" s="43" t="str">
        <f t="shared" si="47"/>
        <v>4011/4012</v>
      </c>
      <c r="L154" s="43" t="str">
        <f>VLOOKUP(A154,'Trips&amp;Operators'!$C$1:$E$10000,3,FALSE)</f>
        <v>MAELZER</v>
      </c>
      <c r="M154" s="11">
        <f t="shared" si="48"/>
        <v>3.1932870369928423E-2</v>
      </c>
      <c r="N154" s="12">
        <f>24*60*SUM($M154:$M154)</f>
        <v>45.98333333269693</v>
      </c>
      <c r="O154" s="12"/>
      <c r="P154" s="12"/>
      <c r="Q154" s="44"/>
      <c r="R154" s="44"/>
      <c r="S154" s="72">
        <f>SUM(U154:U154)/12</f>
        <v>1</v>
      </c>
      <c r="T154" s="2" t="str">
        <f t="shared" si="49"/>
        <v>Southbound</v>
      </c>
      <c r="U154" s="2">
        <f>COUNTIFS(Variables!$M$2:$M$19, "&lt;=" &amp; Y154, Variables!$M$2:$M$19, "&gt;=" &amp; Z154)</f>
        <v>12</v>
      </c>
      <c r="V154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https://search-rtdc-monitor-bjffxe2xuh6vdkpspy63sjmuny.us-east-1.es.amazonaws.com/_plugin/kibana/#/discover/Steve-Slow-Train-Analysis-(2080s-and-2083s)?_g=(refreshInterval:(display:Off,section:0,value:0),time:(from:'2016-06-23 00:18:40-0600',mode:absolute,to:'2016-06-23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4" s="50" t="str">
        <f t="shared" si="51"/>
        <v>N</v>
      </c>
      <c r="X154" s="50">
        <f t="shared" si="52"/>
        <v>1</v>
      </c>
      <c r="Y154" s="50">
        <f t="shared" si="54"/>
        <v>23.296700000000001</v>
      </c>
      <c r="Z154" s="50">
        <f t="shared" si="55"/>
        <v>1.61E-2</v>
      </c>
      <c r="AA154" s="50">
        <f t="shared" si="53"/>
        <v>23.2806</v>
      </c>
      <c r="AB154" s="51">
        <f>VLOOKUP(A154,Enforcements!$C$7:$J$74,8,0)</f>
        <v>229055</v>
      </c>
      <c r="AC154" s="51" t="str">
        <f>VLOOKUP(A154,Enforcements!$C$7:$E$74,3,0)</f>
        <v>PERMANENT SPEED RESTRICTION</v>
      </c>
    </row>
    <row r="155" spans="1:29" s="2" customFormat="1" x14ac:dyDescent="0.25">
      <c r="A155" s="43" t="s">
        <v>496</v>
      </c>
      <c r="B155" s="43">
        <v>4024</v>
      </c>
      <c r="C155" s="43" t="s">
        <v>60</v>
      </c>
      <c r="D155" s="43" t="s">
        <v>206</v>
      </c>
      <c r="E155" s="25">
        <v>42543.997499999998</v>
      </c>
      <c r="F155" s="25">
        <v>42543.998287037037</v>
      </c>
      <c r="G155" s="31">
        <v>1</v>
      </c>
      <c r="H155" s="25" t="s">
        <v>119</v>
      </c>
      <c r="I155" s="25">
        <v>42544.025277777779</v>
      </c>
      <c r="J155" s="43">
        <v>0</v>
      </c>
      <c r="K155" s="43" t="str">
        <f t="shared" si="47"/>
        <v>4023/4024</v>
      </c>
      <c r="L155" s="43" t="str">
        <f>VLOOKUP(A155,'Trips&amp;Operators'!$C$1:$E$10000,3,FALSE)</f>
        <v>ADANE</v>
      </c>
      <c r="M155" s="11">
        <f t="shared" si="48"/>
        <v>2.6990740741894115E-2</v>
      </c>
      <c r="N155" s="12">
        <f>24*60*SUM($M155:$M155)</f>
        <v>38.866666668327525</v>
      </c>
      <c r="O155" s="12"/>
      <c r="P155" s="12"/>
      <c r="Q155" s="44"/>
      <c r="R155" s="44"/>
      <c r="S155" s="72">
        <f>SUM(U155:U155)/12</f>
        <v>1</v>
      </c>
      <c r="T155" s="2" t="str">
        <f t="shared" si="49"/>
        <v>NorthBound</v>
      </c>
      <c r="U155" s="2">
        <f>COUNTIFS(Variables!$M$2:$M$19, "&gt;=" &amp; Y155, Variables!$M$2:$M$19, "&lt;=" &amp; Z155)</f>
        <v>12</v>
      </c>
      <c r="V155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https://search-rtdc-monitor-bjffxe2xuh6vdkpspy63sjmuny.us-east-1.es.amazonaws.com/_plugin/kibana/#/discover/Steve-Slow-Train-Analysis-(2080s-and-2083s)?_g=(refreshInterval:(display:Off,section:0,value:0),time:(from:'2016-06-22 23:55:24-0600',mode:absolute,to:'2016-06-23 00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55" s="50" t="str">
        <f t="shared" si="51"/>
        <v>N</v>
      </c>
      <c r="X155" s="50">
        <f t="shared" si="52"/>
        <v>1</v>
      </c>
      <c r="Y155" s="50">
        <f t="shared" si="54"/>
        <v>4.7300000000000002E-2</v>
      </c>
      <c r="Z155" s="50">
        <f t="shared" si="55"/>
        <v>23.3309</v>
      </c>
      <c r="AA155" s="50">
        <f t="shared" si="53"/>
        <v>23.2836</v>
      </c>
      <c r="AB155" s="51" t="e">
        <f>VLOOKUP(A155,Enforcements!$C$7:$J$74,8,0)</f>
        <v>#N/A</v>
      </c>
      <c r="AC155" s="51" t="e">
        <f>VLOOKUP(A155,Enforcements!$C$7:$E$74,3,0)</f>
        <v>#N/A</v>
      </c>
    </row>
    <row r="156" spans="1:29" s="2" customFormat="1" x14ac:dyDescent="0.25">
      <c r="A156" s="43" t="s">
        <v>497</v>
      </c>
      <c r="B156" s="43">
        <v>4023</v>
      </c>
      <c r="C156" s="43" t="s">
        <v>60</v>
      </c>
      <c r="D156" s="43" t="s">
        <v>498</v>
      </c>
      <c r="E156" s="25">
        <v>42544.036238425928</v>
      </c>
      <c r="F156" s="25">
        <v>42544.037210648145</v>
      </c>
      <c r="G156" s="31">
        <v>1</v>
      </c>
      <c r="H156" s="25" t="s">
        <v>68</v>
      </c>
      <c r="I156" s="25">
        <v>42544.066678240742</v>
      </c>
      <c r="J156" s="43">
        <v>1</v>
      </c>
      <c r="K156" s="43" t="str">
        <f t="shared" si="47"/>
        <v>4023/4024</v>
      </c>
      <c r="L156" s="43" t="str">
        <f>VLOOKUP(A156,'Trips&amp;Operators'!$C$1:$E$10000,3,FALSE)</f>
        <v>ADANE</v>
      </c>
      <c r="M156" s="11">
        <f t="shared" si="48"/>
        <v>2.9467592597939074E-2</v>
      </c>
      <c r="N156" s="12">
        <f>24*60*SUM($M156:$M156)</f>
        <v>42.433333341032267</v>
      </c>
      <c r="O156" s="12"/>
      <c r="P156" s="12"/>
      <c r="Q156" s="44"/>
      <c r="R156" s="44"/>
      <c r="S156" s="72">
        <f>SUM(U156:U156)/12</f>
        <v>1</v>
      </c>
      <c r="T156" s="2" t="str">
        <f t="shared" si="49"/>
        <v>Southbound</v>
      </c>
      <c r="U156" s="2">
        <f>COUNTIFS(Variables!$M$2:$M$19, "&lt;=" &amp; Y156, Variables!$M$2:$M$19, "&gt;=" &amp; Z156)</f>
        <v>12</v>
      </c>
      <c r="V156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https://search-rtdc-monitor-bjffxe2xuh6vdkpspy63sjmuny.us-east-1.es.amazonaws.com/_plugin/kibana/#/discover/Steve-Slow-Train-Analysis-(2080s-and-2083s)?_g=(refreshInterval:(display:Off,section:0,value:0),time:(from:'2016-06-23 00:51:11-0600',mode:absolute,to:'2016-06-23 01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56" s="50" t="str">
        <f t="shared" si="51"/>
        <v>N</v>
      </c>
      <c r="X156" s="50">
        <f t="shared" si="52"/>
        <v>1</v>
      </c>
      <c r="Y156" s="50">
        <f t="shared" si="54"/>
        <v>23.299199999999999</v>
      </c>
      <c r="Z156" s="50">
        <f t="shared" si="55"/>
        <v>1.6E-2</v>
      </c>
      <c r="AA156" s="50">
        <f t="shared" si="53"/>
        <v>23.283200000000001</v>
      </c>
      <c r="AB156" s="51">
        <f>VLOOKUP(A156,Enforcements!$C$7:$J$74,8,0)</f>
        <v>228668</v>
      </c>
      <c r="AC156" s="51" t="str">
        <f>VLOOKUP(A156,Enforcements!$C$7:$E$74,3,0)</f>
        <v>PERMANENT SPEED RESTRICTION</v>
      </c>
    </row>
    <row r="157" spans="1:29" s="2" customFormat="1" x14ac:dyDescent="0.25">
      <c r="A157" s="43" t="s">
        <v>499</v>
      </c>
      <c r="B157" s="43">
        <v>4025</v>
      </c>
      <c r="C157" s="43" t="s">
        <v>60</v>
      </c>
      <c r="D157" s="43" t="s">
        <v>95</v>
      </c>
      <c r="E157" s="25">
        <v>42544.017280092594</v>
      </c>
      <c r="F157" s="25">
        <v>42544.018275462964</v>
      </c>
      <c r="G157" s="31">
        <v>1</v>
      </c>
      <c r="H157" s="25" t="s">
        <v>500</v>
      </c>
      <c r="I157" s="25">
        <v>42544.048379629632</v>
      </c>
      <c r="J157" s="43">
        <v>1</v>
      </c>
      <c r="K157" s="43" t="str">
        <f t="shared" si="47"/>
        <v>4025/4026</v>
      </c>
      <c r="L157" s="43" t="str">
        <f>VLOOKUP(A157,'Trips&amp;Operators'!$C$1:$E$10000,3,FALSE)</f>
        <v>MOSES</v>
      </c>
      <c r="M157" s="11">
        <f t="shared" si="48"/>
        <v>3.0104166668024845E-2</v>
      </c>
      <c r="N157" s="12">
        <f>24*60*SUM($M157:$M157)</f>
        <v>43.350000001955777</v>
      </c>
      <c r="O157" s="12"/>
      <c r="P157" s="12"/>
      <c r="Q157" s="44"/>
      <c r="R157" s="44"/>
      <c r="S157" s="72">
        <f>SUM(U157:U157)/12</f>
        <v>1</v>
      </c>
      <c r="T157" s="2" t="str">
        <f t="shared" si="49"/>
        <v>NorthBound</v>
      </c>
      <c r="U157" s="2">
        <f>COUNTIFS(Variables!$M$2:$M$19, "&gt;=" &amp; Y157, Variables!$M$2:$M$19, "&lt;=" &amp; Z157)</f>
        <v>12</v>
      </c>
      <c r="V157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https://search-rtdc-monitor-bjffxe2xuh6vdkpspy63sjmuny.us-east-1.es.amazonaws.com/_plugin/kibana/#/discover/Steve-Slow-Train-Analysis-(2080s-and-2083s)?_g=(refreshInterval:(display:Off,section:0,value:0),time:(from:'2016-06-23 00:23:53-0600',mode:absolute,to:'2016-06-23 01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7" s="50" t="str">
        <f t="shared" si="51"/>
        <v>N</v>
      </c>
      <c r="X157" s="50">
        <f t="shared" si="52"/>
        <v>1</v>
      </c>
      <c r="Y157" s="50">
        <f t="shared" si="54"/>
        <v>4.6399999999999997E-2</v>
      </c>
      <c r="Z157" s="50">
        <f t="shared" si="55"/>
        <v>23.308</v>
      </c>
      <c r="AA157" s="50">
        <f t="shared" si="53"/>
        <v>23.261600000000001</v>
      </c>
      <c r="AB157" s="51" t="e">
        <f>VLOOKUP(A157,Enforcements!$C$7:$J$74,8,0)</f>
        <v>#N/A</v>
      </c>
      <c r="AC157" s="51" t="e">
        <f>VLOOKUP(A157,Enforcements!$C$7:$E$74,3,0)</f>
        <v>#N/A</v>
      </c>
    </row>
    <row r="158" spans="1:29" s="2" customFormat="1" x14ac:dyDescent="0.25">
      <c r="A158" s="43" t="s">
        <v>501</v>
      </c>
      <c r="B158" s="43">
        <v>4026</v>
      </c>
      <c r="C158" s="43" t="s">
        <v>60</v>
      </c>
      <c r="D158" s="43" t="s">
        <v>502</v>
      </c>
      <c r="E158" s="25">
        <v>42544.056967592594</v>
      </c>
      <c r="F158" s="25">
        <v>42544.057824074072</v>
      </c>
      <c r="G158" s="31">
        <v>1</v>
      </c>
      <c r="H158" s="25" t="s">
        <v>339</v>
      </c>
      <c r="I158" s="25">
        <v>42544.085462962961</v>
      </c>
      <c r="J158" s="43">
        <v>0</v>
      </c>
      <c r="K158" s="43" t="str">
        <f t="shared" si="47"/>
        <v>4025/4026</v>
      </c>
      <c r="L158" s="43" t="str">
        <f>VLOOKUP(A158,'Trips&amp;Operators'!$C$1:$E$10000,3,FALSE)</f>
        <v>MOSES</v>
      </c>
      <c r="M158" s="11">
        <f t="shared" si="48"/>
        <v>2.7638888888759539E-2</v>
      </c>
      <c r="N158" s="12">
        <f>24*60*SUM($M158:$M158)</f>
        <v>39.799999999813735</v>
      </c>
      <c r="O158" s="12"/>
      <c r="P158" s="12"/>
      <c r="Q158" s="44"/>
      <c r="R158" s="44"/>
      <c r="S158" s="72">
        <f>SUM(U158:U158)/12</f>
        <v>1</v>
      </c>
      <c r="T158" s="2" t="str">
        <f t="shared" si="49"/>
        <v>Southbound</v>
      </c>
      <c r="U158" s="2">
        <f>COUNTIFS(Variables!$M$2:$M$19, "&lt;=" &amp; Y158, Variables!$M$2:$M$19, "&gt;=" &amp; Z158)</f>
        <v>12</v>
      </c>
      <c r="V158" s="50" t="str">
        <f t="shared" si="50"/>
        <v>https://search-rtdc-monitor-bjffxe2xuh6vdkpspy63sjmuny.us-east-1.es.amazonaws.com/_plugin/kibana/#/discover/Steve-Slow-Train-Analysis-(2080s-and-2083s)?_g=(refreshInterval:(display:Off,section:0,value:0),time:(from:'2016-06-23 01:21:02-0600',mode:absolute,to:'2016-06-23 02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8" s="50" t="str">
        <f t="shared" si="51"/>
        <v>N</v>
      </c>
      <c r="X158" s="50">
        <f t="shared" si="52"/>
        <v>1</v>
      </c>
      <c r="Y158" s="50">
        <f t="shared" si="54"/>
        <v>23.2761</v>
      </c>
      <c r="Z158" s="50">
        <f t="shared" si="55"/>
        <v>1.6500000000000001E-2</v>
      </c>
      <c r="AA158" s="50">
        <f t="shared" si="53"/>
        <v>23.259599999999999</v>
      </c>
      <c r="AB158" s="51" t="e">
        <f>VLOOKUP(A158,Enforcements!$C$7:$J$74,8,0)</f>
        <v>#N/A</v>
      </c>
      <c r="AC158" s="51" t="e">
        <f>VLOOKUP(A158,Enforcements!$C$7:$E$74,3,0)</f>
        <v>#N/A</v>
      </c>
    </row>
    <row r="159" spans="1:29" s="2" customFormat="1" x14ac:dyDescent="0.25"/>
    <row r="160" spans="1:29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2" s="2" customFormat="1" x14ac:dyDescent="0.25"/>
  </sheetData>
  <autoFilter ref="A12:AC154">
    <sortState ref="A13:AC158">
      <sortCondition ref="R12:R154"/>
    </sortState>
  </autoFilter>
  <sortState ref="A13:AC158">
    <sortCondition ref="A13:A158"/>
    <sortCondition ref="F13:F158"/>
  </sortState>
  <mergeCells count="4">
    <mergeCell ref="A11:P11"/>
    <mergeCell ref="I2:J2"/>
    <mergeCell ref="M2:O2"/>
    <mergeCell ref="I3:J3"/>
  </mergeCells>
  <conditionalFormatting sqref="W11:W12 W188:X1048576 W13:X158">
    <cfRule type="cellIs" dxfId="11" priority="69" operator="equal">
      <formula>"Y"</formula>
    </cfRule>
  </conditionalFormatting>
  <conditionalFormatting sqref="X188:X1048576 X13:X158">
    <cfRule type="cellIs" dxfId="10" priority="52" operator="greaterThan">
      <formula>1</formula>
    </cfRule>
  </conditionalFormatting>
  <conditionalFormatting sqref="X188:X1048576 X12:X158">
    <cfRule type="cellIs" dxfId="9" priority="49" operator="equal">
      <formula>0</formula>
    </cfRule>
  </conditionalFormatting>
  <conditionalFormatting sqref="B151:M153 A13:S13 A14:M150 A154:M158 N14:S158">
    <cfRule type="expression" dxfId="8" priority="45">
      <formula>$O13&gt;0</formula>
    </cfRule>
  </conditionalFormatting>
  <conditionalFormatting sqref="A13:S158">
    <cfRule type="expression" dxfId="7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B151:M153 A13:S13 A14:M150 A154:M158 N14:S158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showGridLines="0" topLeftCell="A7" zoomScale="85" zoomScaleNormal="85" workbookViewId="0">
      <selection activeCell="N41" sqref="N41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7"/>
  </cols>
  <sheetData>
    <row r="1" spans="1:17" s="42" customFormat="1" ht="15.75" thickBot="1" x14ac:dyDescent="0.3">
      <c r="A1" s="13"/>
      <c r="P1" s="57"/>
    </row>
    <row r="2" spans="1:17" s="42" customFormat="1" ht="30" x14ac:dyDescent="0.25">
      <c r="A2" s="13"/>
      <c r="K2" s="76" t="s">
        <v>258</v>
      </c>
      <c r="L2" s="77"/>
      <c r="M2" s="78">
        <f>COUNTIF($M$7:$M$967,"=Y")</f>
        <v>6</v>
      </c>
      <c r="P2" s="57"/>
    </row>
    <row r="3" spans="1:17" s="42" customFormat="1" ht="15.75" thickBot="1" x14ac:dyDescent="0.3">
      <c r="A3" s="13"/>
      <c r="K3" s="79" t="s">
        <v>259</v>
      </c>
      <c r="L3" s="80"/>
      <c r="M3" s="81">
        <f>COUNTA($M$7:$M$967)-M2</f>
        <v>67</v>
      </c>
      <c r="P3" s="57"/>
    </row>
    <row r="4" spans="1:17" s="42" customFormat="1" x14ac:dyDescent="0.25">
      <c r="A4" s="13"/>
      <c r="P4" s="57"/>
    </row>
    <row r="5" spans="1:17" s="21" customFormat="1" ht="15" customHeight="1" x14ac:dyDescent="0.25">
      <c r="A5" s="90" t="str">
        <f>"Eagle P3 Braking Events - "&amp;TEXT(Variables!$A$2,"YYYY-mm-dd")</f>
        <v>Eagle P3 Braking Events - 2016-06-22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22"/>
      <c r="P5" s="55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8" t="s">
        <v>73</v>
      </c>
    </row>
    <row r="7" spans="1:17" s="2" customFormat="1" x14ac:dyDescent="0.25">
      <c r="A7" s="18">
        <v>42543.369479166664</v>
      </c>
      <c r="B7" s="17" t="s">
        <v>124</v>
      </c>
      <c r="C7" s="17" t="s">
        <v>325</v>
      </c>
      <c r="D7" s="17" t="s">
        <v>50</v>
      </c>
      <c r="E7" s="17" t="s">
        <v>79</v>
      </c>
      <c r="F7" s="17">
        <v>150</v>
      </c>
      <c r="G7" s="17">
        <v>165</v>
      </c>
      <c r="H7" s="17">
        <v>63583</v>
      </c>
      <c r="I7" s="17" t="s">
        <v>80</v>
      </c>
      <c r="J7" s="17">
        <v>63309</v>
      </c>
      <c r="K7" s="16" t="s">
        <v>54</v>
      </c>
      <c r="L7" s="16" t="str">
        <f>VLOOKUP(C7,'Trips&amp;Operators'!$C$2:$E$10000,3,FALSE)</f>
        <v>STARKS</v>
      </c>
      <c r="M7" s="15" t="s">
        <v>252</v>
      </c>
      <c r="N7" s="16"/>
      <c r="P7" s="56" t="str">
        <f>VLOOKUP(C7,'Train Runs'!$A$13:$V$264,22,0)</f>
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7" s="14" t="str">
        <f t="shared" ref="Q7:Q11" si="0">MID(B7,13,4)</f>
        <v>4012</v>
      </c>
    </row>
    <row r="8" spans="1:17" s="2" customFormat="1" x14ac:dyDescent="0.25">
      <c r="A8" s="18">
        <v>42543.536631944444</v>
      </c>
      <c r="B8" s="17" t="s">
        <v>246</v>
      </c>
      <c r="C8" s="17" t="s">
        <v>393</v>
      </c>
      <c r="D8" s="17" t="s">
        <v>50</v>
      </c>
      <c r="E8" s="17" t="s">
        <v>79</v>
      </c>
      <c r="F8" s="17">
        <v>0</v>
      </c>
      <c r="G8" s="17">
        <v>296</v>
      </c>
      <c r="H8" s="17">
        <v>61483</v>
      </c>
      <c r="I8" s="17" t="s">
        <v>80</v>
      </c>
      <c r="J8" s="17">
        <v>63068</v>
      </c>
      <c r="K8" s="16" t="s">
        <v>53</v>
      </c>
      <c r="L8" s="16" t="str">
        <f>VLOOKUP(C8,'Trips&amp;Operators'!$C$2:$E$10000,3,FALSE)</f>
        <v>RIVERA</v>
      </c>
      <c r="M8" s="15" t="s">
        <v>252</v>
      </c>
      <c r="N8" s="16" t="s">
        <v>255</v>
      </c>
      <c r="P8" s="56" t="str">
        <f>VLOOKUP(C8,'Train Runs'!$A$13:$V$264,22,0)</f>
        <v>https://search-rtdc-monitor-bjffxe2xuh6vdkpspy63sjmuny.us-east-1.es.amazonaws.com/_plugin/kibana/#/discover/Steve-Slow-Train-Analysis-(2080s-and-2083s)?_g=(refreshInterval:(display:Off,section:0,value:0),time:(from:'2016-06-22 12:29:49-0600',mode:absolute,to:'2016-06-22 13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8" s="14" t="str">
        <f t="shared" si="0"/>
        <v>4027</v>
      </c>
    </row>
    <row r="9" spans="1:17" s="2" customFormat="1" x14ac:dyDescent="0.25">
      <c r="A9" s="18">
        <v>42543.757627314815</v>
      </c>
      <c r="B9" s="17" t="s">
        <v>530</v>
      </c>
      <c r="C9" s="17" t="s">
        <v>447</v>
      </c>
      <c r="D9" s="17" t="s">
        <v>50</v>
      </c>
      <c r="E9" s="17" t="s">
        <v>79</v>
      </c>
      <c r="F9" s="17">
        <v>60</v>
      </c>
      <c r="G9" s="17">
        <v>140</v>
      </c>
      <c r="H9" s="17">
        <v>63864</v>
      </c>
      <c r="I9" s="17" t="s">
        <v>80</v>
      </c>
      <c r="J9" s="17">
        <v>63309</v>
      </c>
      <c r="K9" s="16" t="s">
        <v>54</v>
      </c>
      <c r="L9" s="16" t="str">
        <f>VLOOKUP(C9,'Trips&amp;Operators'!$C$2:$E$10000,3,FALSE)</f>
        <v>BONDS</v>
      </c>
      <c r="M9" s="15" t="s">
        <v>252</v>
      </c>
      <c r="N9" s="16" t="s">
        <v>256</v>
      </c>
      <c r="P9" s="56" t="str">
        <f>VLOOKUP(C9,'Train Runs'!$A$13:$V$264,22,0)</f>
        <v>https://search-rtdc-monitor-bjffxe2xuh6vdkpspy63sjmuny.us-east-1.es.amazonaws.com/_plugin/kibana/#/discover/Steve-Slow-Train-Analysis-(2080s-and-2083s)?_g=(refreshInterval:(display:Off,section:0,value:0),time:(from:'2016-06-22 17:31:27-0600',mode:absolute,to:'2016-06-22 18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9" s="14" t="str">
        <f t="shared" si="0"/>
        <v>4039</v>
      </c>
    </row>
    <row r="10" spans="1:17" s="2" customFormat="1" x14ac:dyDescent="0.25">
      <c r="A10" s="18">
        <v>42543.762673611112</v>
      </c>
      <c r="B10" s="17" t="s">
        <v>530</v>
      </c>
      <c r="C10" s="17" t="s">
        <v>447</v>
      </c>
      <c r="D10" s="17" t="s">
        <v>50</v>
      </c>
      <c r="E10" s="17" t="s">
        <v>79</v>
      </c>
      <c r="F10" s="17">
        <v>0</v>
      </c>
      <c r="G10" s="17">
        <v>19</v>
      </c>
      <c r="H10" s="17">
        <v>31070</v>
      </c>
      <c r="I10" s="17" t="s">
        <v>80</v>
      </c>
      <c r="J10" s="17">
        <v>30970</v>
      </c>
      <c r="K10" s="16" t="s">
        <v>54</v>
      </c>
      <c r="L10" s="16" t="str">
        <f>VLOOKUP(C10,'Trips&amp;Operators'!$C$2:$E$10000,3,FALSE)</f>
        <v>BONDS</v>
      </c>
      <c r="M10" s="15" t="s">
        <v>252</v>
      </c>
      <c r="N10" s="16" t="s">
        <v>255</v>
      </c>
      <c r="P10" s="56" t="str">
        <f>VLOOKUP(C10,'Train Runs'!$A$13:$V$264,22,0)</f>
        <v>https://search-rtdc-monitor-bjffxe2xuh6vdkpspy63sjmuny.us-east-1.es.amazonaws.com/_plugin/kibana/#/discover/Steve-Slow-Train-Analysis-(2080s-and-2083s)?_g=(refreshInterval:(display:Off,section:0,value:0),time:(from:'2016-06-22 17:31:27-0600',mode:absolute,to:'2016-06-22 18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0" s="14" t="str">
        <f t="shared" si="0"/>
        <v>4039</v>
      </c>
    </row>
    <row r="11" spans="1:17" s="2" customFormat="1" x14ac:dyDescent="0.25">
      <c r="A11" s="18">
        <v>42543.774571759262</v>
      </c>
      <c r="B11" s="17" t="s">
        <v>122</v>
      </c>
      <c r="C11" s="17" t="s">
        <v>450</v>
      </c>
      <c r="D11" s="17" t="s">
        <v>50</v>
      </c>
      <c r="E11" s="17" t="s">
        <v>79</v>
      </c>
      <c r="F11" s="17">
        <v>0</v>
      </c>
      <c r="G11" s="17">
        <v>142</v>
      </c>
      <c r="H11" s="17">
        <v>31613</v>
      </c>
      <c r="I11" s="17" t="s">
        <v>80</v>
      </c>
      <c r="J11" s="17">
        <v>30970</v>
      </c>
      <c r="K11" s="16" t="s">
        <v>54</v>
      </c>
      <c r="L11" s="16" t="str">
        <f>VLOOKUP(C11,'Trips&amp;Operators'!$C$2:$E$10000,3,FALSE)</f>
        <v>COOLAHAN</v>
      </c>
      <c r="M11" s="15" t="s">
        <v>252</v>
      </c>
      <c r="N11" s="16" t="s">
        <v>255</v>
      </c>
      <c r="P11" s="56" t="str">
        <f>VLOOKUP(C11,'Train Runs'!$A$13:$V$264,22,0)</f>
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1" s="14" t="str">
        <f t="shared" si="0"/>
        <v>4041</v>
      </c>
    </row>
    <row r="12" spans="1:17" s="2" customFormat="1" x14ac:dyDescent="0.25">
      <c r="A12" s="18">
        <v>42543.931076388886</v>
      </c>
      <c r="B12" s="17" t="s">
        <v>97</v>
      </c>
      <c r="C12" s="17" t="s">
        <v>485</v>
      </c>
      <c r="D12" s="17" t="s">
        <v>50</v>
      </c>
      <c r="E12" s="17" t="s">
        <v>79</v>
      </c>
      <c r="F12" s="17">
        <v>570</v>
      </c>
      <c r="G12" s="17">
        <v>632</v>
      </c>
      <c r="H12" s="17">
        <v>108421</v>
      </c>
      <c r="I12" s="17" t="s">
        <v>80</v>
      </c>
      <c r="J12" s="17">
        <v>108954</v>
      </c>
      <c r="K12" s="16" t="s">
        <v>53</v>
      </c>
      <c r="L12" s="16" t="str">
        <f>VLOOKUP(C12,'Trips&amp;Operators'!$C$2:$E$10000,3,FALSE)</f>
        <v>ADANE</v>
      </c>
      <c r="M12" s="15" t="s">
        <v>252</v>
      </c>
      <c r="N12" s="16"/>
      <c r="P12" s="56" t="str">
        <f>VLOOKUP(C12,'Train Runs'!$A$13:$V$264,22,0)</f>
        <v>https://search-rtdc-monitor-bjffxe2xuh6vdkpspy63sjmuny.us-east-1.es.amazonaws.com/_plugin/kibana/#/discover/Steve-Slow-Train-Analysis-(2080s-and-2083s)?_g=(refreshInterval:(display:Off,section:0,value:0),time:(from:'2016-06-22 21:53:27-0600',mode:absolute,to:'2016-06-22 22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4" t="str">
        <f t="shared" ref="Q12:Q70" si="1">MID(B12,13,4)</f>
        <v>4024</v>
      </c>
    </row>
    <row r="13" spans="1:17" s="2" customFormat="1" x14ac:dyDescent="0.25">
      <c r="A13" s="18">
        <v>42543.371921296297</v>
      </c>
      <c r="B13" s="17" t="s">
        <v>124</v>
      </c>
      <c r="C13" s="17" t="s">
        <v>325</v>
      </c>
      <c r="D13" s="17" t="s">
        <v>50</v>
      </c>
      <c r="E13" s="17" t="s">
        <v>58</v>
      </c>
      <c r="F13" s="17">
        <v>650</v>
      </c>
      <c r="G13" s="17">
        <v>832</v>
      </c>
      <c r="H13" s="17">
        <v>46370</v>
      </c>
      <c r="I13" s="17" t="s">
        <v>59</v>
      </c>
      <c r="J13" s="17">
        <v>42793</v>
      </c>
      <c r="K13" s="16" t="s">
        <v>54</v>
      </c>
      <c r="L13" s="16" t="str">
        <f>VLOOKUP(C13,'Trips&amp;Operators'!$C$2:$E$10000,3,FALSE)</f>
        <v>STARKS</v>
      </c>
      <c r="M13" s="15" t="s">
        <v>252</v>
      </c>
      <c r="N13" s="16"/>
      <c r="P13" s="56" t="str">
        <f>VLOOKUP(C13,'Train Runs'!$A$13:$V$264,22,0)</f>
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3" s="14" t="str">
        <f t="shared" si="1"/>
        <v>4012</v>
      </c>
    </row>
    <row r="14" spans="1:17" s="2" customFormat="1" x14ac:dyDescent="0.25">
      <c r="A14" s="18">
        <v>42543.363067129627</v>
      </c>
      <c r="B14" s="17" t="s">
        <v>91</v>
      </c>
      <c r="C14" s="17" t="s">
        <v>329</v>
      </c>
      <c r="D14" s="17" t="s">
        <v>50</v>
      </c>
      <c r="E14" s="17" t="s">
        <v>58</v>
      </c>
      <c r="F14" s="17">
        <v>150</v>
      </c>
      <c r="G14" s="17">
        <v>227</v>
      </c>
      <c r="H14" s="17">
        <v>230011</v>
      </c>
      <c r="I14" s="17" t="s">
        <v>59</v>
      </c>
      <c r="J14" s="17">
        <v>229055</v>
      </c>
      <c r="K14" s="16" t="s">
        <v>54</v>
      </c>
      <c r="L14" s="16" t="str">
        <f>VLOOKUP(C14,'Trips&amp;Operators'!$C$2:$E$10000,3,FALSE)</f>
        <v>STAMBAUGH</v>
      </c>
      <c r="M14" s="15" t="s">
        <v>252</v>
      </c>
      <c r="N14" s="16"/>
      <c r="P14" s="56" t="str">
        <f>VLOOKUP(C14,'Train Runs'!$A$13:$V$264,22,0)</f>
        <v>https://search-rtdc-monitor-bjffxe2xuh6vdkpspy63sjmuny.us-east-1.es.amazonaws.com/_plugin/kibana/#/discover/Steve-Slow-Train-Analysis-(2080s-and-2083s)?_g=(refreshInterval:(display:Off,section:0,value:0),time:(from:'2016-06-22 08:32:53-0600',mode:absolute,to:'2016-06-22 09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1"/>
        <v>4023</v>
      </c>
    </row>
    <row r="15" spans="1:17" s="2" customFormat="1" x14ac:dyDescent="0.25">
      <c r="A15" s="18">
        <v>42543.437071759261</v>
      </c>
      <c r="B15" s="17" t="s">
        <v>124</v>
      </c>
      <c r="C15" s="17" t="s">
        <v>350</v>
      </c>
      <c r="D15" s="17" t="s">
        <v>50</v>
      </c>
      <c r="E15" s="17" t="s">
        <v>58</v>
      </c>
      <c r="F15" s="17">
        <v>400</v>
      </c>
      <c r="G15" s="17">
        <v>411</v>
      </c>
      <c r="H15" s="17">
        <v>120138</v>
      </c>
      <c r="I15" s="17" t="s">
        <v>59</v>
      </c>
      <c r="J15" s="17">
        <v>119716</v>
      </c>
      <c r="K15" s="16" t="s">
        <v>54</v>
      </c>
      <c r="L15" s="16" t="str">
        <f>VLOOKUP(C15,'Trips&amp;Operators'!$C$2:$E$10000,3,FALSE)</f>
        <v>STARKS</v>
      </c>
      <c r="M15" s="15" t="s">
        <v>252</v>
      </c>
      <c r="N15" s="16"/>
      <c r="P15" s="56" t="str">
        <f>VLOOKUP(C15,'Train Runs'!$A$13:$V$264,22,0)</f>
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5" s="14" t="str">
        <f t="shared" si="1"/>
        <v>4012</v>
      </c>
    </row>
    <row r="16" spans="1:17" s="2" customFormat="1" x14ac:dyDescent="0.25">
      <c r="A16" s="18">
        <v>42543.438506944447</v>
      </c>
      <c r="B16" s="17" t="s">
        <v>124</v>
      </c>
      <c r="C16" s="17" t="s">
        <v>350</v>
      </c>
      <c r="D16" s="17" t="s">
        <v>50</v>
      </c>
      <c r="E16" s="17" t="s">
        <v>58</v>
      </c>
      <c r="F16" s="17">
        <v>450</v>
      </c>
      <c r="G16" s="17">
        <v>464</v>
      </c>
      <c r="H16" s="17">
        <v>111234</v>
      </c>
      <c r="I16" s="17" t="s">
        <v>59</v>
      </c>
      <c r="J16" s="17">
        <v>110617</v>
      </c>
      <c r="K16" s="16" t="s">
        <v>54</v>
      </c>
      <c r="L16" s="16" t="str">
        <f>VLOOKUP(C16,'Trips&amp;Operators'!$C$2:$E$10000,3,FALSE)</f>
        <v>STARKS</v>
      </c>
      <c r="M16" s="15" t="s">
        <v>252</v>
      </c>
      <c r="N16" s="16"/>
      <c r="P16" s="56" t="str">
        <f>VLOOKUP(C16,'Train Runs'!$A$13:$V$264,22,0)</f>
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6" s="14" t="str">
        <f t="shared" si="1"/>
        <v>4012</v>
      </c>
    </row>
    <row r="17" spans="1:17" s="2" customFormat="1" x14ac:dyDescent="0.25">
      <c r="A17" s="18">
        <v>42543.450266203705</v>
      </c>
      <c r="B17" s="17" t="s">
        <v>124</v>
      </c>
      <c r="C17" s="17" t="s">
        <v>350</v>
      </c>
      <c r="D17" s="17" t="s">
        <v>50</v>
      </c>
      <c r="E17" s="17" t="s">
        <v>58</v>
      </c>
      <c r="F17" s="17">
        <v>300</v>
      </c>
      <c r="G17" s="17">
        <v>359</v>
      </c>
      <c r="H17" s="17">
        <v>22691</v>
      </c>
      <c r="I17" s="17" t="s">
        <v>59</v>
      </c>
      <c r="J17" s="17">
        <v>21848</v>
      </c>
      <c r="K17" s="16" t="s">
        <v>54</v>
      </c>
      <c r="L17" s="16" t="str">
        <f>VLOOKUP(C17,'Trips&amp;Operators'!$C$2:$E$10000,3,FALSE)</f>
        <v>STARKS</v>
      </c>
      <c r="M17" s="15" t="s">
        <v>252</v>
      </c>
      <c r="N17" s="16"/>
      <c r="P17" s="56" t="str">
        <f>VLOOKUP(C17,'Train Runs'!$A$13:$V$264,22,0)</f>
        <v>https://search-rtdc-monitor-bjffxe2xuh6vdkpspy63sjmuny.us-east-1.es.amazonaws.com/_plugin/kibana/#/discover/Steve-Slow-Train-Analysis-(2080s-and-2083s)?_g=(refreshInterval:(display:Off,section:0,value:0),time:(from:'2016-06-22 10:08:27-0600',mode:absolute,to:'2016-06-22 10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7" s="14" t="str">
        <f t="shared" si="1"/>
        <v>4012</v>
      </c>
    </row>
    <row r="18" spans="1:17" s="2" customFormat="1" x14ac:dyDescent="0.25">
      <c r="A18" s="18">
        <v>42543.697604166664</v>
      </c>
      <c r="B18" s="17" t="s">
        <v>116</v>
      </c>
      <c r="C18" s="17" t="s">
        <v>429</v>
      </c>
      <c r="D18" s="17" t="s">
        <v>50</v>
      </c>
      <c r="E18" s="17" t="s">
        <v>58</v>
      </c>
      <c r="F18" s="17">
        <v>400</v>
      </c>
      <c r="G18" s="17">
        <v>426</v>
      </c>
      <c r="H18" s="17">
        <v>120498</v>
      </c>
      <c r="I18" s="17" t="s">
        <v>59</v>
      </c>
      <c r="J18" s="17">
        <v>119716</v>
      </c>
      <c r="K18" s="16" t="s">
        <v>54</v>
      </c>
      <c r="L18" s="16" t="str">
        <f>VLOOKUP(C18,'Trips&amp;Operators'!$C$2:$E$10000,3,FALSE)</f>
        <v>SPECTOR</v>
      </c>
      <c r="M18" s="15" t="s">
        <v>252</v>
      </c>
      <c r="N18" s="16"/>
      <c r="P18" s="56" t="str">
        <f>VLOOKUP(C18,'Train Runs'!$A$13:$V$264,22,0)</f>
        <v>https://search-rtdc-monitor-bjffxe2xuh6vdkpspy63sjmuny.us-east-1.es.amazonaws.com/_plugin/kibana/#/discover/Steve-Slow-Train-Analysis-(2080s-and-2083s)?_g=(refreshInterval:(display:Off,section:0,value:0),time:(from:'2016-06-22 16:17:03-0600',mode:absolute,to:'2016-06-22 17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8" s="14" t="str">
        <f t="shared" si="1"/>
        <v>4026</v>
      </c>
    </row>
    <row r="19" spans="1:17" s="2" customFormat="1" x14ac:dyDescent="0.25">
      <c r="A19" s="18">
        <v>42543.678969907407</v>
      </c>
      <c r="B19" s="17" t="s">
        <v>121</v>
      </c>
      <c r="C19" s="17" t="s">
        <v>434</v>
      </c>
      <c r="D19" s="17" t="s">
        <v>50</v>
      </c>
      <c r="E19" s="17" t="s">
        <v>58</v>
      </c>
      <c r="F19" s="17">
        <v>300</v>
      </c>
      <c r="G19" s="17">
        <v>254</v>
      </c>
      <c r="H19" s="17">
        <v>19710</v>
      </c>
      <c r="I19" s="17" t="s">
        <v>59</v>
      </c>
      <c r="J19" s="17">
        <v>20338</v>
      </c>
      <c r="K19" s="16" t="s">
        <v>53</v>
      </c>
      <c r="L19" s="16" t="str">
        <f>VLOOKUP(C19,'Trips&amp;Operators'!$C$2:$E$10000,3,FALSE)</f>
        <v>RIVERA</v>
      </c>
      <c r="M19" s="15" t="s">
        <v>252</v>
      </c>
      <c r="N19" s="16"/>
      <c r="P19" s="56" t="str">
        <f>VLOOKUP(C19,'Train Runs'!$A$13:$V$264,22,0)</f>
        <v>https://search-rtdc-monitor-bjffxe2xuh6vdkpspy63sjmuny.us-east-1.es.amazonaws.com/_plugin/kibana/#/discover/Steve-Slow-Train-Analysis-(2080s-and-2083s)?_g=(refreshInterval:(display:Off,section:0,value:0),time:(from:'2016-06-22 16:07:32-0600',mode:absolute,to:'2016-06-22 16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9" s="14" t="str">
        <f t="shared" si="1"/>
        <v>4011</v>
      </c>
    </row>
    <row r="20" spans="1:17" s="2" customFormat="1" x14ac:dyDescent="0.25">
      <c r="A20" s="18">
        <v>42543.755752314813</v>
      </c>
      <c r="B20" s="17" t="s">
        <v>122</v>
      </c>
      <c r="C20" s="17" t="s">
        <v>450</v>
      </c>
      <c r="D20" s="17" t="s">
        <v>55</v>
      </c>
      <c r="E20" s="17" t="s">
        <v>58</v>
      </c>
      <c r="F20" s="17">
        <v>350</v>
      </c>
      <c r="G20" s="17">
        <v>400</v>
      </c>
      <c r="H20" s="17">
        <v>224572</v>
      </c>
      <c r="I20" s="17" t="s">
        <v>59</v>
      </c>
      <c r="J20" s="17">
        <v>228668</v>
      </c>
      <c r="K20" s="16" t="s">
        <v>54</v>
      </c>
      <c r="L20" s="16" t="str">
        <f>VLOOKUP(C20,'Trips&amp;Operators'!$C$2:$E$10000,3,FALSE)</f>
        <v>COOLAHAN</v>
      </c>
      <c r="M20" s="15" t="s">
        <v>252</v>
      </c>
      <c r="N20" s="16"/>
      <c r="P20" s="56" t="str">
        <f>VLOOKUP(C20,'Train Runs'!$A$13:$V$264,22,0)</f>
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0" s="14" t="str">
        <f t="shared" si="1"/>
        <v>4041</v>
      </c>
    </row>
    <row r="21" spans="1:17" s="2" customFormat="1" x14ac:dyDescent="0.25">
      <c r="A21" s="18">
        <v>42543.820532407408</v>
      </c>
      <c r="B21" s="17" t="s">
        <v>91</v>
      </c>
      <c r="C21" s="17" t="s">
        <v>466</v>
      </c>
      <c r="D21" s="17" t="s">
        <v>50</v>
      </c>
      <c r="E21" s="17" t="s">
        <v>58</v>
      </c>
      <c r="F21" s="17">
        <v>200</v>
      </c>
      <c r="G21" s="17">
        <v>150</v>
      </c>
      <c r="H21" s="17">
        <v>30845</v>
      </c>
      <c r="I21" s="17" t="s">
        <v>59</v>
      </c>
      <c r="J21" s="17">
        <v>30562</v>
      </c>
      <c r="K21" s="16" t="s">
        <v>54</v>
      </c>
      <c r="L21" s="16" t="str">
        <f>VLOOKUP(C21,'Trips&amp;Operators'!$C$2:$E$10000,3,FALSE)</f>
        <v>ADANE</v>
      </c>
      <c r="M21" s="15" t="s">
        <v>252</v>
      </c>
      <c r="N21" s="16"/>
      <c r="P21" s="56" t="str">
        <f>VLOOKUP(C21,'Train Runs'!$A$13:$V$264,22,0)</f>
        <v>https://search-rtdc-monitor-bjffxe2xuh6vdkpspy63sjmuny.us-east-1.es.amazonaws.com/_plugin/kibana/#/discover/Steve-Slow-Train-Analysis-(2080s-and-2083s)?_g=(refreshInterval:(display:Off,section:0,value:0),time:(from:'2016-06-22 19:06:54-0600',mode:absolute,to:'2016-06-22 19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1" s="14" t="str">
        <f t="shared" si="1"/>
        <v>4023</v>
      </c>
    </row>
    <row r="22" spans="1:17" s="2" customFormat="1" x14ac:dyDescent="0.25">
      <c r="A22" s="18">
        <v>42543.81517361111</v>
      </c>
      <c r="B22" s="17" t="s">
        <v>101</v>
      </c>
      <c r="C22" s="17" t="s">
        <v>469</v>
      </c>
      <c r="D22" s="17" t="s">
        <v>55</v>
      </c>
      <c r="E22" s="17" t="s">
        <v>58</v>
      </c>
      <c r="F22" s="17">
        <v>600</v>
      </c>
      <c r="G22" s="17">
        <v>651</v>
      </c>
      <c r="H22" s="17">
        <v>186350</v>
      </c>
      <c r="I22" s="17" t="s">
        <v>59</v>
      </c>
      <c r="J22" s="17">
        <v>183829</v>
      </c>
      <c r="K22" s="16" t="s">
        <v>53</v>
      </c>
      <c r="L22" s="16" t="str">
        <f>VLOOKUP(C22,'Trips&amp;Operators'!$C$2:$E$10000,3,FALSE)</f>
        <v>STRICKLAND</v>
      </c>
      <c r="M22" s="15" t="s">
        <v>252</v>
      </c>
      <c r="N22" s="16"/>
      <c r="P22" s="56" t="str">
        <f>VLOOKUP(C22,'Train Runs'!$A$13:$V$264,22,0)</f>
        <v>https://search-rtdc-monitor-bjffxe2xuh6vdkpspy63sjmuny.us-east-1.es.amazonaws.com/_plugin/kibana/#/discover/Steve-Slow-Train-Analysis-(2080s-and-2083s)?_g=(refreshInterval:(display:Off,section:0,value:0),time:(from:'2016-06-22 18:58:00-0600',mode:absolute,to:'2016-06-22 19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2" s="14" t="str">
        <f t="shared" si="1"/>
        <v>4044</v>
      </c>
    </row>
    <row r="23" spans="1:17" s="2" customFormat="1" x14ac:dyDescent="0.25">
      <c r="A23" s="18">
        <v>42543.837696759256</v>
      </c>
      <c r="B23" s="17" t="s">
        <v>121</v>
      </c>
      <c r="C23" s="17" t="s">
        <v>471</v>
      </c>
      <c r="D23" s="17" t="s">
        <v>50</v>
      </c>
      <c r="E23" s="17" t="s">
        <v>58</v>
      </c>
      <c r="F23" s="17">
        <v>150</v>
      </c>
      <c r="G23" s="17">
        <v>125</v>
      </c>
      <c r="H23" s="17">
        <v>231767</v>
      </c>
      <c r="I23" s="17" t="s">
        <v>59</v>
      </c>
      <c r="J23" s="17">
        <v>232080</v>
      </c>
      <c r="K23" s="16" t="s">
        <v>53</v>
      </c>
      <c r="L23" s="16" t="str">
        <f>VLOOKUP(C23,'Trips&amp;Operators'!$C$2:$E$10000,3,FALSE)</f>
        <v>MAELZER</v>
      </c>
      <c r="M23" s="15" t="s">
        <v>252</v>
      </c>
      <c r="N23" s="16"/>
      <c r="P23" s="56" t="str">
        <f>VLOOKUP(C23,'Train Runs'!$A$13:$V$264,22,0)</f>
        <v>https://search-rtdc-monitor-bjffxe2xuh6vdkpspy63sjmuny.us-east-1.es.amazonaws.com/_plugin/kibana/#/discover/Steve-Slow-Train-Analysis-(2080s-and-2083s)?_g=(refreshInterval:(display:Off,section:0,value:0),time:(from:'2016-06-22 19:24:50-0600',mode:absolute,to:'2016-06-22 20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3" s="14" t="str">
        <f t="shared" si="1"/>
        <v>4011</v>
      </c>
    </row>
    <row r="24" spans="1:17" s="2" customFormat="1" x14ac:dyDescent="0.25">
      <c r="A24" s="18">
        <v>42544.019375000003</v>
      </c>
      <c r="B24" s="17" t="s">
        <v>124</v>
      </c>
      <c r="C24" s="17" t="s">
        <v>495</v>
      </c>
      <c r="D24" s="17" t="s">
        <v>50</v>
      </c>
      <c r="E24" s="17" t="s">
        <v>58</v>
      </c>
      <c r="F24" s="17">
        <v>150</v>
      </c>
      <c r="G24" s="17">
        <v>209</v>
      </c>
      <c r="H24" s="17">
        <v>229710</v>
      </c>
      <c r="I24" s="17" t="s">
        <v>59</v>
      </c>
      <c r="J24" s="17">
        <v>229055</v>
      </c>
      <c r="K24" s="16" t="s">
        <v>54</v>
      </c>
      <c r="L24" s="16" t="str">
        <f>VLOOKUP(C24,'Trips&amp;Operators'!$C$2:$E$10000,3,FALSE)</f>
        <v>MAELZER</v>
      </c>
      <c r="M24" s="15" t="s">
        <v>252</v>
      </c>
      <c r="N24" s="16"/>
      <c r="P24" s="56" t="str">
        <f>VLOOKUP(C24,'Train Runs'!$A$13:$V$264,22,0)</f>
        <v>https://search-rtdc-monitor-bjffxe2xuh6vdkpspy63sjmuny.us-east-1.es.amazonaws.com/_plugin/kibana/#/discover/Steve-Slow-Train-Analysis-(2080s-and-2083s)?_g=(refreshInterval:(display:Off,section:0,value:0),time:(from:'2016-06-23 00:18:40-0600',mode:absolute,to:'2016-06-23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4" t="str">
        <f t="shared" si="1"/>
        <v>4012</v>
      </c>
    </row>
    <row r="25" spans="1:17" s="2" customFormat="1" x14ac:dyDescent="0.25">
      <c r="A25" s="18">
        <v>42544.041319444441</v>
      </c>
      <c r="B25" s="17" t="s">
        <v>124</v>
      </c>
      <c r="C25" s="17" t="s">
        <v>495</v>
      </c>
      <c r="D25" s="17" t="s">
        <v>50</v>
      </c>
      <c r="E25" s="17" t="s">
        <v>58</v>
      </c>
      <c r="F25" s="17">
        <v>300</v>
      </c>
      <c r="G25" s="17">
        <v>339</v>
      </c>
      <c r="H25" s="17">
        <v>22357</v>
      </c>
      <c r="I25" s="17" t="s">
        <v>59</v>
      </c>
      <c r="J25" s="17">
        <v>21848</v>
      </c>
      <c r="K25" s="16" t="s">
        <v>54</v>
      </c>
      <c r="L25" s="16" t="str">
        <f>VLOOKUP(C25,'Trips&amp;Operators'!$C$2:$E$10000,3,FALSE)</f>
        <v>MAELZER</v>
      </c>
      <c r="M25" s="15" t="s">
        <v>252</v>
      </c>
      <c r="N25" s="16"/>
      <c r="P25" s="56" t="str">
        <f>VLOOKUP(C25,'Train Runs'!$A$13:$V$264,22,0)</f>
        <v>https://search-rtdc-monitor-bjffxe2xuh6vdkpspy63sjmuny.us-east-1.es.amazonaws.com/_plugin/kibana/#/discover/Steve-Slow-Train-Analysis-(2080s-and-2083s)?_g=(refreshInterval:(display:Off,section:0,value:0),time:(from:'2016-06-23 00:18:40-0600',mode:absolute,to:'2016-06-23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5" s="14" t="str">
        <f t="shared" si="1"/>
        <v>4012</v>
      </c>
    </row>
    <row r="26" spans="1:17" s="2" customFormat="1" x14ac:dyDescent="0.25">
      <c r="A26" s="18">
        <v>42544.041006944448</v>
      </c>
      <c r="B26" s="17" t="s">
        <v>91</v>
      </c>
      <c r="C26" s="17" t="s">
        <v>497</v>
      </c>
      <c r="D26" s="17" t="s">
        <v>55</v>
      </c>
      <c r="E26" s="17" t="s">
        <v>58</v>
      </c>
      <c r="F26" s="17">
        <v>350</v>
      </c>
      <c r="G26" s="17">
        <v>402</v>
      </c>
      <c r="H26" s="17">
        <v>226001</v>
      </c>
      <c r="I26" s="17" t="s">
        <v>59</v>
      </c>
      <c r="J26" s="17">
        <v>228668</v>
      </c>
      <c r="K26" s="16" t="s">
        <v>54</v>
      </c>
      <c r="L26" s="16" t="str">
        <f>VLOOKUP(C26,'Trips&amp;Operators'!$C$2:$E$10000,3,FALSE)</f>
        <v>ADANE</v>
      </c>
      <c r="M26" s="15" t="s">
        <v>252</v>
      </c>
      <c r="N26" s="16"/>
      <c r="P26" s="56" t="str">
        <f>VLOOKUP(C26,'Train Runs'!$A$13:$V$264,22,0)</f>
        <v>https://search-rtdc-monitor-bjffxe2xuh6vdkpspy63sjmuny.us-east-1.es.amazonaws.com/_plugin/kibana/#/discover/Steve-Slow-Train-Analysis-(2080s-and-2083s)?_g=(refreshInterval:(display:Off,section:0,value:0),time:(from:'2016-06-23 00:51:11-0600',mode:absolute,to:'2016-06-23 01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6" s="14" t="str">
        <f t="shared" si="1"/>
        <v>4023</v>
      </c>
    </row>
    <row r="27" spans="1:17" s="2" customFormat="1" x14ac:dyDescent="0.25">
      <c r="A27" s="18">
        <v>42543.249571759261</v>
      </c>
      <c r="B27" s="17" t="s">
        <v>531</v>
      </c>
      <c r="C27" s="17" t="s">
        <v>504</v>
      </c>
      <c r="D27" s="17" t="s">
        <v>50</v>
      </c>
      <c r="E27" s="17" t="s">
        <v>58</v>
      </c>
      <c r="F27" s="17">
        <v>300</v>
      </c>
      <c r="G27" s="17">
        <v>322</v>
      </c>
      <c r="H27" s="17">
        <v>40455</v>
      </c>
      <c r="I27" s="17" t="s">
        <v>59</v>
      </c>
      <c r="J27" s="17">
        <v>40977</v>
      </c>
      <c r="K27" s="16" t="s">
        <v>53</v>
      </c>
      <c r="L27" s="16" t="str">
        <f>VLOOKUP(C27,'Trips&amp;Operators'!$C$2:$E$10000,3,FALSE)</f>
        <v>HELVIE</v>
      </c>
      <c r="M27" s="15" t="s">
        <v>252</v>
      </c>
      <c r="N27" s="16"/>
      <c r="P27" s="56" t="e">
        <f>VLOOKUP(C27,'Train Runs'!$A$13:$V$264,22,0)</f>
        <v>#N/A</v>
      </c>
      <c r="Q27" s="14" t="str">
        <f t="shared" si="1"/>
        <v>4055</v>
      </c>
    </row>
    <row r="28" spans="1:17" s="2" customFormat="1" x14ac:dyDescent="0.25">
      <c r="A28" s="18">
        <v>42543.260023148148</v>
      </c>
      <c r="B28" s="17" t="s">
        <v>532</v>
      </c>
      <c r="C28" s="17" t="s">
        <v>505</v>
      </c>
      <c r="D28" s="17" t="s">
        <v>55</v>
      </c>
      <c r="E28" s="17" t="s">
        <v>58</v>
      </c>
      <c r="F28" s="17">
        <v>150</v>
      </c>
      <c r="G28" s="17">
        <v>203</v>
      </c>
      <c r="H28" s="17">
        <v>56934</v>
      </c>
      <c r="I28" s="17" t="s">
        <v>59</v>
      </c>
      <c r="J28" s="17">
        <v>59050</v>
      </c>
      <c r="K28" s="16" t="s">
        <v>54</v>
      </c>
      <c r="L28" s="16" t="str">
        <f>VLOOKUP(C28,'Trips&amp;Operators'!$C$2:$E$10000,3,FALSE)</f>
        <v>HELVIE</v>
      </c>
      <c r="M28" s="15" t="s">
        <v>252</v>
      </c>
      <c r="N28" s="16"/>
      <c r="P28" s="56" t="e">
        <f>VLOOKUP(C28,'Train Runs'!$A$13:$V$264,22,0)</f>
        <v>#N/A</v>
      </c>
      <c r="Q28" s="14" t="str">
        <f t="shared" si="1"/>
        <v>4056</v>
      </c>
    </row>
    <row r="29" spans="1:17" s="2" customFormat="1" x14ac:dyDescent="0.25">
      <c r="A29" s="18">
        <v>42543.314479166664</v>
      </c>
      <c r="B29" s="17" t="s">
        <v>534</v>
      </c>
      <c r="C29" s="17" t="s">
        <v>510</v>
      </c>
      <c r="D29" s="17" t="s">
        <v>50</v>
      </c>
      <c r="E29" s="17" t="s">
        <v>58</v>
      </c>
      <c r="F29" s="17">
        <v>300</v>
      </c>
      <c r="G29" s="17">
        <v>361</v>
      </c>
      <c r="H29" s="17">
        <v>19468</v>
      </c>
      <c r="I29" s="17" t="s">
        <v>59</v>
      </c>
      <c r="J29" s="17">
        <v>21314</v>
      </c>
      <c r="K29" s="16" t="s">
        <v>53</v>
      </c>
      <c r="L29" s="16" t="str">
        <f>VLOOKUP(C29,'Trips&amp;Operators'!$C$2:$E$10000,3,FALSE)</f>
        <v>STURGEON</v>
      </c>
      <c r="M29" s="15" t="s">
        <v>252</v>
      </c>
      <c r="N29" s="16"/>
      <c r="P29" s="56" t="e">
        <f>VLOOKUP(C29,'Train Runs'!$A$13:$V$264,22,0)</f>
        <v>#N/A</v>
      </c>
      <c r="Q29" s="14" t="str">
        <f t="shared" si="1"/>
        <v>4053</v>
      </c>
    </row>
    <row r="30" spans="1:17" s="2" customFormat="1" x14ac:dyDescent="0.25">
      <c r="A30" s="18">
        <v>42543.602418981478</v>
      </c>
      <c r="B30" s="17" t="s">
        <v>534</v>
      </c>
      <c r="C30" s="17" t="s">
        <v>526</v>
      </c>
      <c r="D30" s="17" t="s">
        <v>50</v>
      </c>
      <c r="E30" s="17" t="s">
        <v>58</v>
      </c>
      <c r="F30" s="17">
        <v>600</v>
      </c>
      <c r="G30" s="17">
        <v>631</v>
      </c>
      <c r="H30" s="17">
        <v>29547</v>
      </c>
      <c r="I30" s="17" t="s">
        <v>59</v>
      </c>
      <c r="J30" s="17">
        <v>30578</v>
      </c>
      <c r="K30" s="16" t="s">
        <v>53</v>
      </c>
      <c r="L30" s="16" t="str">
        <f>VLOOKUP(C30,'Trips&amp;Operators'!$C$2:$E$10000,3,FALSE)</f>
        <v>REBOLETTI</v>
      </c>
      <c r="M30" s="15" t="s">
        <v>252</v>
      </c>
      <c r="N30" s="16"/>
      <c r="P30" s="56" t="e">
        <f>VLOOKUP(C30,'Train Runs'!$A$13:$V$264,22,0)</f>
        <v>#N/A</v>
      </c>
      <c r="Q30" s="14" t="str">
        <f t="shared" si="1"/>
        <v>4053</v>
      </c>
    </row>
    <row r="31" spans="1:17" s="2" customFormat="1" x14ac:dyDescent="0.25">
      <c r="A31" s="18">
        <v>42543.284548611111</v>
      </c>
      <c r="B31" s="17" t="s">
        <v>123</v>
      </c>
      <c r="C31" s="17" t="s">
        <v>308</v>
      </c>
      <c r="D31" s="17" t="s">
        <v>50</v>
      </c>
      <c r="E31" s="17" t="s">
        <v>56</v>
      </c>
      <c r="F31" s="17">
        <v>0</v>
      </c>
      <c r="G31" s="17">
        <v>580</v>
      </c>
      <c r="H31" s="17">
        <v>91176</v>
      </c>
      <c r="I31" s="17" t="s">
        <v>57</v>
      </c>
      <c r="J31" s="17">
        <v>95978</v>
      </c>
      <c r="K31" s="16" t="s">
        <v>53</v>
      </c>
      <c r="L31" s="16" t="str">
        <f>VLOOKUP(C31,'Trips&amp;Operators'!$C$2:$E$10000,3,FALSE)</f>
        <v>ACKERMAN</v>
      </c>
      <c r="M31" s="15" t="s">
        <v>251</v>
      </c>
      <c r="N31" s="16" t="s">
        <v>253</v>
      </c>
      <c r="P31" s="56" t="str">
        <f>VLOOKUP(C31,'Train Runs'!$A$13:$V$264,22,0)</f>
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1" s="14" t="str">
        <f t="shared" ref="Q31:Q42" si="2">MID(B31,13,4)</f>
        <v>4042</v>
      </c>
    </row>
    <row r="32" spans="1:17" s="2" customFormat="1" x14ac:dyDescent="0.25">
      <c r="A32" s="18">
        <v>42543.605046296296</v>
      </c>
      <c r="B32" s="17" t="s">
        <v>122</v>
      </c>
      <c r="C32" s="17" t="s">
        <v>404</v>
      </c>
      <c r="D32" s="17" t="s">
        <v>50</v>
      </c>
      <c r="E32" s="17" t="s">
        <v>56</v>
      </c>
      <c r="F32" s="17">
        <v>0</v>
      </c>
      <c r="G32" s="17">
        <v>779</v>
      </c>
      <c r="H32" s="17">
        <v>203679</v>
      </c>
      <c r="I32" s="17" t="s">
        <v>57</v>
      </c>
      <c r="J32" s="17">
        <v>198256</v>
      </c>
      <c r="K32" s="16" t="s">
        <v>54</v>
      </c>
      <c r="L32" s="16" t="str">
        <f>VLOOKUP(C32,'Trips&amp;Operators'!$C$2:$E$10000,3,FALSE)</f>
        <v>COOLAHAN</v>
      </c>
      <c r="M32" s="15" t="s">
        <v>251</v>
      </c>
      <c r="N32" s="16" t="s">
        <v>253</v>
      </c>
      <c r="P32" s="56" t="str">
        <f>VLOOKUP(C32,'Train Runs'!$A$13:$V$264,22,0)</f>
        <v>https://search-rtdc-monitor-bjffxe2xuh6vdkpspy63sjmuny.us-east-1.es.amazonaws.com/_plugin/kibana/#/discover/Steve-Slow-Train-Analysis-(2080s-and-2083s)?_g=(refreshInterval:(display:Off,section:0,value:0),time:(from:'2016-06-22 14:17:38-0600',mode:absolute,to:'2016-06-22 15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2" s="14" t="str">
        <f t="shared" si="2"/>
        <v>4041</v>
      </c>
    </row>
    <row r="33" spans="1:17" s="2" customFormat="1" x14ac:dyDescent="0.25">
      <c r="A33" s="18">
        <v>42543.614039351851</v>
      </c>
      <c r="B33" s="17" t="s">
        <v>100</v>
      </c>
      <c r="C33" s="17" t="s">
        <v>413</v>
      </c>
      <c r="D33" s="17" t="s">
        <v>50</v>
      </c>
      <c r="E33" s="17" t="s">
        <v>56</v>
      </c>
      <c r="F33" s="17">
        <v>0</v>
      </c>
      <c r="G33" s="17">
        <v>25</v>
      </c>
      <c r="H33" s="17">
        <v>1624</v>
      </c>
      <c r="I33" s="17" t="s">
        <v>57</v>
      </c>
      <c r="J33" s="17">
        <v>1692</v>
      </c>
      <c r="K33" s="16" t="s">
        <v>53</v>
      </c>
      <c r="L33" s="16" t="str">
        <f>VLOOKUP(C33,'Trips&amp;Operators'!$C$2:$E$10000,3,FALSE)</f>
        <v>SANTIZO</v>
      </c>
      <c r="M33" s="15" t="s">
        <v>251</v>
      </c>
      <c r="N33" s="16" t="s">
        <v>253</v>
      </c>
      <c r="P33" s="56" t="str">
        <f>VLOOKUP(C33,'Train Runs'!$A$13:$V$264,22,0)</f>
        <v>https://search-rtdc-monitor-bjffxe2xuh6vdkpspy63sjmuny.us-east-1.es.amazonaws.com/_plugin/kibana/#/discover/Steve-Slow-Train-Analysis-(2080s-and-2083s)?_g=(refreshInterval:(display:Off,section:0,value:0),time:(from:'2016-06-22 14:39:43-0600',mode:absolute,to:'2016-06-22 14:45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3" s="14" t="str">
        <f t="shared" si="2"/>
        <v>4007</v>
      </c>
    </row>
    <row r="34" spans="1:17" s="2" customFormat="1" x14ac:dyDescent="0.25">
      <c r="A34" s="18">
        <v>42543.641701388886</v>
      </c>
      <c r="B34" s="17" t="s">
        <v>533</v>
      </c>
      <c r="C34" s="17" t="s">
        <v>409</v>
      </c>
      <c r="D34" s="17" t="s">
        <v>50</v>
      </c>
      <c r="E34" s="17" t="s">
        <v>249</v>
      </c>
      <c r="F34" s="17">
        <v>0</v>
      </c>
      <c r="G34" s="17">
        <v>452</v>
      </c>
      <c r="H34" s="17">
        <v>58798</v>
      </c>
      <c r="I34" s="17" t="s">
        <v>250</v>
      </c>
      <c r="J34" s="17">
        <v>57801</v>
      </c>
      <c r="K34" s="16" t="s">
        <v>54</v>
      </c>
      <c r="L34" s="16" t="str">
        <f>VLOOKUP(C34,'Trips&amp;Operators'!$C$2:$E$10000,3,FALSE)</f>
        <v>STEWART</v>
      </c>
      <c r="M34" s="15" t="s">
        <v>251</v>
      </c>
      <c r="N34" s="16" t="s">
        <v>253</v>
      </c>
      <c r="P34" s="56" t="str">
        <f>VLOOKUP(C34,'Train Runs'!$A$13:$V$264,22,0)</f>
        <v>https://search-rtdc-monitor-bjffxe2xuh6vdkpspy63sjmuny.us-east-1.es.amazonaws.com/_plugin/kibana/#/discover/Steve-Slow-Train-Analysis-(2080s-and-2083s)?_g=(refreshInterval:(display:Off,section:0,value:0),time:(from:'2016-06-22 14:54:06-0600',mode:absolute,to:'2016-06-22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4" s="14" t="str">
        <f t="shared" si="2"/>
        <v>4010</v>
      </c>
    </row>
    <row r="35" spans="1:17" s="2" customFormat="1" x14ac:dyDescent="0.25">
      <c r="A35" s="18">
        <v>42543.560324074075</v>
      </c>
      <c r="B35" s="17" t="s">
        <v>534</v>
      </c>
      <c r="C35" s="17" t="s">
        <v>524</v>
      </c>
      <c r="D35" s="17" t="s">
        <v>50</v>
      </c>
      <c r="E35" s="17" t="s">
        <v>249</v>
      </c>
      <c r="F35" s="17">
        <v>0</v>
      </c>
      <c r="G35" s="17">
        <v>254</v>
      </c>
      <c r="H35" s="17">
        <v>22397</v>
      </c>
      <c r="I35" s="17" t="s">
        <v>250</v>
      </c>
      <c r="J35" s="17">
        <v>23574</v>
      </c>
      <c r="K35" s="16" t="s">
        <v>53</v>
      </c>
      <c r="L35" s="16" t="str">
        <f>VLOOKUP(C35,'Trips&amp;Operators'!$C$2:$E$10000,3,FALSE)</f>
        <v>STURGEON</v>
      </c>
      <c r="M35" s="15" t="s">
        <v>251</v>
      </c>
      <c r="N35" s="16" t="s">
        <v>253</v>
      </c>
      <c r="P35" s="56" t="e">
        <f>VLOOKUP(C35,'Train Runs'!$A$13:$V$264,22,0)</f>
        <v>#N/A</v>
      </c>
      <c r="Q35" s="14" t="str">
        <f t="shared" si="2"/>
        <v>4053</v>
      </c>
    </row>
    <row r="36" spans="1:17" s="2" customFormat="1" x14ac:dyDescent="0.25">
      <c r="A36" s="18">
        <v>42543.51290509259</v>
      </c>
      <c r="B36" s="17" t="s">
        <v>535</v>
      </c>
      <c r="C36" s="17" t="s">
        <v>388</v>
      </c>
      <c r="D36" s="17" t="s">
        <v>50</v>
      </c>
      <c r="E36" s="17" t="s">
        <v>56</v>
      </c>
      <c r="F36" s="17">
        <v>0</v>
      </c>
      <c r="G36" s="17">
        <v>376</v>
      </c>
      <c r="H36" s="17">
        <v>8962</v>
      </c>
      <c r="I36" s="17" t="s">
        <v>57</v>
      </c>
      <c r="J36" s="17">
        <v>10800</v>
      </c>
      <c r="K36" s="16" t="s">
        <v>53</v>
      </c>
      <c r="L36" s="16" t="str">
        <f>VLOOKUP(C36,'Trips&amp;Operators'!$C$2:$E$10000,3,FALSE)</f>
        <v>STEWART</v>
      </c>
      <c r="M36" s="15" t="s">
        <v>252</v>
      </c>
      <c r="N36" s="16" t="s">
        <v>551</v>
      </c>
      <c r="P36" s="56" t="str">
        <f>VLOOKUP(C36,'Train Runs'!$A$13:$V$264,22,0)</f>
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6" s="14" t="str">
        <f t="shared" si="2"/>
        <v>4009</v>
      </c>
    </row>
    <row r="37" spans="1:17" s="2" customFormat="1" x14ac:dyDescent="0.25">
      <c r="A37" s="18">
        <v>42543.5158912037</v>
      </c>
      <c r="B37" s="17" t="s">
        <v>535</v>
      </c>
      <c r="C37" s="17" t="s">
        <v>388</v>
      </c>
      <c r="D37" s="17" t="s">
        <v>50</v>
      </c>
      <c r="E37" s="17" t="s">
        <v>56</v>
      </c>
      <c r="F37" s="17">
        <v>0</v>
      </c>
      <c r="G37" s="17">
        <v>327</v>
      </c>
      <c r="H37" s="17">
        <v>10688</v>
      </c>
      <c r="I37" s="17" t="s">
        <v>57</v>
      </c>
      <c r="J37" s="17">
        <v>10800</v>
      </c>
      <c r="K37" s="16" t="s">
        <v>53</v>
      </c>
      <c r="L37" s="16" t="str">
        <f>VLOOKUP(C37,'Trips&amp;Operators'!$C$2:$E$10000,3,FALSE)</f>
        <v>STEWART</v>
      </c>
      <c r="M37" s="15" t="s">
        <v>252</v>
      </c>
      <c r="N37" s="16" t="s">
        <v>551</v>
      </c>
      <c r="P37" s="56" t="str">
        <f>VLOOKUP(C37,'Train Runs'!$A$13:$V$264,22,0)</f>
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7" s="14" t="str">
        <f t="shared" si="2"/>
        <v>4009</v>
      </c>
    </row>
    <row r="38" spans="1:17" s="2" customFormat="1" x14ac:dyDescent="0.25">
      <c r="A38" s="18">
        <v>42543.51803240741</v>
      </c>
      <c r="B38" s="17" t="s">
        <v>535</v>
      </c>
      <c r="C38" s="17" t="s">
        <v>388</v>
      </c>
      <c r="D38" s="17" t="s">
        <v>55</v>
      </c>
      <c r="E38" s="17" t="s">
        <v>56</v>
      </c>
      <c r="F38" s="17">
        <v>0</v>
      </c>
      <c r="G38" s="17">
        <v>4</v>
      </c>
      <c r="H38" s="17">
        <v>11759</v>
      </c>
      <c r="I38" s="17" t="s">
        <v>57</v>
      </c>
      <c r="J38" s="17">
        <v>10800</v>
      </c>
      <c r="K38" s="16" t="s">
        <v>53</v>
      </c>
      <c r="L38" s="16" t="str">
        <f>VLOOKUP(C38,'Trips&amp;Operators'!$C$2:$E$10000,3,FALSE)</f>
        <v>STEWART</v>
      </c>
      <c r="M38" s="15" t="s">
        <v>252</v>
      </c>
      <c r="N38" s="16" t="s">
        <v>551</v>
      </c>
      <c r="P38" s="56" t="str">
        <f>VLOOKUP(C38,'Train Runs'!$A$13:$V$264,22,0)</f>
        <v>https://search-rtdc-monitor-bjffxe2xuh6vdkpspy63sjmuny.us-east-1.es.amazonaws.com/_plugin/kibana/#/discover/Steve-Slow-Train-Analysis-(2080s-and-2083s)?_g=(refreshInterval:(display:Off,section:0,value:0),time:(from:'2016-06-22 12:07:02-0600',mode:absolute,to:'2016-06-22 12:27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8" s="14" t="str">
        <f t="shared" si="2"/>
        <v>4009</v>
      </c>
    </row>
    <row r="39" spans="1:17" s="2" customFormat="1" x14ac:dyDescent="0.25">
      <c r="A39" s="18">
        <v>42543.267199074071</v>
      </c>
      <c r="B39" s="17" t="s">
        <v>533</v>
      </c>
      <c r="C39" s="17" t="s">
        <v>289</v>
      </c>
      <c r="D39" s="17" t="s">
        <v>50</v>
      </c>
      <c r="E39" s="17" t="s">
        <v>56</v>
      </c>
      <c r="F39" s="17">
        <v>0</v>
      </c>
      <c r="G39" s="17">
        <v>466</v>
      </c>
      <c r="H39" s="17">
        <v>129971</v>
      </c>
      <c r="I39" s="17" t="s">
        <v>57</v>
      </c>
      <c r="J39" s="17">
        <v>127587</v>
      </c>
      <c r="K39" s="16" t="s">
        <v>54</v>
      </c>
      <c r="L39" s="16" t="str">
        <f>VLOOKUP(C39,'Trips&amp;Operators'!$C$2:$E$10000,3,FALSE)</f>
        <v>YORK</v>
      </c>
      <c r="M39" s="15" t="s">
        <v>252</v>
      </c>
      <c r="N39" s="16" t="s">
        <v>551</v>
      </c>
      <c r="P39" s="56" t="str">
        <f>VLOOKUP(C39,'Train Runs'!$A$13:$V$264,22,0)</f>
        <v>https://search-rtdc-monitor-bjffxe2xuh6vdkpspy63sjmuny.us-east-1.es.amazonaws.com/_plugin/kibana/#/discover/Steve-Slow-Train-Analysis-(2080s-and-2083s)?_g=(refreshInterval:(display:Off,section:0,value:0),time:(from:'2016-06-22 05:52:42-0600',mode:absolute,to:'2016-06-22 06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9" s="14" t="str">
        <f t="shared" si="2"/>
        <v>4010</v>
      </c>
    </row>
    <row r="40" spans="1:17" s="2" customFormat="1" x14ac:dyDescent="0.25">
      <c r="A40" s="18">
        <v>42543.643784722219</v>
      </c>
      <c r="B40" s="17" t="s">
        <v>537</v>
      </c>
      <c r="C40" s="17" t="s">
        <v>421</v>
      </c>
      <c r="D40" s="17" t="s">
        <v>50</v>
      </c>
      <c r="E40" s="17" t="s">
        <v>56</v>
      </c>
      <c r="F40" s="17">
        <v>0</v>
      </c>
      <c r="G40" s="17">
        <v>452</v>
      </c>
      <c r="H40" s="17">
        <v>147326</v>
      </c>
      <c r="I40" s="17" t="s">
        <v>57</v>
      </c>
      <c r="J40" s="17">
        <v>149694</v>
      </c>
      <c r="K40" s="16" t="s">
        <v>53</v>
      </c>
      <c r="L40" s="16" t="str">
        <f>VLOOKUP(C40,'Trips&amp;Operators'!$C$2:$E$10000,3,FALSE)</f>
        <v>BONDS</v>
      </c>
      <c r="M40" s="15" t="s">
        <v>252</v>
      </c>
      <c r="N40" s="16" t="s">
        <v>551</v>
      </c>
      <c r="P40" s="56" t="str">
        <f>VLOOKUP(C40,'Train Runs'!$A$13:$V$264,22,0)</f>
        <v>https://search-rtdc-monitor-bjffxe2xuh6vdkpspy63sjmuny.us-east-1.es.amazonaws.com/_plugin/kibana/#/discover/Steve-Slow-Train-Analysis-(2080s-and-2083s)?_g=(refreshInterval:(display:Off,section:0,value:0),time:(from:'2016-06-22 14:53:27-0600',mode:absolute,to:'2016-06-22 15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0" s="14" t="str">
        <f t="shared" si="2"/>
        <v>4040</v>
      </c>
    </row>
    <row r="41" spans="1:17" s="2" customFormat="1" x14ac:dyDescent="0.25">
      <c r="A41" s="18">
        <v>42543.719606481478</v>
      </c>
      <c r="B41" s="17" t="s">
        <v>101</v>
      </c>
      <c r="C41" s="17" t="s">
        <v>452</v>
      </c>
      <c r="D41" s="17" t="s">
        <v>50</v>
      </c>
      <c r="E41" s="17" t="s">
        <v>56</v>
      </c>
      <c r="F41" s="17">
        <v>0</v>
      </c>
      <c r="G41" s="17">
        <v>72</v>
      </c>
      <c r="H41" s="17">
        <v>1466</v>
      </c>
      <c r="I41" s="17" t="s">
        <v>57</v>
      </c>
      <c r="J41" s="17">
        <v>1692</v>
      </c>
      <c r="K41" s="16" t="s">
        <v>53</v>
      </c>
      <c r="L41" s="16" t="str">
        <f>VLOOKUP(C41,'Trips&amp;Operators'!$C$2:$E$10000,3,FALSE)</f>
        <v>STRICKLAND</v>
      </c>
      <c r="M41" s="15" t="s">
        <v>252</v>
      </c>
      <c r="N41" s="16" t="s">
        <v>552</v>
      </c>
      <c r="P41" s="56" t="str">
        <f>VLOOKUP(C41,'Train Runs'!$A$13:$V$264,22,0)</f>
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1" s="14" t="str">
        <f t="shared" si="2"/>
        <v>4044</v>
      </c>
    </row>
    <row r="42" spans="1:17" s="2" customFormat="1" x14ac:dyDescent="0.25">
      <c r="A42" s="18">
        <v>42543.745034722226</v>
      </c>
      <c r="B42" s="17" t="s">
        <v>101</v>
      </c>
      <c r="C42" s="17" t="s">
        <v>452</v>
      </c>
      <c r="D42" s="17" t="s">
        <v>50</v>
      </c>
      <c r="E42" s="17" t="s">
        <v>56</v>
      </c>
      <c r="F42" s="17">
        <v>0</v>
      </c>
      <c r="G42" s="17">
        <v>474</v>
      </c>
      <c r="H42" s="17">
        <v>221085</v>
      </c>
      <c r="I42" s="17" t="s">
        <v>57</v>
      </c>
      <c r="J42" s="17">
        <v>224231</v>
      </c>
      <c r="K42" s="16" t="s">
        <v>53</v>
      </c>
      <c r="L42" s="16" t="str">
        <f>VLOOKUP(C42,'Trips&amp;Operators'!$C$2:$E$10000,3,FALSE)</f>
        <v>STRICKLAND</v>
      </c>
      <c r="M42" s="15" t="s">
        <v>251</v>
      </c>
      <c r="N42" s="16" t="s">
        <v>553</v>
      </c>
      <c r="P42" s="56" t="str">
        <f>VLOOKUP(C42,'Train Runs'!$A$13:$V$264,22,0)</f>
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2" s="14" t="str">
        <f t="shared" si="2"/>
        <v>4044</v>
      </c>
    </row>
    <row r="43" spans="1:17" s="2" customFormat="1" x14ac:dyDescent="0.25">
      <c r="A43" s="18">
        <v>42543.222928240742</v>
      </c>
      <c r="B43" s="17" t="s">
        <v>124</v>
      </c>
      <c r="C43" s="17" t="s">
        <v>268</v>
      </c>
      <c r="D43" s="17" t="s">
        <v>50</v>
      </c>
      <c r="E43" s="17" t="s">
        <v>51</v>
      </c>
      <c r="F43" s="17">
        <v>0</v>
      </c>
      <c r="G43" s="17">
        <v>139</v>
      </c>
      <c r="H43" s="17">
        <v>577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STARKS</v>
      </c>
      <c r="M43" s="15" t="s">
        <v>252</v>
      </c>
      <c r="N43" s="16"/>
      <c r="P43" s="56" t="str">
        <f>VLOOKUP(C43,'Train Runs'!$A$13:$V$264,22,0)</f>
        <v>https://search-rtdc-monitor-bjffxe2xuh6vdkpspy63sjmuny.us-east-1.es.amazonaws.com/_plugin/kibana/#/discover/Steve-Slow-Train-Analysis-(2080s-and-2083s)?_g=(refreshInterval:(display:Off,section:0,value:0),time:(from:'2016-06-22 04:36:40-0600',mode:absolute,to:'2016-06-22 05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3" s="14" t="str">
        <f t="shared" si="1"/>
        <v>4012</v>
      </c>
    </row>
    <row r="44" spans="1:17" s="2" customFormat="1" x14ac:dyDescent="0.25">
      <c r="A44" s="18">
        <v>42543.243668981479</v>
      </c>
      <c r="B44" s="17" t="s">
        <v>530</v>
      </c>
      <c r="C44" s="17" t="s">
        <v>273</v>
      </c>
      <c r="D44" s="17" t="s">
        <v>50</v>
      </c>
      <c r="E44" s="17" t="s">
        <v>51</v>
      </c>
      <c r="F44" s="17">
        <v>0</v>
      </c>
      <c r="G44" s="17">
        <v>32</v>
      </c>
      <c r="H44" s="17">
        <v>107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STAMBAUGH</v>
      </c>
      <c r="M44" s="15" t="s">
        <v>252</v>
      </c>
      <c r="N44" s="16"/>
      <c r="P44" s="56" t="str">
        <f>VLOOKUP(C44,'Train Runs'!$A$13:$V$264,22,0)</f>
        <v>https://search-rtdc-monitor-bjffxe2xuh6vdkpspy63sjmuny.us-east-1.es.amazonaws.com/_plugin/kibana/#/discover/Steve-Slow-Train-Analysis-(2080s-and-2083s)?_g=(refreshInterval:(display:Off,section:0,value:0),time:(from:'2016-06-22 05:02:43-0600',mode:absolute,to:'2016-06-22 05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4" s="14" t="str">
        <f t="shared" si="1"/>
        <v>4039</v>
      </c>
    </row>
    <row r="45" spans="1:17" s="2" customFormat="1" x14ac:dyDescent="0.25">
      <c r="A45" s="18">
        <v>42543.254641203705</v>
      </c>
      <c r="B45" s="17" t="s">
        <v>246</v>
      </c>
      <c r="C45" s="17" t="s">
        <v>290</v>
      </c>
      <c r="D45" s="17" t="s">
        <v>50</v>
      </c>
      <c r="E45" s="17" t="s">
        <v>51</v>
      </c>
      <c r="F45" s="17">
        <v>0</v>
      </c>
      <c r="G45" s="17">
        <v>8</v>
      </c>
      <c r="H45" s="17">
        <v>233338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ROCHA</v>
      </c>
      <c r="M45" s="15" t="s">
        <v>252</v>
      </c>
      <c r="N45" s="16"/>
      <c r="P45" s="56" t="str">
        <f>VLOOKUP(C45,'Train Runs'!$A$13:$V$264,22,0)</f>
        <v>https://search-rtdc-monitor-bjffxe2xuh6vdkpspy63sjmuny.us-east-1.es.amazonaws.com/_plugin/kibana/#/discover/Steve-Slow-Train-Analysis-(2080s-and-2083s)?_g=(refreshInterval:(display:Off,section:0,value:0),time:(from:'2016-06-22 05:25:48-0600',mode:absolute,to:'2016-06-22 06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5" s="14" t="str">
        <f t="shared" si="1"/>
        <v>4027</v>
      </c>
    </row>
    <row r="46" spans="1:17" s="2" customFormat="1" x14ac:dyDescent="0.25">
      <c r="A46" s="18">
        <v>42543.265787037039</v>
      </c>
      <c r="B46" s="17" t="s">
        <v>121</v>
      </c>
      <c r="C46" s="17" t="s">
        <v>294</v>
      </c>
      <c r="D46" s="17" t="s">
        <v>50</v>
      </c>
      <c r="E46" s="17" t="s">
        <v>51</v>
      </c>
      <c r="F46" s="17">
        <v>0</v>
      </c>
      <c r="G46" s="17">
        <v>55</v>
      </c>
      <c r="H46" s="17">
        <v>233312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STARKS</v>
      </c>
      <c r="M46" s="15" t="s">
        <v>252</v>
      </c>
      <c r="N46" s="16"/>
      <c r="P46" s="56" t="str">
        <f>VLOOKUP(C46,'Train Runs'!$A$13:$V$264,22,0)</f>
        <v>https://search-rtdc-monitor-bjffxe2xuh6vdkpspy63sjmuny.us-east-1.es.amazonaws.com/_plugin/kibana/#/discover/Steve-Slow-Train-Analysis-(2080s-and-2083s)?_g=(refreshInterval:(display:Off,section:0,value:0),time:(from:'2016-06-22 05:36:04-0600',mode:absolute,to:'2016-06-22 06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6" s="14" t="str">
        <f t="shared" si="1"/>
        <v>4011</v>
      </c>
    </row>
    <row r="47" spans="1:17" s="2" customFormat="1" x14ac:dyDescent="0.25">
      <c r="A47" s="18">
        <v>42543.306666666664</v>
      </c>
      <c r="B47" s="17" t="s">
        <v>124</v>
      </c>
      <c r="C47" s="17" t="s">
        <v>296</v>
      </c>
      <c r="D47" s="17" t="s">
        <v>50</v>
      </c>
      <c r="E47" s="17" t="s">
        <v>51</v>
      </c>
      <c r="F47" s="17">
        <v>0</v>
      </c>
      <c r="G47" s="17">
        <v>55</v>
      </c>
      <c r="H47" s="17">
        <v>170</v>
      </c>
      <c r="I47" s="17" t="s">
        <v>52</v>
      </c>
      <c r="J47" s="17">
        <v>1</v>
      </c>
      <c r="K47" s="16" t="s">
        <v>54</v>
      </c>
      <c r="L47" s="16" t="str">
        <f>VLOOKUP(C47,'Trips&amp;Operators'!$C$2:$E$10000,3,FALSE)</f>
        <v>STARKS</v>
      </c>
      <c r="M47" s="15" t="s">
        <v>252</v>
      </c>
      <c r="N47" s="16"/>
      <c r="P47" s="56" t="str">
        <f>VLOOKUP(C47,'Train Runs'!$A$13:$V$264,22,0)</f>
        <v>https://search-rtdc-monitor-bjffxe2xuh6vdkpspy63sjmuny.us-east-1.es.amazonaws.com/_plugin/kibana/#/discover/Steve-Slow-Train-Analysis-(2080s-and-2083s)?_g=(refreshInterval:(display:Off,section:0,value:0),time:(from:'2016-06-22 06:36:51-0600',mode:absolute,to:'2016-06-22 07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7" s="14" t="str">
        <f t="shared" si="1"/>
        <v>4012</v>
      </c>
    </row>
    <row r="48" spans="1:17" s="2" customFormat="1" x14ac:dyDescent="0.25">
      <c r="A48" s="18">
        <v>42543.31690972222</v>
      </c>
      <c r="B48" s="17" t="s">
        <v>91</v>
      </c>
      <c r="C48" s="17" t="s">
        <v>300</v>
      </c>
      <c r="D48" s="17" t="s">
        <v>50</v>
      </c>
      <c r="E48" s="17" t="s">
        <v>51</v>
      </c>
      <c r="F48" s="17">
        <v>0</v>
      </c>
      <c r="G48" s="17">
        <v>52</v>
      </c>
      <c r="H48" s="17">
        <v>198</v>
      </c>
      <c r="I48" s="17" t="s">
        <v>52</v>
      </c>
      <c r="J48" s="17">
        <v>1</v>
      </c>
      <c r="K48" s="16" t="s">
        <v>54</v>
      </c>
      <c r="L48" s="16" t="str">
        <f>VLOOKUP(C48,'Trips&amp;Operators'!$C$2:$E$10000,3,FALSE)</f>
        <v>STAMBAUGH</v>
      </c>
      <c r="M48" s="15" t="s">
        <v>252</v>
      </c>
      <c r="N48" s="16"/>
      <c r="P48" s="56" t="str">
        <f>VLOOKUP(C48,'Train Runs'!$A$13:$V$264,22,0)</f>
        <v>https://search-rtdc-monitor-bjffxe2xuh6vdkpspy63sjmuny.us-east-1.es.amazonaws.com/_plugin/kibana/#/discover/Steve-Slow-Train-Analysis-(2080s-and-2083s)?_g=(refreshInterval:(display:Off,section:0,value:0),time:(from:'2016-06-22 06:49:11-0600',mode:absolute,to:'2016-06-22 07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8" s="14" t="str">
        <f t="shared" si="1"/>
        <v>4023</v>
      </c>
    </row>
    <row r="49" spans="1:17" s="2" customFormat="1" x14ac:dyDescent="0.25">
      <c r="A49" s="18">
        <v>42543.296967592592</v>
      </c>
      <c r="B49" s="17" t="s">
        <v>123</v>
      </c>
      <c r="C49" s="17" t="s">
        <v>308</v>
      </c>
      <c r="D49" s="17" t="s">
        <v>50</v>
      </c>
      <c r="E49" s="17" t="s">
        <v>51</v>
      </c>
      <c r="F49" s="17">
        <v>0</v>
      </c>
      <c r="G49" s="17">
        <v>150</v>
      </c>
      <c r="H49" s="17">
        <v>232477</v>
      </c>
      <c r="I49" s="17" t="s">
        <v>52</v>
      </c>
      <c r="J49" s="17">
        <v>233491</v>
      </c>
      <c r="K49" s="16" t="s">
        <v>53</v>
      </c>
      <c r="L49" s="16" t="str">
        <f>VLOOKUP(C49,'Trips&amp;Operators'!$C$2:$E$10000,3,FALSE)</f>
        <v>ACKERMAN</v>
      </c>
      <c r="M49" s="15" t="s">
        <v>252</v>
      </c>
      <c r="N49" s="16"/>
      <c r="P49" s="56" t="str">
        <f>VLOOKUP(C49,'Train Runs'!$A$13:$V$264,22,0)</f>
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9" s="14" t="str">
        <f t="shared" si="1"/>
        <v>4042</v>
      </c>
    </row>
    <row r="50" spans="1:17" s="2" customFormat="1" x14ac:dyDescent="0.25">
      <c r="A50" s="18">
        <v>42543.297349537039</v>
      </c>
      <c r="B50" s="17" t="s">
        <v>123</v>
      </c>
      <c r="C50" s="17" t="s">
        <v>308</v>
      </c>
      <c r="D50" s="17" t="s">
        <v>50</v>
      </c>
      <c r="E50" s="17" t="s">
        <v>51</v>
      </c>
      <c r="F50" s="17">
        <v>0</v>
      </c>
      <c r="G50" s="17">
        <v>5</v>
      </c>
      <c r="H50" s="17">
        <v>232687</v>
      </c>
      <c r="I50" s="17" t="s">
        <v>52</v>
      </c>
      <c r="J50" s="17">
        <v>233491</v>
      </c>
      <c r="K50" s="16" t="s">
        <v>53</v>
      </c>
      <c r="L50" s="16" t="str">
        <f>VLOOKUP(C50,'Trips&amp;Operators'!$C$2:$E$10000,3,FALSE)</f>
        <v>ACKERMAN</v>
      </c>
      <c r="M50" s="15" t="s">
        <v>252</v>
      </c>
      <c r="N50" s="16"/>
      <c r="P50" s="56" t="str">
        <f>VLOOKUP(C50,'Train Runs'!$A$13:$V$264,22,0)</f>
        <v>https://search-rtdc-monitor-bjffxe2xuh6vdkpspy63sjmuny.us-east-1.es.amazonaws.com/_plugin/kibana/#/discover/Steve-Slow-Train-Analysis-(2080s-and-2083s)?_g=(refreshInterval:(display:Off,section:0,value:0),time:(from:'2016-06-22 06:25:24-0600',mode:absolute,to:'2016-06-22 07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0" s="14" t="str">
        <f t="shared" si="1"/>
        <v>4042</v>
      </c>
    </row>
    <row r="51" spans="1:17" s="2" customFormat="1" x14ac:dyDescent="0.25">
      <c r="A51" s="18">
        <v>42543.336342592593</v>
      </c>
      <c r="B51" s="17" t="s">
        <v>122</v>
      </c>
      <c r="C51" s="17" t="s">
        <v>310</v>
      </c>
      <c r="D51" s="17" t="s">
        <v>50</v>
      </c>
      <c r="E51" s="17" t="s">
        <v>51</v>
      </c>
      <c r="F51" s="17">
        <v>0</v>
      </c>
      <c r="G51" s="17">
        <v>6</v>
      </c>
      <c r="H51" s="17">
        <v>119</v>
      </c>
      <c r="I51" s="17" t="s">
        <v>52</v>
      </c>
      <c r="J51" s="17">
        <v>1</v>
      </c>
      <c r="K51" s="16" t="s">
        <v>54</v>
      </c>
      <c r="L51" s="16" t="str">
        <f>VLOOKUP(C51,'Trips&amp;Operators'!$C$2:$E$10000,3,FALSE)</f>
        <v>ACKERMAN</v>
      </c>
      <c r="M51" s="15" t="s">
        <v>252</v>
      </c>
      <c r="N51" s="16"/>
      <c r="P51" s="56" t="str">
        <f>VLOOKUP(C51,'Train Runs'!$A$13:$V$264,22,0)</f>
        <v>https://search-rtdc-monitor-bjffxe2xuh6vdkpspy63sjmuny.us-east-1.es.amazonaws.com/_plugin/kibana/#/discover/Steve-Slow-Train-Analysis-(2080s-and-2083s)?_g=(refreshInterval:(display:Off,section:0,value:0),time:(from:'2016-06-22 07:19:20-0600',mode:absolute,to:'2016-06-22 08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1" s="14" t="str">
        <f t="shared" si="1"/>
        <v>4041</v>
      </c>
    </row>
    <row r="52" spans="1:17" s="2" customFormat="1" x14ac:dyDescent="0.25">
      <c r="A52" s="18">
        <v>42543.340127314812</v>
      </c>
      <c r="B52" s="17" t="s">
        <v>121</v>
      </c>
      <c r="C52" s="17" t="s">
        <v>321</v>
      </c>
      <c r="D52" s="17" t="s">
        <v>50</v>
      </c>
      <c r="E52" s="17" t="s">
        <v>51</v>
      </c>
      <c r="F52" s="17">
        <v>0</v>
      </c>
      <c r="G52" s="17">
        <v>4</v>
      </c>
      <c r="H52" s="17">
        <v>233291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STARKS</v>
      </c>
      <c r="M52" s="15" t="s">
        <v>252</v>
      </c>
      <c r="N52" s="16"/>
      <c r="P52" s="56" t="str">
        <f>VLOOKUP(C52,'Train Runs'!$A$13:$V$264,22,0)</f>
        <v>https://search-rtdc-monitor-bjffxe2xuh6vdkpspy63sjmuny.us-east-1.es.amazonaws.com/_plugin/kibana/#/discover/Steve-Slow-Train-Analysis-(2080s-and-2083s)?_g=(refreshInterval:(display:Off,section:0,value:0),time:(from:'2016-06-22 07:24:50-0600',mode:absolute,to:'2016-06-22 07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2" s="14" t="str">
        <f t="shared" si="1"/>
        <v>4011</v>
      </c>
    </row>
    <row r="53" spans="1:17" s="2" customFormat="1" x14ac:dyDescent="0.25">
      <c r="A53" s="18">
        <v>42543.380949074075</v>
      </c>
      <c r="B53" s="17" t="s">
        <v>124</v>
      </c>
      <c r="C53" s="17" t="s">
        <v>325</v>
      </c>
      <c r="D53" s="17" t="s">
        <v>50</v>
      </c>
      <c r="E53" s="17" t="s">
        <v>51</v>
      </c>
      <c r="F53" s="17">
        <v>0</v>
      </c>
      <c r="G53" s="17">
        <v>62</v>
      </c>
      <c r="H53" s="17">
        <v>278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STARKS</v>
      </c>
      <c r="M53" s="15" t="s">
        <v>252</v>
      </c>
      <c r="N53" s="16"/>
      <c r="P53" s="56" t="str">
        <f>VLOOKUP(C53,'Train Runs'!$A$13:$V$264,22,0)</f>
        <v>https://search-rtdc-monitor-bjffxe2xuh6vdkpspy63sjmuny.us-east-1.es.amazonaws.com/_plugin/kibana/#/discover/Steve-Slow-Train-Analysis-(2080s-and-2083s)?_g=(refreshInterval:(display:Off,section:0,value:0),time:(from:'2016-06-22 08:23:13-0600',mode:absolute,to:'2016-06-22 09:09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3" s="14" t="str">
        <f t="shared" si="1"/>
        <v>4012</v>
      </c>
    </row>
    <row r="54" spans="1:17" s="2" customFormat="1" x14ac:dyDescent="0.25">
      <c r="A54" s="18">
        <v>42543.372129629628</v>
      </c>
      <c r="B54" s="17" t="s">
        <v>123</v>
      </c>
      <c r="C54" s="17" t="s">
        <v>334</v>
      </c>
      <c r="D54" s="17" t="s">
        <v>50</v>
      </c>
      <c r="E54" s="17" t="s">
        <v>51</v>
      </c>
      <c r="F54" s="17">
        <v>0</v>
      </c>
      <c r="G54" s="17">
        <v>3</v>
      </c>
      <c r="H54" s="17">
        <v>233134</v>
      </c>
      <c r="I54" s="17" t="s">
        <v>52</v>
      </c>
      <c r="J54" s="17">
        <v>233491</v>
      </c>
      <c r="K54" s="16" t="s">
        <v>53</v>
      </c>
      <c r="L54" s="16" t="str">
        <f>VLOOKUP(C54,'Trips&amp;Operators'!$C$2:$E$10000,3,FALSE)</f>
        <v>CUSHING</v>
      </c>
      <c r="M54" s="15" t="s">
        <v>252</v>
      </c>
      <c r="N54" s="16"/>
      <c r="P54" s="56" t="str">
        <f>VLOOKUP(C54,'Train Runs'!$A$13:$V$264,22,0)</f>
        <v>https://search-rtdc-monitor-bjffxe2xuh6vdkpspy63sjmuny.us-east-1.es.amazonaws.com/_plugin/kibana/#/discover/Steve-Slow-Train-Analysis-(2080s-and-2083s)?_g=(refreshInterval:(display:Off,section:0,value:0),time:(from:'2016-06-22 08:09:20-0600',mode:absolute,to:'2016-06-22 08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4" s="14" t="str">
        <f t="shared" si="1"/>
        <v>4042</v>
      </c>
    </row>
    <row r="55" spans="1:17" s="2" customFormat="1" x14ac:dyDescent="0.25">
      <c r="A55" s="18">
        <v>42543.389432870368</v>
      </c>
      <c r="B55" s="17" t="s">
        <v>535</v>
      </c>
      <c r="C55" s="17" t="s">
        <v>340</v>
      </c>
      <c r="D55" s="17" t="s">
        <v>50</v>
      </c>
      <c r="E55" s="17" t="s">
        <v>51</v>
      </c>
      <c r="F55" s="17">
        <v>0</v>
      </c>
      <c r="G55" s="17">
        <v>9</v>
      </c>
      <c r="H55" s="17">
        <v>233330</v>
      </c>
      <c r="I55" s="17" t="s">
        <v>52</v>
      </c>
      <c r="J55" s="17">
        <v>233491</v>
      </c>
      <c r="K55" s="16" t="s">
        <v>53</v>
      </c>
      <c r="L55" s="16" t="str">
        <f>VLOOKUP(C55,'Trips&amp;Operators'!$C$2:$E$10000,3,FALSE)</f>
        <v>YORK</v>
      </c>
      <c r="M55" s="15" t="s">
        <v>252</v>
      </c>
      <c r="N55" s="16"/>
      <c r="P55" s="56" t="str">
        <f>VLOOKUP(C55,'Train Runs'!$A$13:$V$264,22,0)</f>
        <v>https://search-rtdc-monitor-bjffxe2xuh6vdkpspy63sjmuny.us-east-1.es.amazonaws.com/_plugin/kibana/#/discover/Steve-Slow-Train-Analysis-(2080s-and-2083s)?_g=(refreshInterval:(display:Off,section:0,value:0),time:(from:'2016-06-22 08:35:20-0600',mode:absolute,to:'2016-06-22 09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5" s="14" t="str">
        <f t="shared" si="1"/>
        <v>4009</v>
      </c>
    </row>
    <row r="56" spans="1:17" s="2" customFormat="1" x14ac:dyDescent="0.25">
      <c r="A56" s="18">
        <v>42543.439918981479</v>
      </c>
      <c r="B56" s="17" t="s">
        <v>239</v>
      </c>
      <c r="C56" s="17" t="s">
        <v>345</v>
      </c>
      <c r="D56" s="17" t="s">
        <v>50</v>
      </c>
      <c r="E56" s="17" t="s">
        <v>51</v>
      </c>
      <c r="F56" s="17">
        <v>0</v>
      </c>
      <c r="G56" s="17">
        <v>7</v>
      </c>
      <c r="H56" s="17">
        <v>114</v>
      </c>
      <c r="I56" s="17" t="s">
        <v>52</v>
      </c>
      <c r="J56" s="17">
        <v>1</v>
      </c>
      <c r="K56" s="16" t="s">
        <v>54</v>
      </c>
      <c r="L56" s="16" t="str">
        <f>VLOOKUP(C56,'Trips&amp;Operators'!$C$2:$E$10000,3,FALSE)</f>
        <v>ROCHA</v>
      </c>
      <c r="M56" s="15" t="s">
        <v>252</v>
      </c>
      <c r="N56" s="16"/>
      <c r="P56" s="56" t="str">
        <f>VLOOKUP(C56,'Train Runs'!$A$13:$V$264,22,0)</f>
        <v>https://search-rtdc-monitor-bjffxe2xuh6vdkpspy63sjmuny.us-east-1.es.amazonaws.com/_plugin/kibana/#/discover/Steve-Slow-Train-Analysis-(2080s-and-2083s)?_g=(refreshInterval:(display:Off,section:0,value:0),time:(from:'2016-06-22 09:46:48-0600',mode:absolute,to:'2016-06-22 10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6" s="14" t="str">
        <f t="shared" si="1"/>
        <v>4028</v>
      </c>
    </row>
    <row r="57" spans="1:17" s="2" customFormat="1" x14ac:dyDescent="0.25">
      <c r="A57" s="18">
        <v>42543.413032407407</v>
      </c>
      <c r="B57" s="17" t="s">
        <v>121</v>
      </c>
      <c r="C57" s="17" t="s">
        <v>347</v>
      </c>
      <c r="D57" s="17" t="s">
        <v>50</v>
      </c>
      <c r="E57" s="17" t="s">
        <v>51</v>
      </c>
      <c r="F57" s="17">
        <v>0</v>
      </c>
      <c r="G57" s="17">
        <v>27</v>
      </c>
      <c r="H57" s="17">
        <v>233408</v>
      </c>
      <c r="I57" s="17" t="s">
        <v>52</v>
      </c>
      <c r="J57" s="17">
        <v>233491</v>
      </c>
      <c r="K57" s="16" t="s">
        <v>53</v>
      </c>
      <c r="L57" s="16" t="str">
        <f>VLOOKUP(C57,'Trips&amp;Operators'!$C$2:$E$10000,3,FALSE)</f>
        <v>STARKS</v>
      </c>
      <c r="M57" s="15" t="s">
        <v>252</v>
      </c>
      <c r="N57" s="16"/>
      <c r="P57" s="56" t="str">
        <f>VLOOKUP(C57,'Train Runs'!$A$13:$V$264,22,0)</f>
        <v>https://search-rtdc-monitor-bjffxe2xuh6vdkpspy63sjmuny.us-east-1.es.amazonaws.com/_plugin/kibana/#/discover/Steve-Slow-Train-Analysis-(2080s-and-2083s)?_g=(refreshInterval:(display:Off,section:0,value:0),time:(from:'2016-06-22 09:11:56-0600',mode:absolute,to:'2016-06-22 09:55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7" s="14" t="str">
        <f t="shared" si="1"/>
        <v>4011</v>
      </c>
    </row>
    <row r="58" spans="1:17" s="2" customFormat="1" x14ac:dyDescent="0.25">
      <c r="A58" s="18">
        <v>42543.442696759259</v>
      </c>
      <c r="B58" s="17" t="s">
        <v>123</v>
      </c>
      <c r="C58" s="17" t="s">
        <v>358</v>
      </c>
      <c r="D58" s="17" t="s">
        <v>50</v>
      </c>
      <c r="E58" s="17" t="s">
        <v>51</v>
      </c>
      <c r="F58" s="17">
        <v>0</v>
      </c>
      <c r="G58" s="17">
        <v>72</v>
      </c>
      <c r="H58" s="17">
        <v>233162</v>
      </c>
      <c r="I58" s="17" t="s">
        <v>52</v>
      </c>
      <c r="J58" s="17">
        <v>233491</v>
      </c>
      <c r="K58" s="16" t="s">
        <v>53</v>
      </c>
      <c r="L58" s="16" t="str">
        <f>VLOOKUP(C58,'Trips&amp;Operators'!$C$2:$E$10000,3,FALSE)</f>
        <v>ACKERMAN</v>
      </c>
      <c r="M58" s="15" t="s">
        <v>252</v>
      </c>
      <c r="N58" s="16"/>
      <c r="P58" s="56" t="str">
        <f>VLOOKUP(C58,'Train Runs'!$A$13:$V$264,22,0)</f>
        <v>https://search-rtdc-monitor-bjffxe2xuh6vdkpspy63sjmuny.us-east-1.es.amazonaws.com/_plugin/kibana/#/discover/Steve-Slow-Train-Analysis-(2080s-and-2083s)?_g=(refreshInterval:(display:Off,section:0,value:0),time:(from:'2016-06-22 09:55:12-0600',mode:absolute,to:'2016-06-22 10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8" s="14" t="str">
        <f t="shared" si="1"/>
        <v>4042</v>
      </c>
    </row>
    <row r="59" spans="1:17" s="2" customFormat="1" x14ac:dyDescent="0.25">
      <c r="A59" s="18">
        <v>42543.480312500003</v>
      </c>
      <c r="B59" s="17" t="s">
        <v>246</v>
      </c>
      <c r="C59" s="17" t="s">
        <v>367</v>
      </c>
      <c r="D59" s="17" t="s">
        <v>50</v>
      </c>
      <c r="E59" s="17" t="s">
        <v>51</v>
      </c>
      <c r="F59" s="17">
        <v>0</v>
      </c>
      <c r="G59" s="17">
        <v>9</v>
      </c>
      <c r="H59" s="17">
        <v>233336</v>
      </c>
      <c r="I59" s="17" t="s">
        <v>52</v>
      </c>
      <c r="J59" s="17">
        <v>233491</v>
      </c>
      <c r="K59" s="16" t="s">
        <v>53</v>
      </c>
      <c r="L59" s="16" t="str">
        <f>VLOOKUP(C59,'Trips&amp;Operators'!$C$2:$E$10000,3,FALSE)</f>
        <v>RIVERA</v>
      </c>
      <c r="M59" s="15" t="s">
        <v>252</v>
      </c>
      <c r="N59" s="16"/>
      <c r="P59" s="56" t="str">
        <f>VLOOKUP(C59,'Train Runs'!$A$13:$V$264,22,0)</f>
        <v>https://search-rtdc-monitor-bjffxe2xuh6vdkpspy63sjmuny.us-east-1.es.amazonaws.com/_plugin/kibana/#/discover/Steve-Slow-Train-Analysis-(2080s-and-2083s)?_g=(refreshInterval:(display:Off,section:0,value:0),time:(from:'2016-06-22 10:35:23-0600',mode:absolute,to:'2016-06-22 11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9" s="14" t="str">
        <f t="shared" si="1"/>
        <v>4027</v>
      </c>
    </row>
    <row r="60" spans="1:17" s="2" customFormat="1" x14ac:dyDescent="0.25">
      <c r="A60" s="18">
        <v>42543.483483796299</v>
      </c>
      <c r="B60" s="17" t="s">
        <v>121</v>
      </c>
      <c r="C60" s="17" t="s">
        <v>370</v>
      </c>
      <c r="D60" s="17" t="s">
        <v>50</v>
      </c>
      <c r="E60" s="17" t="s">
        <v>51</v>
      </c>
      <c r="F60" s="17">
        <v>0</v>
      </c>
      <c r="G60" s="17">
        <v>9</v>
      </c>
      <c r="H60" s="17">
        <v>233329</v>
      </c>
      <c r="I60" s="17" t="s">
        <v>52</v>
      </c>
      <c r="J60" s="17">
        <v>233491</v>
      </c>
      <c r="K60" s="16" t="s">
        <v>53</v>
      </c>
      <c r="L60" s="16" t="str">
        <f>VLOOKUP(C60,'Trips&amp;Operators'!$C$2:$E$10000,3,FALSE)</f>
        <v>ROCHA</v>
      </c>
      <c r="M60" s="15" t="s">
        <v>252</v>
      </c>
      <c r="N60" s="16"/>
      <c r="P60" s="56" t="str">
        <f>VLOOKUP(C60,'Train Runs'!$A$13:$V$264,22,0)</f>
        <v>https://search-rtdc-monitor-bjffxe2xuh6vdkpspy63sjmuny.us-east-1.es.amazonaws.com/_plugin/kibana/#/discover/Steve-Slow-Train-Analysis-(2080s-and-2083s)?_g=(refreshInterval:(display:Off,section:0,value:0),time:(from:'2016-06-22 10:57:56-0600',mode:absolute,to:'2016-06-22 11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0" s="14" t="str">
        <f t="shared" si="1"/>
        <v>4011</v>
      </c>
    </row>
    <row r="61" spans="1:17" s="2" customFormat="1" x14ac:dyDescent="0.25">
      <c r="A61" s="18">
        <v>42543.526469907411</v>
      </c>
      <c r="B61" s="17" t="s">
        <v>115</v>
      </c>
      <c r="C61" s="17" t="s">
        <v>385</v>
      </c>
      <c r="D61" s="17" t="s">
        <v>50</v>
      </c>
      <c r="E61" s="17" t="s">
        <v>51</v>
      </c>
      <c r="F61" s="17">
        <v>0</v>
      </c>
      <c r="G61" s="17">
        <v>6</v>
      </c>
      <c r="H61" s="17">
        <v>233351</v>
      </c>
      <c r="I61" s="17" t="s">
        <v>52</v>
      </c>
      <c r="J61" s="17">
        <v>233491</v>
      </c>
      <c r="K61" s="16" t="s">
        <v>53</v>
      </c>
      <c r="L61" s="16" t="str">
        <f>VLOOKUP(C61,'Trips&amp;Operators'!$C$2:$E$10000,3,FALSE)</f>
        <v>SPECTOR</v>
      </c>
      <c r="M61" s="15" t="s">
        <v>252</v>
      </c>
      <c r="N61" s="16"/>
      <c r="P61" s="56" t="str">
        <f>VLOOKUP(C61,'Train Runs'!$A$13:$V$264,22,0)</f>
        <v>https://search-rtdc-monitor-bjffxe2xuh6vdkpspy63sjmuny.us-east-1.es.amazonaws.com/_plugin/kibana/#/discover/Steve-Slow-Train-Analysis-(2080s-and-2083s)?_g=(refreshInterval:(display:Off,section:0,value:0),time:(from:'2016-06-22 11:53:36-0600',mode:absolute,to:'2016-06-22 12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1" s="14" t="str">
        <f t="shared" si="1"/>
        <v>4025</v>
      </c>
    </row>
    <row r="62" spans="1:17" s="2" customFormat="1" x14ac:dyDescent="0.25">
      <c r="A62" s="18">
        <v>42543.61959490741</v>
      </c>
      <c r="B62" s="17" t="s">
        <v>530</v>
      </c>
      <c r="C62" s="17" t="s">
        <v>401</v>
      </c>
      <c r="D62" s="17" t="s">
        <v>50</v>
      </c>
      <c r="E62" s="17" t="s">
        <v>51</v>
      </c>
      <c r="F62" s="17">
        <v>0</v>
      </c>
      <c r="G62" s="17">
        <v>5</v>
      </c>
      <c r="H62" s="17">
        <v>446</v>
      </c>
      <c r="I62" s="17" t="s">
        <v>52</v>
      </c>
      <c r="J62" s="17">
        <v>1</v>
      </c>
      <c r="K62" s="16" t="s">
        <v>54</v>
      </c>
      <c r="L62" s="16" t="str">
        <f>VLOOKUP(C62,'Trips&amp;Operators'!$C$2:$E$10000,3,FALSE)</f>
        <v>BONDS</v>
      </c>
      <c r="M62" s="15" t="s">
        <v>252</v>
      </c>
      <c r="N62" s="16"/>
      <c r="P62" s="56" t="str">
        <f>VLOOKUP(C62,'Train Runs'!$A$13:$V$264,22,0)</f>
        <v>https://search-rtdc-monitor-bjffxe2xuh6vdkpspy63sjmuny.us-east-1.es.amazonaws.com/_plugin/kibana/#/discover/Steve-Slow-Train-Analysis-(2080s-and-2083s)?_g=(refreshInterval:(display:Off,section:0,value:0),time:(from:'2016-06-22 14:01:32-0600',mode:absolute,to:'2016-06-22 14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2" s="14" t="str">
        <f t="shared" si="1"/>
        <v>4039</v>
      </c>
    </row>
    <row r="63" spans="1:17" s="2" customFormat="1" x14ac:dyDescent="0.25">
      <c r="A63" s="18">
        <v>42543.589004629626</v>
      </c>
      <c r="B63" s="17" t="s">
        <v>123</v>
      </c>
      <c r="C63" s="17" t="s">
        <v>403</v>
      </c>
      <c r="D63" s="17" t="s">
        <v>50</v>
      </c>
      <c r="E63" s="17" t="s">
        <v>51</v>
      </c>
      <c r="F63" s="17">
        <v>0</v>
      </c>
      <c r="G63" s="17">
        <v>9</v>
      </c>
      <c r="H63" s="17">
        <v>233332</v>
      </c>
      <c r="I63" s="17" t="s">
        <v>52</v>
      </c>
      <c r="J63" s="17">
        <v>233491</v>
      </c>
      <c r="K63" s="16" t="s">
        <v>53</v>
      </c>
      <c r="L63" s="16" t="str">
        <f>VLOOKUP(C63,'Trips&amp;Operators'!$C$2:$E$10000,3,FALSE)</f>
        <v>COOLAHAN</v>
      </c>
      <c r="M63" s="15" t="s">
        <v>252</v>
      </c>
      <c r="N63" s="16"/>
      <c r="P63" s="56" t="str">
        <f>VLOOKUP(C63,'Train Runs'!$A$13:$V$264,22,0)</f>
        <v>https://search-rtdc-monitor-bjffxe2xuh6vdkpspy63sjmuny.us-east-1.es.amazonaws.com/_plugin/kibana/#/discover/Steve-Slow-Train-Analysis-(2080s-and-2083s)?_g=(refreshInterval:(display:Off,section:0,value:0),time:(from:'2016-06-22 13:22:57-0600',mode:absolute,to:'2016-06-22 14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3" s="14" t="str">
        <f t="shared" si="1"/>
        <v>4042</v>
      </c>
    </row>
    <row r="64" spans="1:17" s="2" customFormat="1" x14ac:dyDescent="0.25">
      <c r="A64" s="18">
        <v>42543.629861111112</v>
      </c>
      <c r="B64" s="17" t="s">
        <v>122</v>
      </c>
      <c r="C64" s="17" t="s">
        <v>404</v>
      </c>
      <c r="D64" s="17" t="s">
        <v>50</v>
      </c>
      <c r="E64" s="17" t="s">
        <v>51</v>
      </c>
      <c r="F64" s="17">
        <v>0</v>
      </c>
      <c r="G64" s="17">
        <v>70</v>
      </c>
      <c r="H64" s="17">
        <v>211</v>
      </c>
      <c r="I64" s="17" t="s">
        <v>52</v>
      </c>
      <c r="J64" s="17">
        <v>1</v>
      </c>
      <c r="K64" s="16" t="s">
        <v>54</v>
      </c>
      <c r="L64" s="16" t="str">
        <f>VLOOKUP(C64,'Trips&amp;Operators'!$C$2:$E$10000,3,FALSE)</f>
        <v>COOLAHAN</v>
      </c>
      <c r="M64" s="15" t="s">
        <v>252</v>
      </c>
      <c r="N64" s="16"/>
      <c r="P64" s="56" t="str">
        <f>VLOOKUP(C64,'Train Runs'!$A$13:$V$264,22,0)</f>
        <v>https://search-rtdc-monitor-bjffxe2xuh6vdkpspy63sjmuny.us-east-1.es.amazonaws.com/_plugin/kibana/#/discover/Steve-Slow-Train-Analysis-(2080s-and-2083s)?_g=(refreshInterval:(display:Off,section:0,value:0),time:(from:'2016-06-22 14:17:38-0600',mode:absolute,to:'2016-06-22 15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4" s="14" t="str">
        <f t="shared" si="1"/>
        <v>4041</v>
      </c>
    </row>
    <row r="65" spans="1:17" s="2" customFormat="1" x14ac:dyDescent="0.25">
      <c r="A65" s="18">
        <v>42543.619351851848</v>
      </c>
      <c r="B65" s="17" t="s">
        <v>535</v>
      </c>
      <c r="C65" s="17" t="s">
        <v>408</v>
      </c>
      <c r="D65" s="17" t="s">
        <v>50</v>
      </c>
      <c r="E65" s="17" t="s">
        <v>51</v>
      </c>
      <c r="F65" s="17">
        <v>0</v>
      </c>
      <c r="G65" s="17">
        <v>5</v>
      </c>
      <c r="H65" s="17">
        <v>233322</v>
      </c>
      <c r="I65" s="17" t="s">
        <v>52</v>
      </c>
      <c r="J65" s="17">
        <v>233491</v>
      </c>
      <c r="K65" s="16" t="s">
        <v>53</v>
      </c>
      <c r="L65" s="16" t="str">
        <f>VLOOKUP(C65,'Trips&amp;Operators'!$C$2:$E$10000,3,FALSE)</f>
        <v>STEWART</v>
      </c>
      <c r="M65" s="15" t="s">
        <v>252</v>
      </c>
      <c r="N65" s="16"/>
      <c r="P65" s="56" t="str">
        <f>VLOOKUP(C65,'Train Runs'!$A$13:$V$264,22,0)</f>
        <v>https://search-rtdc-monitor-bjffxe2xuh6vdkpspy63sjmuny.us-east-1.es.amazonaws.com/_plugin/kibana/#/discover/Steve-Slow-Train-Analysis-(2080s-and-2083s)?_g=(refreshInterval:(display:Off,section:0,value:0),time:(from:'2016-06-22 14:10:04-0600',mode:absolute,to:'2016-06-22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65" s="14" t="str">
        <f t="shared" si="1"/>
        <v>4009</v>
      </c>
    </row>
    <row r="66" spans="1:17" s="2" customFormat="1" x14ac:dyDescent="0.25">
      <c r="A66" s="18">
        <v>42543.650347222225</v>
      </c>
      <c r="B66" s="17" t="s">
        <v>97</v>
      </c>
      <c r="C66" s="17" t="s">
        <v>416</v>
      </c>
      <c r="D66" s="17" t="s">
        <v>50</v>
      </c>
      <c r="E66" s="17" t="s">
        <v>51</v>
      </c>
      <c r="F66" s="17">
        <v>0</v>
      </c>
      <c r="G66" s="17">
        <v>118</v>
      </c>
      <c r="H66" s="17">
        <v>233030</v>
      </c>
      <c r="I66" s="17" t="s">
        <v>52</v>
      </c>
      <c r="J66" s="17">
        <v>233491</v>
      </c>
      <c r="K66" s="16" t="s">
        <v>53</v>
      </c>
      <c r="L66" s="16" t="str">
        <f>VLOOKUP(C66,'Trips&amp;Operators'!$C$2:$E$10000,3,FALSE)</f>
        <v>LOZA</v>
      </c>
      <c r="M66" s="15" t="s">
        <v>252</v>
      </c>
      <c r="N66" s="16"/>
      <c r="P66" s="56" t="str">
        <f>VLOOKUP(C66,'Train Runs'!$A$13:$V$264,22,0)</f>
        <v>https://search-rtdc-monitor-bjffxe2xuh6vdkpspy63sjmuny.us-east-1.es.amazonaws.com/_plugin/kibana/#/discover/Steve-Slow-Train-Analysis-(2080s-and-2083s)?_g=(refreshInterval:(display:Off,section:0,value:0),time:(from:'2016-06-22 14:45:49-0600',mode:absolute,to:'2016-06-22 15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66" s="14" t="str">
        <f t="shared" si="1"/>
        <v>4024</v>
      </c>
    </row>
    <row r="67" spans="1:17" s="2" customFormat="1" x14ac:dyDescent="0.25">
      <c r="A67" s="18">
        <v>42543.682569444441</v>
      </c>
      <c r="B67" s="17" t="s">
        <v>91</v>
      </c>
      <c r="C67" s="17" t="s">
        <v>418</v>
      </c>
      <c r="D67" s="17" t="s">
        <v>50</v>
      </c>
      <c r="E67" s="17" t="s">
        <v>51</v>
      </c>
      <c r="F67" s="17">
        <v>0</v>
      </c>
      <c r="G67" s="17">
        <v>90</v>
      </c>
      <c r="H67" s="17">
        <v>334</v>
      </c>
      <c r="I67" s="17" t="s">
        <v>52</v>
      </c>
      <c r="J67" s="17">
        <v>1</v>
      </c>
      <c r="K67" s="16" t="s">
        <v>54</v>
      </c>
      <c r="L67" s="16" t="str">
        <f>VLOOKUP(C67,'Trips&amp;Operators'!$C$2:$E$10000,3,FALSE)</f>
        <v>LOZA</v>
      </c>
      <c r="M67" s="15" t="s">
        <v>252</v>
      </c>
      <c r="N67" s="16"/>
      <c r="P67" s="56" t="str">
        <f>VLOOKUP(C67,'Train Runs'!$A$13:$V$264,22,0)</f>
        <v>https://search-rtdc-monitor-bjffxe2xuh6vdkpspy63sjmuny.us-east-1.es.amazonaws.com/_plugin/kibana/#/discover/Steve-Slow-Train-Analysis-(2080s-and-2083s)?_g=(refreshInterval:(display:Off,section:0,value:0),time:(from:'2016-06-22 15:38:48-0600',mode:absolute,to:'2016-06-22 16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7" s="14" t="str">
        <f t="shared" si="1"/>
        <v>4023</v>
      </c>
    </row>
    <row r="68" spans="1:17" s="2" customFormat="1" x14ac:dyDescent="0.25">
      <c r="A68" s="18">
        <v>42543.712546296294</v>
      </c>
      <c r="B68" s="17" t="s">
        <v>97</v>
      </c>
      <c r="C68" s="17" t="s">
        <v>441</v>
      </c>
      <c r="D68" s="17" t="s">
        <v>50</v>
      </c>
      <c r="E68" s="17" t="s">
        <v>51</v>
      </c>
      <c r="F68" s="17">
        <v>0</v>
      </c>
      <c r="G68" s="17">
        <v>7</v>
      </c>
      <c r="H68" s="17">
        <v>233403</v>
      </c>
      <c r="I68" s="17" t="s">
        <v>52</v>
      </c>
      <c r="J68" s="17">
        <v>233491</v>
      </c>
      <c r="K68" s="16" t="s">
        <v>53</v>
      </c>
      <c r="L68" s="16" t="str">
        <f>VLOOKUP(C68,'Trips&amp;Operators'!$C$2:$E$10000,3,FALSE)</f>
        <v>LOZA</v>
      </c>
      <c r="M68" s="15" t="s">
        <v>252</v>
      </c>
      <c r="N68" s="16"/>
      <c r="P68" s="56" t="str">
        <f>VLOOKUP(C68,'Train Runs'!$A$13:$V$264,22,0)</f>
        <v>https://search-rtdc-monitor-bjffxe2xuh6vdkpspy63sjmuny.us-east-1.es.amazonaws.com/_plugin/kibana/#/discover/Steve-Slow-Train-Analysis-(2080s-and-2083s)?_g=(refreshInterval:(display:Off,section:0,value:0),time:(from:'2016-06-22 16:26:21-0600',mode:absolute,to:'2016-06-22 17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68" s="14" t="str">
        <f t="shared" si="1"/>
        <v>4024</v>
      </c>
    </row>
    <row r="69" spans="1:17" s="2" customFormat="1" x14ac:dyDescent="0.25">
      <c r="A69" s="18">
        <v>42543.733807870369</v>
      </c>
      <c r="B69" s="17" t="s">
        <v>123</v>
      </c>
      <c r="C69" s="17" t="s">
        <v>448</v>
      </c>
      <c r="D69" s="17" t="s">
        <v>50</v>
      </c>
      <c r="E69" s="17" t="s">
        <v>51</v>
      </c>
      <c r="F69" s="17">
        <v>0</v>
      </c>
      <c r="G69" s="17">
        <v>6</v>
      </c>
      <c r="H69" s="17">
        <v>233144</v>
      </c>
      <c r="I69" s="17" t="s">
        <v>52</v>
      </c>
      <c r="J69" s="17">
        <v>233491</v>
      </c>
      <c r="K69" s="16" t="s">
        <v>53</v>
      </c>
      <c r="L69" s="16" t="str">
        <f>VLOOKUP(C69,'Trips&amp;Operators'!$C$2:$E$10000,3,FALSE)</f>
        <v>COOLAHAN</v>
      </c>
      <c r="M69" s="15" t="s">
        <v>252</v>
      </c>
      <c r="N69" s="16"/>
      <c r="P69" s="56" t="str">
        <f>VLOOKUP(C69,'Train Runs'!$A$13:$V$264,22,0)</f>
        <v>https://search-rtdc-monitor-bjffxe2xuh6vdkpspy63sjmuny.us-east-1.es.amazonaws.com/_plugin/kibana/#/discover/Steve-Slow-Train-Analysis-(2080s-and-2083s)?_g=(refreshInterval:(display:Off,section:0,value:0),time:(from:'2016-06-22 16:56:41-0600',mode:absolute,to:'2016-06-22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9" s="14" t="str">
        <f t="shared" si="1"/>
        <v>4042</v>
      </c>
    </row>
    <row r="70" spans="1:17" s="2" customFormat="1" x14ac:dyDescent="0.25">
      <c r="A70" s="18">
        <v>42543.78162037037</v>
      </c>
      <c r="B70" s="17" t="s">
        <v>122</v>
      </c>
      <c r="C70" s="17" t="s">
        <v>450</v>
      </c>
      <c r="D70" s="17" t="s">
        <v>50</v>
      </c>
      <c r="E70" s="17" t="s">
        <v>51</v>
      </c>
      <c r="F70" s="17">
        <v>0</v>
      </c>
      <c r="G70" s="17">
        <v>7</v>
      </c>
      <c r="H70" s="17">
        <v>118</v>
      </c>
      <c r="I70" s="17" t="s">
        <v>52</v>
      </c>
      <c r="J70" s="17">
        <v>1</v>
      </c>
      <c r="K70" s="16" t="s">
        <v>54</v>
      </c>
      <c r="L70" s="16" t="str">
        <f>VLOOKUP(C70,'Trips&amp;Operators'!$C$2:$E$10000,3,FALSE)</f>
        <v>COOLAHAN</v>
      </c>
      <c r="M70" s="15" t="s">
        <v>252</v>
      </c>
      <c r="N70" s="16"/>
      <c r="P70" s="56" t="str">
        <f>VLOOKUP(C70,'Train Runs'!$A$13:$V$264,22,0)</f>
        <v>https://search-rtdc-monitor-bjffxe2xuh6vdkpspy63sjmuny.us-east-1.es.amazonaws.com/_plugin/kibana/#/discover/Steve-Slow-Train-Analysis-(2080s-and-2083s)?_g=(refreshInterval:(display:Off,section:0,value:0),time:(from:'2016-06-22 17:47:18-0600',mode:absolute,to:'2016-06-22 18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70" s="14" t="str">
        <f t="shared" si="1"/>
        <v>4041</v>
      </c>
    </row>
    <row r="71" spans="1:17" s="2" customFormat="1" x14ac:dyDescent="0.25">
      <c r="A71" s="18">
        <v>42543.752881944441</v>
      </c>
      <c r="B71" s="17" t="s">
        <v>101</v>
      </c>
      <c r="C71" s="17" t="s">
        <v>452</v>
      </c>
      <c r="D71" s="17" t="s">
        <v>50</v>
      </c>
      <c r="E71" s="17" t="s">
        <v>51</v>
      </c>
      <c r="F71" s="17">
        <v>0</v>
      </c>
      <c r="G71" s="17">
        <v>7</v>
      </c>
      <c r="H71" s="17">
        <v>232056</v>
      </c>
      <c r="I71" s="17" t="s">
        <v>52</v>
      </c>
      <c r="J71" s="17">
        <v>233491</v>
      </c>
      <c r="K71" s="16" t="s">
        <v>53</v>
      </c>
      <c r="L71" s="16" t="str">
        <f>VLOOKUP(C71,'Trips&amp;Operators'!$C$2:$E$10000,3,FALSE)</f>
        <v>STRICKLAND</v>
      </c>
      <c r="M71" s="15" t="s">
        <v>252</v>
      </c>
      <c r="N71" s="16"/>
      <c r="P71" s="56" t="str">
        <f>VLOOKUP(C71,'Train Runs'!$A$13:$V$264,22,0)</f>
        <v>https://search-rtdc-monitor-bjffxe2xuh6vdkpspy63sjmuny.us-east-1.es.amazonaws.com/_plugin/kibana/#/discover/Steve-Slow-Train-Analysis-(2080s-and-2083s)?_g=(refreshInterval:(display:Off,section:0,value:0),time:(from:'2016-06-22 17:07:30-0600',mode:absolute,to:'2016-06-22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71" s="14" t="str">
        <f t="shared" ref="Q71:Q72" si="3">MID(B71,13,4)</f>
        <v>4044</v>
      </c>
    </row>
    <row r="72" spans="1:17" s="2" customFormat="1" x14ac:dyDescent="0.25">
      <c r="A72" s="18">
        <v>42543.760092592594</v>
      </c>
      <c r="B72" s="17" t="s">
        <v>535</v>
      </c>
      <c r="C72" s="17" t="s">
        <v>455</v>
      </c>
      <c r="D72" s="17" t="s">
        <v>50</v>
      </c>
      <c r="E72" s="17" t="s">
        <v>51</v>
      </c>
      <c r="F72" s="17">
        <v>0</v>
      </c>
      <c r="G72" s="17">
        <v>31</v>
      </c>
      <c r="H72" s="17">
        <v>233405</v>
      </c>
      <c r="I72" s="17" t="s">
        <v>52</v>
      </c>
      <c r="J72" s="17">
        <v>233491</v>
      </c>
      <c r="K72" s="16" t="s">
        <v>53</v>
      </c>
      <c r="L72" s="16" t="str">
        <f>VLOOKUP(C72,'Trips&amp;Operators'!$C$2:$E$10000,3,FALSE)</f>
        <v>STEWART</v>
      </c>
      <c r="M72" s="15" t="s">
        <v>252</v>
      </c>
      <c r="N72" s="16"/>
      <c r="P72" s="56" t="str">
        <f>VLOOKUP(C72,'Train Runs'!$A$13:$V$264,22,0)</f>
        <v>https://search-rtdc-monitor-bjffxe2xuh6vdkpspy63sjmuny.us-east-1.es.amazonaws.com/_plugin/kibana/#/discover/Steve-Slow-Train-Analysis-(2080s-and-2083s)?_g=(refreshInterval:(display:Off,section:0,value:0),time:(from:'2016-06-22 17:29:26-0600',mode:absolute,to:'2016-06-22 18:15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72" s="14" t="str">
        <f t="shared" si="3"/>
        <v>4009</v>
      </c>
    </row>
    <row r="73" spans="1:17" s="2" customFormat="1" x14ac:dyDescent="0.25">
      <c r="A73" s="18">
        <v>42543.838703703703</v>
      </c>
      <c r="B73" s="17" t="s">
        <v>121</v>
      </c>
      <c r="C73" s="17" t="s">
        <v>471</v>
      </c>
      <c r="D73" s="17" t="s">
        <v>50</v>
      </c>
      <c r="E73" s="17" t="s">
        <v>51</v>
      </c>
      <c r="F73" s="17">
        <v>0</v>
      </c>
      <c r="G73" s="17">
        <v>9</v>
      </c>
      <c r="H73" s="17">
        <v>233297</v>
      </c>
      <c r="I73" s="17" t="s">
        <v>52</v>
      </c>
      <c r="J73" s="17">
        <v>233491</v>
      </c>
      <c r="K73" s="16" t="s">
        <v>53</v>
      </c>
      <c r="L73" s="16" t="str">
        <f>VLOOKUP(C73,'Trips&amp;Operators'!$C$2:$E$10000,3,FALSE)</f>
        <v>MAELZER</v>
      </c>
      <c r="M73" s="15" t="s">
        <v>252</v>
      </c>
      <c r="N73" s="16"/>
      <c r="P73" s="56" t="str">
        <f>VLOOKUP(C73,'Train Runs'!$A$13:$V$264,22,0)</f>
        <v>https://search-rtdc-monitor-bjffxe2xuh6vdkpspy63sjmuny.us-east-1.es.amazonaws.com/_plugin/kibana/#/discover/Steve-Slow-Train-Analysis-(2080s-and-2083s)?_g=(refreshInterval:(display:Off,section:0,value:0),time:(from:'2016-06-22 19:24:50-0600',mode:absolute,to:'2016-06-22 20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73" s="14" t="str">
        <f t="shared" ref="Q73:Q79" si="4">MID(B73,13,4)</f>
        <v>4011</v>
      </c>
    </row>
    <row r="74" spans="1:17" s="2" customFormat="1" x14ac:dyDescent="0.25">
      <c r="A74" s="18">
        <v>42543.879027777781</v>
      </c>
      <c r="B74" s="17" t="s">
        <v>124</v>
      </c>
      <c r="C74" s="17" t="s">
        <v>473</v>
      </c>
      <c r="D74" s="17" t="s">
        <v>50</v>
      </c>
      <c r="E74" s="17" t="s">
        <v>51</v>
      </c>
      <c r="F74" s="17">
        <v>0</v>
      </c>
      <c r="G74" s="17">
        <v>44</v>
      </c>
      <c r="H74" s="17">
        <v>161</v>
      </c>
      <c r="I74" s="17" t="s">
        <v>52</v>
      </c>
      <c r="J74" s="17">
        <v>1</v>
      </c>
      <c r="K74" s="16" t="s">
        <v>54</v>
      </c>
      <c r="L74" s="16" t="str">
        <f>VLOOKUP(C74,'Trips&amp;Operators'!$C$2:$E$10000,3,FALSE)</f>
        <v>MAELZER</v>
      </c>
      <c r="M74" s="15" t="s">
        <v>252</v>
      </c>
      <c r="N74" s="16"/>
      <c r="P74" s="56" t="str">
        <f>VLOOKUP(C74,'Train Runs'!$A$13:$V$264,22,0)</f>
        <v>https://search-rtdc-monitor-bjffxe2xuh6vdkpspy63sjmuny.us-east-1.es.amazonaws.com/_plugin/kibana/#/discover/Steve-Slow-Train-Analysis-(2080s-and-2083s)?_g=(refreshInterval:(display:Off,section:0,value:0),time:(from:'2016-06-22 20:16:47-0600',mode:absolute,to:'2016-06-22 21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74" s="14" t="str">
        <f t="shared" si="4"/>
        <v>4012</v>
      </c>
    </row>
    <row r="75" spans="1:17" x14ac:dyDescent="0.25">
      <c r="A75" s="18">
        <v>42543.858344907407</v>
      </c>
      <c r="B75" s="17" t="s">
        <v>97</v>
      </c>
      <c r="C75" s="17" t="s">
        <v>474</v>
      </c>
      <c r="D75" s="17" t="s">
        <v>50</v>
      </c>
      <c r="E75" s="17" t="s">
        <v>51</v>
      </c>
      <c r="F75" s="17">
        <v>0</v>
      </c>
      <c r="G75" s="17">
        <v>105</v>
      </c>
      <c r="H75" s="17">
        <v>233094</v>
      </c>
      <c r="I75" s="17" t="s">
        <v>52</v>
      </c>
      <c r="J75" s="17">
        <v>233491</v>
      </c>
      <c r="K75" s="16" t="s">
        <v>53</v>
      </c>
      <c r="L75" s="16" t="str">
        <f>VLOOKUP(C75,'Trips&amp;Operators'!$C$2:$E$10000,3,FALSE)</f>
        <v>ADANE</v>
      </c>
      <c r="M75" s="15" t="s">
        <v>252</v>
      </c>
      <c r="N75" s="16"/>
      <c r="O75" s="2"/>
      <c r="P75" s="56" t="str">
        <f>VLOOKUP(C75,'Train Runs'!$A$13:$V$264,22,0)</f>
        <v>https://search-rtdc-monitor-bjffxe2xuh6vdkpspy63sjmuny.us-east-1.es.amazonaws.com/_plugin/kibana/#/discover/Steve-Slow-Train-Analysis-(2080s-and-2083s)?_g=(refreshInterval:(display:Off,section:0,value:0),time:(from:'2016-06-22 19:53:27-0600',mode:absolute,to:'2016-06-22 20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5" s="14" t="str">
        <f t="shared" si="4"/>
        <v>4024</v>
      </c>
    </row>
    <row r="76" spans="1:17" x14ac:dyDescent="0.25">
      <c r="A76" s="18">
        <v>42543.880787037036</v>
      </c>
      <c r="B76" s="17" t="s">
        <v>115</v>
      </c>
      <c r="C76" s="17" t="s">
        <v>479</v>
      </c>
      <c r="D76" s="17" t="s">
        <v>50</v>
      </c>
      <c r="E76" s="17" t="s">
        <v>51</v>
      </c>
      <c r="F76" s="17">
        <v>0</v>
      </c>
      <c r="G76" s="17">
        <v>5</v>
      </c>
      <c r="H76" s="17">
        <v>233312</v>
      </c>
      <c r="I76" s="17" t="s">
        <v>52</v>
      </c>
      <c r="J76" s="17">
        <v>233491</v>
      </c>
      <c r="K76" s="16" t="s">
        <v>53</v>
      </c>
      <c r="L76" s="16" t="str">
        <f>VLOOKUP(C76,'Trips&amp;Operators'!$C$2:$E$10000,3,FALSE)</f>
        <v>MOSES</v>
      </c>
      <c r="M76" s="15" t="s">
        <v>252</v>
      </c>
      <c r="N76" s="16"/>
      <c r="O76" s="2"/>
      <c r="P76" s="56" t="str">
        <f>VLOOKUP(C76,'Train Runs'!$A$13:$V$264,22,0)</f>
        <v>https://search-rtdc-monitor-bjffxe2xuh6vdkpspy63sjmuny.us-east-1.es.amazonaws.com/_plugin/kibana/#/discover/Steve-Slow-Train-Analysis-(2080s-and-2083s)?_g=(refreshInterval:(display:Off,section:0,value:0),time:(from:'2016-06-22 20:21:42-0600',mode:absolute,to:'2016-06-22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6" s="14" t="str">
        <f t="shared" si="4"/>
        <v>4025</v>
      </c>
    </row>
    <row r="77" spans="1:17" x14ac:dyDescent="0.25">
      <c r="A77" s="18">
        <v>42544.047777777778</v>
      </c>
      <c r="B77" s="17" t="s">
        <v>115</v>
      </c>
      <c r="C77" s="17" t="s">
        <v>499</v>
      </c>
      <c r="D77" s="17" t="s">
        <v>50</v>
      </c>
      <c r="E77" s="17" t="s">
        <v>51</v>
      </c>
      <c r="F77" s="17">
        <v>0</v>
      </c>
      <c r="G77" s="17">
        <v>123</v>
      </c>
      <c r="H77" s="17">
        <v>232977</v>
      </c>
      <c r="I77" s="17" t="s">
        <v>52</v>
      </c>
      <c r="J77" s="17">
        <v>233491</v>
      </c>
      <c r="K77" s="16" t="s">
        <v>53</v>
      </c>
      <c r="L77" s="16" t="str">
        <f>VLOOKUP(C77,'Trips&amp;Operators'!$C$2:$E$10000,3,FALSE)</f>
        <v>MOSES</v>
      </c>
      <c r="M77" s="15" t="s">
        <v>252</v>
      </c>
      <c r="N77" s="16"/>
      <c r="O77" s="2"/>
      <c r="P77" s="56" t="str">
        <f>VLOOKUP(C77,'Train Runs'!$A$13:$V$264,22,0)</f>
        <v>https://search-rtdc-monitor-bjffxe2xuh6vdkpspy63sjmuny.us-east-1.es.amazonaws.com/_plugin/kibana/#/discover/Steve-Slow-Train-Analysis-(2080s-and-2083s)?_g=(refreshInterval:(display:Off,section:0,value:0),time:(from:'2016-06-23 00:23:53-0600',mode:absolute,to:'2016-06-23 01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7" s="14" t="str">
        <f t="shared" si="4"/>
        <v>4025</v>
      </c>
    </row>
    <row r="78" spans="1:17" x14ac:dyDescent="0.25">
      <c r="A78" s="18">
        <v>42543.268587962964</v>
      </c>
      <c r="B78" s="17" t="s">
        <v>532</v>
      </c>
      <c r="C78" s="17" t="s">
        <v>505</v>
      </c>
      <c r="D78" s="17" t="s">
        <v>50</v>
      </c>
      <c r="E78" s="17" t="s">
        <v>51</v>
      </c>
      <c r="F78" s="17">
        <v>0</v>
      </c>
      <c r="G78" s="17">
        <v>58</v>
      </c>
      <c r="H78" s="17">
        <v>1002</v>
      </c>
      <c r="I78" s="17" t="s">
        <v>52</v>
      </c>
      <c r="J78" s="17">
        <v>826</v>
      </c>
      <c r="K78" s="16" t="s">
        <v>54</v>
      </c>
      <c r="L78" s="16" t="str">
        <f>VLOOKUP(C78,'Trips&amp;Operators'!$C$2:$E$10000,3,FALSE)</f>
        <v>HELVIE</v>
      </c>
      <c r="M78" s="15" t="s">
        <v>252</v>
      </c>
      <c r="N78" s="16"/>
      <c r="O78" s="2"/>
      <c r="P78" s="56" t="e">
        <f>VLOOKUP(C78,'Train Runs'!$A$13:$V$264,22,0)</f>
        <v>#N/A</v>
      </c>
      <c r="Q78" s="14" t="str">
        <f t="shared" si="4"/>
        <v>4056</v>
      </c>
    </row>
    <row r="79" spans="1:17" x14ac:dyDescent="0.25">
      <c r="A79" s="18">
        <v>42543.700648148151</v>
      </c>
      <c r="B79" s="17" t="s">
        <v>538</v>
      </c>
      <c r="C79" s="17" t="s">
        <v>527</v>
      </c>
      <c r="D79" s="17" t="s">
        <v>50</v>
      </c>
      <c r="E79" s="17" t="s">
        <v>51</v>
      </c>
      <c r="F79" s="17">
        <v>0</v>
      </c>
      <c r="G79" s="17">
        <v>6</v>
      </c>
      <c r="H79" s="17">
        <v>587</v>
      </c>
      <c r="I79" s="17" t="s">
        <v>52</v>
      </c>
      <c r="J79" s="17">
        <v>575</v>
      </c>
      <c r="K79" s="16" t="s">
        <v>54</v>
      </c>
      <c r="L79" s="16" t="str">
        <f>VLOOKUP(C79,'Trips&amp;Operators'!$C$2:$E$10000,3,FALSE)</f>
        <v>REBOLETTI</v>
      </c>
      <c r="M79" s="15" t="s">
        <v>252</v>
      </c>
      <c r="N79" s="16"/>
      <c r="O79" s="2"/>
      <c r="P79" s="56" t="e">
        <f>VLOOKUP(C79,'Train Runs'!$A$13:$V$264,22,0)</f>
        <v>#N/A</v>
      </c>
      <c r="Q79" s="14" t="str">
        <f t="shared" si="4"/>
        <v>4054</v>
      </c>
    </row>
  </sheetData>
  <autoFilter ref="A6:N74">
    <sortState ref="A7:N81">
      <sortCondition ref="E6:E76"/>
    </sortState>
  </autoFilter>
  <sortState ref="A31:Q43">
    <sortCondition ref="N31:N43"/>
  </sortState>
  <mergeCells count="1">
    <mergeCell ref="A5:M5"/>
  </mergeCells>
  <conditionalFormatting sqref="P6 M6:N6 M7:M1048576">
    <cfRule type="cellIs" dxfId="5" priority="10" operator="equal">
      <formula>"Y"</formula>
    </cfRule>
  </conditionalFormatting>
  <conditionalFormatting sqref="A7:N79">
    <cfRule type="expression" dxfId="4" priority="3">
      <formula>$M7="Y"</formula>
    </cfRule>
  </conditionalFormatting>
  <conditionalFormatting sqref="M2:M3">
    <cfRule type="cellIs" dxfId="3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selection activeCell="A5" sqref="A5:XFD10"/>
    </sheetView>
  </sheetViews>
  <sheetFormatPr defaultRowHeight="15" x14ac:dyDescent="0.25"/>
  <cols>
    <col min="1" max="1" width="9.140625" customWidth="1"/>
    <col min="2" max="2" width="8" style="62" bestFit="1" customWidth="1"/>
    <col min="3" max="3" width="7.85546875" style="64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1" t="str">
        <f>"Trips that did not appear in PTC Data "&amp;TEXT(Variables!$A$2,"YYYY-mm-dd")</f>
        <v>Trips that did not appear in PTC Data 2016-06-22</v>
      </c>
      <c r="B1" s="91"/>
      <c r="C1" s="91"/>
      <c r="D1" s="91"/>
      <c r="E1" s="91"/>
    </row>
    <row r="2" spans="1:10" s="54" customFormat="1" ht="45" x14ac:dyDescent="0.25">
      <c r="A2" s="53" t="s">
        <v>109</v>
      </c>
      <c r="B2" s="65" t="s">
        <v>110</v>
      </c>
      <c r="C2" s="63" t="s">
        <v>111</v>
      </c>
      <c r="D2" s="54" t="s">
        <v>107</v>
      </c>
      <c r="E2" s="54" t="s">
        <v>108</v>
      </c>
      <c r="F2" s="54" t="s">
        <v>136</v>
      </c>
      <c r="G2" s="66" t="s">
        <v>137</v>
      </c>
    </row>
    <row r="3" spans="1:10" x14ac:dyDescent="0.25">
      <c r="A3" s="68" t="s">
        <v>548</v>
      </c>
      <c r="B3" s="68"/>
      <c r="C3" s="68"/>
      <c r="D3" s="68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7" t="e">
        <f>VLOOKUP(A3,'Trips&amp;Operators'!$C$1:$H$10000,5,FALSE)</f>
        <v>#N/A</v>
      </c>
      <c r="H3" s="42"/>
      <c r="I3" s="42"/>
      <c r="J3" s="42"/>
    </row>
    <row r="4" spans="1:10" x14ac:dyDescent="0.25">
      <c r="A4" s="68" t="s">
        <v>549</v>
      </c>
      <c r="B4" s="68"/>
      <c r="C4" s="68"/>
      <c r="D4" s="68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7" t="e">
        <f>VLOOKUP(A4,'Trips&amp;Operators'!$C$1:$H$10000,5,FALSE)</f>
        <v>#N/A</v>
      </c>
      <c r="H4" s="42"/>
      <c r="I4" s="42"/>
      <c r="J4" s="42"/>
    </row>
    <row r="5" spans="1:10" x14ac:dyDescent="0.25">
      <c r="A5" s="54"/>
      <c r="B5" s="73"/>
      <c r="C5" s="45"/>
      <c r="D5" s="46"/>
      <c r="E5" s="45"/>
      <c r="F5" s="45"/>
      <c r="G5" s="74"/>
      <c r="H5" s="42"/>
      <c r="I5" s="42"/>
      <c r="J5" s="42"/>
    </row>
    <row r="6" spans="1:10" x14ac:dyDescent="0.25">
      <c r="A6" s="54"/>
      <c r="B6" s="73"/>
      <c r="C6" s="45"/>
      <c r="D6" s="46"/>
      <c r="E6" s="45"/>
      <c r="F6" s="45"/>
      <c r="G6" s="74"/>
      <c r="H6" s="42"/>
      <c r="I6" s="42"/>
      <c r="J6" s="42"/>
    </row>
    <row r="7" spans="1:10" x14ac:dyDescent="0.25">
      <c r="A7" s="54"/>
      <c r="B7" s="73"/>
      <c r="C7" s="45"/>
      <c r="D7" s="46"/>
      <c r="E7" s="45"/>
      <c r="F7" s="45"/>
      <c r="G7" s="74"/>
      <c r="H7" s="42"/>
      <c r="I7" s="42"/>
      <c r="J7" s="42"/>
    </row>
    <row r="8" spans="1:10" x14ac:dyDescent="0.25">
      <c r="A8" s="54"/>
      <c r="B8" s="73"/>
      <c r="C8" s="45"/>
      <c r="D8" s="46"/>
      <c r="E8" s="45"/>
      <c r="F8" s="45"/>
      <c r="G8" s="74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B132"/>
      <c r="C132"/>
      <c r="H132" s="42"/>
      <c r="I132" s="42"/>
      <c r="J132" s="42"/>
    </row>
    <row r="133" spans="2:10" x14ac:dyDescent="0.25">
      <c r="B133"/>
      <c r="C133"/>
      <c r="H133" s="42"/>
      <c r="I133" s="42"/>
      <c r="J133" s="42"/>
    </row>
    <row r="134" spans="2:10" x14ac:dyDescent="0.25">
      <c r="B134"/>
      <c r="C134"/>
      <c r="H134" s="42"/>
      <c r="I134" s="42"/>
      <c r="J134" s="42"/>
    </row>
    <row r="135" spans="2:10" x14ac:dyDescent="0.25">
      <c r="B135"/>
      <c r="C135"/>
      <c r="H135" s="42"/>
      <c r="I135" s="42"/>
      <c r="J135" s="42"/>
    </row>
    <row r="136" spans="2:10" x14ac:dyDescent="0.25">
      <c r="B136"/>
      <c r="C136"/>
      <c r="H136" s="42"/>
      <c r="I136" s="42"/>
      <c r="J136" s="42"/>
    </row>
    <row r="137" spans="2:10" x14ac:dyDescent="0.25">
      <c r="H137" s="42"/>
      <c r="I137" s="42"/>
      <c r="J137" s="42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2" priority="82">
      <formula>$H133&gt;0</formula>
    </cfRule>
    <cfRule type="expression" dxfId="1" priority="83">
      <formula>$G133&gt;0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topLeftCell="A181" workbookViewId="0">
      <selection activeCell="H207" sqref="H207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42543.370057870372</v>
      </c>
      <c r="B1" s="42" t="s">
        <v>246</v>
      </c>
      <c r="C1" s="42" t="s">
        <v>343</v>
      </c>
      <c r="D1" s="42">
        <v>900000</v>
      </c>
      <c r="E1" s="42" t="s">
        <v>103</v>
      </c>
      <c r="F1" s="42" t="s">
        <v>246</v>
      </c>
      <c r="G1" s="13">
        <v>42543.370057870372</v>
      </c>
    </row>
    <row r="2" spans="1:7" x14ac:dyDescent="0.25">
      <c r="A2" s="13">
        <v>42543.450254629628</v>
      </c>
      <c r="B2" t="s">
        <v>122</v>
      </c>
      <c r="C2" t="s">
        <v>360</v>
      </c>
      <c r="D2">
        <v>1260000</v>
      </c>
      <c r="E2" t="s">
        <v>140</v>
      </c>
      <c r="F2" s="42" t="s">
        <v>122</v>
      </c>
      <c r="G2" s="13">
        <v>42543.450254629628</v>
      </c>
    </row>
    <row r="3" spans="1:7" x14ac:dyDescent="0.25">
      <c r="A3" s="13">
        <v>42543.467326388891</v>
      </c>
      <c r="B3" t="s">
        <v>533</v>
      </c>
      <c r="C3" t="s">
        <v>366</v>
      </c>
      <c r="D3">
        <v>1520000</v>
      </c>
      <c r="E3" t="s">
        <v>539</v>
      </c>
      <c r="F3" s="42" t="s">
        <v>533</v>
      </c>
      <c r="G3" s="13">
        <v>42543.467326388891</v>
      </c>
    </row>
    <row r="4" spans="1:7" x14ac:dyDescent="0.25">
      <c r="A4" s="13">
        <v>42543.442685185182</v>
      </c>
      <c r="B4" t="s">
        <v>246</v>
      </c>
      <c r="C4" t="s">
        <v>367</v>
      </c>
      <c r="D4">
        <v>1470000</v>
      </c>
      <c r="E4" t="s">
        <v>240</v>
      </c>
      <c r="F4" s="42" t="s">
        <v>246</v>
      </c>
      <c r="G4" s="13">
        <v>42543.442685185182</v>
      </c>
    </row>
    <row r="5" spans="1:7" x14ac:dyDescent="0.25">
      <c r="A5" s="13">
        <v>42543.476354166669</v>
      </c>
      <c r="B5" t="s">
        <v>97</v>
      </c>
      <c r="C5" t="s">
        <v>374</v>
      </c>
      <c r="D5">
        <v>1360000</v>
      </c>
      <c r="E5" t="s">
        <v>540</v>
      </c>
      <c r="F5" s="42" t="s">
        <v>97</v>
      </c>
      <c r="G5" s="13">
        <v>42543.476354166669</v>
      </c>
    </row>
    <row r="6" spans="1:7" x14ac:dyDescent="0.25">
      <c r="A6" s="13">
        <v>42543.305266203701</v>
      </c>
      <c r="B6" t="s">
        <v>534</v>
      </c>
      <c r="C6" t="s">
        <v>510</v>
      </c>
      <c r="D6">
        <v>1480000</v>
      </c>
      <c r="E6" t="s">
        <v>141</v>
      </c>
      <c r="F6" s="42" t="s">
        <v>534</v>
      </c>
      <c r="G6" s="13">
        <v>42543.305266203701</v>
      </c>
    </row>
    <row r="7" spans="1:7" x14ac:dyDescent="0.25">
      <c r="A7" s="13">
        <v>42543.511712962965</v>
      </c>
      <c r="B7" t="s">
        <v>530</v>
      </c>
      <c r="C7" t="s">
        <v>379</v>
      </c>
      <c r="D7">
        <v>940000</v>
      </c>
      <c r="E7" t="s">
        <v>247</v>
      </c>
      <c r="F7" s="42" t="s">
        <v>530</v>
      </c>
      <c r="G7" s="13">
        <v>42543.511712962965</v>
      </c>
    </row>
    <row r="8" spans="1:7" x14ac:dyDescent="0.25">
      <c r="A8" s="13">
        <v>42543.546238425923</v>
      </c>
      <c r="B8" t="s">
        <v>537</v>
      </c>
      <c r="C8" t="s">
        <v>400</v>
      </c>
      <c r="D8">
        <v>940000</v>
      </c>
      <c r="E8" t="s">
        <v>247</v>
      </c>
      <c r="F8" s="42" t="s">
        <v>537</v>
      </c>
      <c r="G8" s="13">
        <v>42543.546238425923</v>
      </c>
    </row>
    <row r="9" spans="1:7" ht="15.75" thickBot="1" x14ac:dyDescent="0.3">
      <c r="A9" s="59">
        <v>42543.616342592592</v>
      </c>
      <c r="B9" t="s">
        <v>97</v>
      </c>
      <c r="C9" t="s">
        <v>416</v>
      </c>
      <c r="D9">
        <v>890000</v>
      </c>
      <c r="E9" t="s">
        <v>541</v>
      </c>
      <c r="F9" s="42" t="s">
        <v>97</v>
      </c>
      <c r="G9" s="59">
        <v>42543.616342592592</v>
      </c>
    </row>
    <row r="10" spans="1:7" x14ac:dyDescent="0.25">
      <c r="A10" s="13">
        <v>42543.641493055555</v>
      </c>
      <c r="B10" t="s">
        <v>115</v>
      </c>
      <c r="C10" t="s">
        <v>536</v>
      </c>
      <c r="D10">
        <v>1090000</v>
      </c>
      <c r="E10" t="s">
        <v>164</v>
      </c>
      <c r="F10" s="42" t="s">
        <v>115</v>
      </c>
      <c r="G10" s="13">
        <v>42543.641493055555</v>
      </c>
    </row>
    <row r="11" spans="1:7" x14ac:dyDescent="0.25">
      <c r="A11" s="13">
        <v>42543.674062500002</v>
      </c>
      <c r="B11" t="s">
        <v>121</v>
      </c>
      <c r="C11" t="s">
        <v>434</v>
      </c>
      <c r="D11">
        <v>1470000</v>
      </c>
      <c r="E11" t="s">
        <v>240</v>
      </c>
      <c r="F11" s="42" t="s">
        <v>121</v>
      </c>
      <c r="G11" s="13">
        <v>42543.674062500002</v>
      </c>
    </row>
    <row r="12" spans="1:7" x14ac:dyDescent="0.25">
      <c r="A12" s="13">
        <v>42543.296574074076</v>
      </c>
      <c r="B12" t="s">
        <v>532</v>
      </c>
      <c r="C12" t="s">
        <v>509</v>
      </c>
      <c r="D12">
        <v>1540000</v>
      </c>
      <c r="E12" t="s">
        <v>163</v>
      </c>
      <c r="F12" s="42" t="s">
        <v>532</v>
      </c>
      <c r="G12" s="13">
        <v>42543.296574074076</v>
      </c>
    </row>
    <row r="13" spans="1:7" x14ac:dyDescent="0.25">
      <c r="A13" s="13">
        <v>42543.686006944445</v>
      </c>
      <c r="B13" t="s">
        <v>97</v>
      </c>
      <c r="C13" t="s">
        <v>441</v>
      </c>
      <c r="D13">
        <v>890000</v>
      </c>
      <c r="E13" t="s">
        <v>541</v>
      </c>
      <c r="F13" s="42" t="s">
        <v>97</v>
      </c>
      <c r="G13" s="13">
        <v>42543.686006944445</v>
      </c>
    </row>
    <row r="14" spans="1:7" x14ac:dyDescent="0.25">
      <c r="A14" s="13">
        <v>42543.285775462966</v>
      </c>
      <c r="B14" t="s">
        <v>91</v>
      </c>
      <c r="C14" t="s">
        <v>300</v>
      </c>
      <c r="D14">
        <v>2000000</v>
      </c>
      <c r="E14" t="s">
        <v>165</v>
      </c>
      <c r="F14" s="42" t="s">
        <v>91</v>
      </c>
      <c r="G14" s="13">
        <v>42543.285775462966</v>
      </c>
    </row>
    <row r="15" spans="1:7" x14ac:dyDescent="0.25">
      <c r="A15" s="13">
        <v>42543.691608796296</v>
      </c>
      <c r="B15" t="s">
        <v>533</v>
      </c>
      <c r="C15" t="s">
        <v>433</v>
      </c>
      <c r="D15">
        <v>880000</v>
      </c>
      <c r="E15" t="s">
        <v>542</v>
      </c>
      <c r="F15" s="42" t="s">
        <v>533</v>
      </c>
      <c r="G15" s="13">
        <v>42543.691608796296</v>
      </c>
    </row>
    <row r="16" spans="1:7" x14ac:dyDescent="0.25">
      <c r="A16" s="13">
        <v>42543.267245370371</v>
      </c>
      <c r="B16" t="s">
        <v>239</v>
      </c>
      <c r="C16" t="s">
        <v>293</v>
      </c>
      <c r="D16">
        <v>900000</v>
      </c>
      <c r="E16" t="s">
        <v>103</v>
      </c>
      <c r="F16" s="42" t="s">
        <v>239</v>
      </c>
      <c r="G16" s="13">
        <v>42543.267245370371</v>
      </c>
    </row>
    <row r="17" spans="1:7" x14ac:dyDescent="0.25">
      <c r="A17" s="13">
        <v>42543.724965277775</v>
      </c>
      <c r="B17" s="42" t="s">
        <v>91</v>
      </c>
      <c r="C17" t="s">
        <v>444</v>
      </c>
      <c r="D17">
        <v>890000</v>
      </c>
      <c r="E17" t="s">
        <v>541</v>
      </c>
      <c r="F17" s="42" t="s">
        <v>91</v>
      </c>
      <c r="G17" s="13">
        <v>42543.724965277775</v>
      </c>
    </row>
    <row r="18" spans="1:7" x14ac:dyDescent="0.25">
      <c r="A18" s="13">
        <v>42543.255995370368</v>
      </c>
      <c r="B18" t="s">
        <v>532</v>
      </c>
      <c r="C18" t="s">
        <v>505</v>
      </c>
      <c r="D18">
        <v>1540000</v>
      </c>
      <c r="E18" t="s">
        <v>163</v>
      </c>
      <c r="F18" s="42" t="s">
        <v>532</v>
      </c>
      <c r="G18" s="13">
        <v>42543.255995370368</v>
      </c>
    </row>
    <row r="19" spans="1:7" x14ac:dyDescent="0.25">
      <c r="A19" s="13">
        <v>42543.766423611109</v>
      </c>
      <c r="B19" t="s">
        <v>533</v>
      </c>
      <c r="C19" t="s">
        <v>456</v>
      </c>
      <c r="D19">
        <v>880000</v>
      </c>
      <c r="E19" t="s">
        <v>542</v>
      </c>
      <c r="F19" s="42" t="s">
        <v>533</v>
      </c>
      <c r="G19" s="13">
        <v>42543.766423611109</v>
      </c>
    </row>
    <row r="20" spans="1:7" x14ac:dyDescent="0.25">
      <c r="A20" s="13">
        <v>42543.171064814815</v>
      </c>
      <c r="B20" t="s">
        <v>97</v>
      </c>
      <c r="C20" t="s">
        <v>271</v>
      </c>
      <c r="D20">
        <v>2000000</v>
      </c>
      <c r="E20" t="s">
        <v>165</v>
      </c>
      <c r="F20" s="42" t="s">
        <v>97</v>
      </c>
      <c r="G20" s="13">
        <v>42543.171064814815</v>
      </c>
    </row>
    <row r="21" spans="1:7" x14ac:dyDescent="0.25">
      <c r="A21" s="13">
        <v>42543.825300925928</v>
      </c>
      <c r="B21" t="s">
        <v>82</v>
      </c>
      <c r="C21" t="s">
        <v>470</v>
      </c>
      <c r="D21">
        <v>1760000</v>
      </c>
      <c r="E21" t="s">
        <v>543</v>
      </c>
      <c r="F21" s="42" t="s">
        <v>82</v>
      </c>
      <c r="G21" s="13">
        <v>42543.825300925928</v>
      </c>
    </row>
    <row r="22" spans="1:7" x14ac:dyDescent="0.25">
      <c r="A22" s="61">
        <v>42543.27685185185</v>
      </c>
      <c r="B22" t="s">
        <v>124</v>
      </c>
      <c r="C22" t="s">
        <v>296</v>
      </c>
      <c r="D22">
        <v>1110000</v>
      </c>
      <c r="E22" t="s">
        <v>243</v>
      </c>
      <c r="F22" s="42" t="s">
        <v>124</v>
      </c>
      <c r="G22" s="61">
        <v>42543.27685185185</v>
      </c>
    </row>
    <row r="23" spans="1:7" x14ac:dyDescent="0.25">
      <c r="A23" s="13">
        <v>42543.86614583333</v>
      </c>
      <c r="B23" t="s">
        <v>101</v>
      </c>
      <c r="C23" t="s">
        <v>481</v>
      </c>
      <c r="D23">
        <v>1760000</v>
      </c>
      <c r="E23" t="s">
        <v>543</v>
      </c>
      <c r="F23" s="42" t="s">
        <v>101</v>
      </c>
      <c r="G23" s="13">
        <v>42543.86614583333</v>
      </c>
    </row>
    <row r="24" spans="1:7" x14ac:dyDescent="0.25">
      <c r="A24" s="13">
        <v>42543.276979166665</v>
      </c>
      <c r="B24" t="s">
        <v>531</v>
      </c>
      <c r="C24" t="s">
        <v>508</v>
      </c>
      <c r="D24">
        <v>1540000</v>
      </c>
      <c r="E24" t="s">
        <v>163</v>
      </c>
      <c r="F24" s="42" t="s">
        <v>531</v>
      </c>
      <c r="G24" s="13">
        <v>42543.276979166665</v>
      </c>
    </row>
    <row r="25" spans="1:7" x14ac:dyDescent="0.25">
      <c r="A25" s="13">
        <v>42543.889467592591</v>
      </c>
      <c r="B25" t="s">
        <v>121</v>
      </c>
      <c r="C25" t="s">
        <v>483</v>
      </c>
      <c r="D25">
        <v>2010000</v>
      </c>
      <c r="E25" t="s">
        <v>132</v>
      </c>
      <c r="F25" s="42" t="s">
        <v>121</v>
      </c>
      <c r="G25" s="13">
        <v>42543.889467592591</v>
      </c>
    </row>
    <row r="26" spans="1:7" x14ac:dyDescent="0.25">
      <c r="A26" s="13">
        <v>42543.26085648148</v>
      </c>
      <c r="B26" t="s">
        <v>534</v>
      </c>
      <c r="C26" t="s">
        <v>506</v>
      </c>
      <c r="D26">
        <v>1480000</v>
      </c>
      <c r="E26" t="s">
        <v>141</v>
      </c>
      <c r="F26" s="42" t="s">
        <v>534</v>
      </c>
      <c r="G26" s="13">
        <v>42543.26085648148</v>
      </c>
    </row>
    <row r="27" spans="1:7" x14ac:dyDescent="0.25">
      <c r="A27" s="13">
        <v>42543.906909722224</v>
      </c>
      <c r="B27" t="s">
        <v>82</v>
      </c>
      <c r="C27" t="s">
        <v>482</v>
      </c>
      <c r="D27">
        <v>1760000</v>
      </c>
      <c r="E27" t="s">
        <v>543</v>
      </c>
      <c r="F27" s="42" t="s">
        <v>82</v>
      </c>
      <c r="G27" s="13">
        <v>42543.906909722224</v>
      </c>
    </row>
    <row r="28" spans="1:7" x14ac:dyDescent="0.25">
      <c r="A28" s="13">
        <v>42543.163136574076</v>
      </c>
      <c r="B28" s="42" t="s">
        <v>533</v>
      </c>
      <c r="C28" t="s">
        <v>263</v>
      </c>
      <c r="D28">
        <v>1830000</v>
      </c>
      <c r="E28" t="s">
        <v>544</v>
      </c>
      <c r="F28" s="42" t="s">
        <v>533</v>
      </c>
      <c r="G28" s="13">
        <v>42543.163136574076</v>
      </c>
    </row>
    <row r="29" spans="1:7" x14ac:dyDescent="0.25">
      <c r="A29" s="13">
        <v>42544.036620370367</v>
      </c>
      <c r="B29" t="s">
        <v>91</v>
      </c>
      <c r="C29" t="s">
        <v>497</v>
      </c>
      <c r="D29">
        <v>1820000</v>
      </c>
      <c r="E29" t="s">
        <v>245</v>
      </c>
      <c r="F29" s="42" t="s">
        <v>91</v>
      </c>
      <c r="G29" s="13">
        <v>42544.036620370367</v>
      </c>
    </row>
    <row r="30" spans="1:7" x14ac:dyDescent="0.25">
      <c r="A30" s="13">
        <v>42543.731435185182</v>
      </c>
      <c r="B30" t="s">
        <v>530</v>
      </c>
      <c r="C30" t="s">
        <v>447</v>
      </c>
      <c r="D30">
        <v>940000</v>
      </c>
      <c r="E30" t="s">
        <v>247</v>
      </c>
      <c r="F30" s="42" t="s">
        <v>530</v>
      </c>
      <c r="G30" s="13">
        <v>42543.731435185182</v>
      </c>
    </row>
    <row r="31" spans="1:7" x14ac:dyDescent="0.25">
      <c r="A31" s="13">
        <v>42543.204050925924</v>
      </c>
      <c r="B31" t="s">
        <v>101</v>
      </c>
      <c r="C31" t="s">
        <v>284</v>
      </c>
      <c r="D31">
        <v>1520000</v>
      </c>
      <c r="E31" t="s">
        <v>539</v>
      </c>
      <c r="F31" s="42" t="s">
        <v>101</v>
      </c>
      <c r="G31" s="13">
        <v>42543.204050925924</v>
      </c>
    </row>
    <row r="32" spans="1:7" x14ac:dyDescent="0.25">
      <c r="A32" s="13">
        <v>42543.531608796293</v>
      </c>
      <c r="B32" t="s">
        <v>121</v>
      </c>
      <c r="C32" t="s">
        <v>395</v>
      </c>
      <c r="D32">
        <v>890000</v>
      </c>
      <c r="E32" t="s">
        <v>541</v>
      </c>
      <c r="F32" s="42" t="s">
        <v>121</v>
      </c>
      <c r="G32" s="13">
        <v>42543.531608796293</v>
      </c>
    </row>
    <row r="33" spans="1:7" x14ac:dyDescent="0.25">
      <c r="A33" s="13">
        <v>42543.204918981479</v>
      </c>
      <c r="B33" t="s">
        <v>535</v>
      </c>
      <c r="C33" t="s">
        <v>288</v>
      </c>
      <c r="D33">
        <v>1830000</v>
      </c>
      <c r="E33" t="s">
        <v>544</v>
      </c>
      <c r="F33" s="42" t="s">
        <v>535</v>
      </c>
      <c r="G33" s="13">
        <v>42543.204918981479</v>
      </c>
    </row>
    <row r="34" spans="1:7" x14ac:dyDescent="0.25">
      <c r="A34" s="13">
        <v>42543.36210648148</v>
      </c>
      <c r="B34" t="s">
        <v>538</v>
      </c>
      <c r="C34" t="s">
        <v>515</v>
      </c>
      <c r="D34">
        <v>1480000</v>
      </c>
      <c r="E34" t="s">
        <v>141</v>
      </c>
      <c r="F34" s="42" t="s">
        <v>538</v>
      </c>
      <c r="G34" s="13">
        <v>42543.36210648148</v>
      </c>
    </row>
    <row r="35" spans="1:7" x14ac:dyDescent="0.25">
      <c r="A35" s="13">
        <v>42543.220613425925</v>
      </c>
      <c r="B35" t="s">
        <v>98</v>
      </c>
      <c r="C35" t="s">
        <v>278</v>
      </c>
      <c r="D35">
        <v>2030000</v>
      </c>
      <c r="E35" t="s">
        <v>242</v>
      </c>
      <c r="F35" s="42" t="s">
        <v>98</v>
      </c>
      <c r="G35" s="13">
        <v>42543.220613425925</v>
      </c>
    </row>
    <row r="36" spans="1:7" x14ac:dyDescent="0.25">
      <c r="A36" s="13">
        <v>42543.350428240738</v>
      </c>
      <c r="B36" t="s">
        <v>124</v>
      </c>
      <c r="C36" t="s">
        <v>325</v>
      </c>
      <c r="D36">
        <v>1110000</v>
      </c>
      <c r="E36" t="s">
        <v>243</v>
      </c>
      <c r="F36" s="42" t="s">
        <v>124</v>
      </c>
      <c r="G36" s="13">
        <v>42543.350428240738</v>
      </c>
    </row>
    <row r="37" spans="1:7" x14ac:dyDescent="0.25">
      <c r="A37" s="13">
        <v>42543.22792824074</v>
      </c>
      <c r="B37" t="s">
        <v>246</v>
      </c>
      <c r="C37" t="s">
        <v>290</v>
      </c>
      <c r="D37">
        <v>900000</v>
      </c>
      <c r="E37" t="s">
        <v>103</v>
      </c>
      <c r="F37" s="42" t="s">
        <v>246</v>
      </c>
      <c r="G37" s="13">
        <v>42543.22792824074</v>
      </c>
    </row>
    <row r="38" spans="1:7" x14ac:dyDescent="0.25">
      <c r="A38" s="13">
        <v>42543.268784722219</v>
      </c>
      <c r="B38" t="s">
        <v>123</v>
      </c>
      <c r="C38" t="s">
        <v>308</v>
      </c>
      <c r="D38">
        <v>1260000</v>
      </c>
      <c r="E38" t="s">
        <v>140</v>
      </c>
      <c r="F38" s="42" t="s">
        <v>123</v>
      </c>
      <c r="G38" s="13">
        <v>42543.268784722219</v>
      </c>
    </row>
    <row r="39" spans="1:7" x14ac:dyDescent="0.25">
      <c r="A39" s="13">
        <v>42543.235277777778</v>
      </c>
      <c r="B39" t="s">
        <v>121</v>
      </c>
      <c r="C39" t="s">
        <v>294</v>
      </c>
      <c r="D39">
        <v>1110000</v>
      </c>
      <c r="E39" t="s">
        <v>243</v>
      </c>
      <c r="F39" s="42" t="s">
        <v>121</v>
      </c>
      <c r="G39" s="13">
        <v>42543.235277777778</v>
      </c>
    </row>
    <row r="40" spans="1:7" x14ac:dyDescent="0.25">
      <c r="A40" s="13">
        <v>42543.211863425924</v>
      </c>
      <c r="B40" s="60" t="s">
        <v>530</v>
      </c>
      <c r="C40" t="s">
        <v>273</v>
      </c>
      <c r="D40">
        <v>2000000</v>
      </c>
      <c r="E40" t="s">
        <v>165</v>
      </c>
      <c r="F40" s="60" t="s">
        <v>530</v>
      </c>
      <c r="G40" s="13">
        <v>42543.211863425924</v>
      </c>
    </row>
    <row r="41" spans="1:7" x14ac:dyDescent="0.25">
      <c r="A41" s="13">
        <v>42543.238576388889</v>
      </c>
      <c r="B41" t="s">
        <v>531</v>
      </c>
      <c r="C41" t="s">
        <v>504</v>
      </c>
      <c r="D41">
        <v>1540000</v>
      </c>
      <c r="E41" t="s">
        <v>163</v>
      </c>
      <c r="F41" s="42" t="s">
        <v>531</v>
      </c>
      <c r="G41" s="13">
        <v>42543.238576388889</v>
      </c>
    </row>
    <row r="42" spans="1:7" x14ac:dyDescent="0.25">
      <c r="A42" s="13">
        <v>42543.486180555556</v>
      </c>
      <c r="B42" t="s">
        <v>239</v>
      </c>
      <c r="C42" t="s">
        <v>368</v>
      </c>
      <c r="D42">
        <v>1470000</v>
      </c>
      <c r="E42" t="s">
        <v>240</v>
      </c>
      <c r="F42" s="42" t="s">
        <v>239</v>
      </c>
      <c r="G42" s="13">
        <v>42543.486180555556</v>
      </c>
    </row>
    <row r="43" spans="1:7" x14ac:dyDescent="0.25">
      <c r="A43" s="13">
        <v>42543.239386574074</v>
      </c>
      <c r="B43" s="42" t="s">
        <v>82</v>
      </c>
      <c r="C43" t="s">
        <v>286</v>
      </c>
      <c r="D43">
        <v>1520000</v>
      </c>
      <c r="E43" t="s">
        <v>539</v>
      </c>
      <c r="F43" s="42" t="s">
        <v>82</v>
      </c>
      <c r="G43" s="13">
        <v>42543.239386574074</v>
      </c>
    </row>
    <row r="44" spans="1:7" x14ac:dyDescent="0.25">
      <c r="A44" s="13">
        <v>42543.462916666664</v>
      </c>
      <c r="B44" t="s">
        <v>534</v>
      </c>
      <c r="C44" t="s">
        <v>520</v>
      </c>
      <c r="D44">
        <v>1480000</v>
      </c>
      <c r="E44" t="s">
        <v>141</v>
      </c>
      <c r="F44" s="42" t="s">
        <v>534</v>
      </c>
      <c r="G44" s="13">
        <v>42543.462916666664</v>
      </c>
    </row>
    <row r="45" spans="1:7" x14ac:dyDescent="0.25">
      <c r="A45" s="13">
        <v>42543.295486111114</v>
      </c>
      <c r="B45" t="s">
        <v>98</v>
      </c>
      <c r="C45" t="s">
        <v>305</v>
      </c>
      <c r="D45">
        <v>2030000</v>
      </c>
      <c r="E45" t="s">
        <v>242</v>
      </c>
      <c r="F45" s="42" t="s">
        <v>98</v>
      </c>
      <c r="G45" s="13">
        <v>42543.295486111114</v>
      </c>
    </row>
    <row r="46" spans="1:7" x14ac:dyDescent="0.25">
      <c r="A46" s="13">
        <v>42543.213310185187</v>
      </c>
      <c r="B46" t="s">
        <v>532</v>
      </c>
      <c r="C46" t="s">
        <v>503</v>
      </c>
      <c r="D46">
        <v>1540000</v>
      </c>
      <c r="E46" t="s">
        <v>163</v>
      </c>
      <c r="F46" s="42" t="s">
        <v>532</v>
      </c>
      <c r="G46" s="13">
        <v>42543.213310185187</v>
      </c>
    </row>
    <row r="47" spans="1:7" x14ac:dyDescent="0.25">
      <c r="A47" s="13">
        <v>42543.299872685187</v>
      </c>
      <c r="B47" s="42" t="s">
        <v>246</v>
      </c>
      <c r="C47" t="s">
        <v>317</v>
      </c>
      <c r="D47">
        <v>900000</v>
      </c>
      <c r="E47" t="s">
        <v>103</v>
      </c>
      <c r="F47" s="42" t="s">
        <v>246</v>
      </c>
      <c r="G47" s="13">
        <v>42543.299872685187</v>
      </c>
    </row>
    <row r="48" spans="1:7" x14ac:dyDescent="0.25">
      <c r="A48" s="13">
        <v>42544.014143518521</v>
      </c>
      <c r="B48" t="s">
        <v>124</v>
      </c>
      <c r="C48" t="s">
        <v>495</v>
      </c>
      <c r="D48">
        <v>2010000</v>
      </c>
      <c r="E48" t="s">
        <v>132</v>
      </c>
      <c r="F48" s="42" t="s">
        <v>124</v>
      </c>
      <c r="G48" s="13">
        <v>42544.014143518521</v>
      </c>
    </row>
    <row r="49" spans="1:7" x14ac:dyDescent="0.25">
      <c r="A49" s="13">
        <v>42543.321446759262</v>
      </c>
      <c r="B49" t="s">
        <v>531</v>
      </c>
      <c r="C49" t="s">
        <v>512</v>
      </c>
      <c r="D49">
        <v>1540000</v>
      </c>
      <c r="E49" t="s">
        <v>163</v>
      </c>
      <c r="F49" s="42" t="s">
        <v>531</v>
      </c>
      <c r="G49" s="13">
        <v>42543.321446759262</v>
      </c>
    </row>
    <row r="50" spans="1:7" x14ac:dyDescent="0.25">
      <c r="A50" s="13">
        <v>42543.740578703706</v>
      </c>
      <c r="B50" t="s">
        <v>121</v>
      </c>
      <c r="C50" t="s">
        <v>458</v>
      </c>
      <c r="D50">
        <v>2010000</v>
      </c>
      <c r="E50" t="s">
        <v>132</v>
      </c>
      <c r="F50" s="42" t="s">
        <v>121</v>
      </c>
      <c r="G50" s="13">
        <v>42543.740578703706</v>
      </c>
    </row>
    <row r="51" spans="1:7" x14ac:dyDescent="0.25">
      <c r="A51" s="13">
        <v>42543.338460648149</v>
      </c>
      <c r="B51" t="s">
        <v>239</v>
      </c>
      <c r="C51" t="s">
        <v>319</v>
      </c>
      <c r="D51">
        <v>900000</v>
      </c>
      <c r="E51" t="s">
        <v>103</v>
      </c>
      <c r="F51" s="42" t="s">
        <v>239</v>
      </c>
      <c r="G51" s="13">
        <v>42543.338460648149</v>
      </c>
    </row>
    <row r="52" spans="1:7" x14ac:dyDescent="0.25">
      <c r="A52" s="13">
        <v>42543.607708333337</v>
      </c>
      <c r="B52" t="s">
        <v>116</v>
      </c>
      <c r="C52" t="s">
        <v>407</v>
      </c>
      <c r="D52">
        <v>1090000</v>
      </c>
      <c r="E52" t="s">
        <v>164</v>
      </c>
      <c r="F52" s="42" t="s">
        <v>116</v>
      </c>
      <c r="G52" s="13">
        <v>42543.607708333337</v>
      </c>
    </row>
    <row r="53" spans="1:7" x14ac:dyDescent="0.25">
      <c r="A53" s="13">
        <v>42543.352858796294</v>
      </c>
      <c r="B53" t="s">
        <v>534</v>
      </c>
      <c r="C53" t="s">
        <v>514</v>
      </c>
      <c r="D53">
        <v>1480000</v>
      </c>
      <c r="E53" t="s">
        <v>141</v>
      </c>
      <c r="F53" s="42" t="s">
        <v>534</v>
      </c>
      <c r="G53" s="13">
        <v>42543.352858796294</v>
      </c>
    </row>
    <row r="54" spans="1:7" x14ac:dyDescent="0.25">
      <c r="A54" s="13">
        <v>42543.317060185182</v>
      </c>
      <c r="B54" t="s">
        <v>121</v>
      </c>
      <c r="C54" t="s">
        <v>321</v>
      </c>
      <c r="D54">
        <v>1110000</v>
      </c>
      <c r="E54" t="s">
        <v>243</v>
      </c>
      <c r="F54" s="42" t="s">
        <v>121</v>
      </c>
      <c r="G54" s="13">
        <v>42543.317060185182</v>
      </c>
    </row>
    <row r="55" spans="1:7" x14ac:dyDescent="0.25">
      <c r="A55" s="13">
        <v>42543.369131944448</v>
      </c>
      <c r="B55" t="s">
        <v>530</v>
      </c>
      <c r="C55" t="s">
        <v>333</v>
      </c>
      <c r="D55">
        <v>2030000</v>
      </c>
      <c r="E55" t="s">
        <v>242</v>
      </c>
      <c r="F55" s="42" t="s">
        <v>530</v>
      </c>
      <c r="G55" s="13">
        <v>42543.369131944448</v>
      </c>
    </row>
    <row r="56" spans="1:7" x14ac:dyDescent="0.25">
      <c r="A56" s="13">
        <v>42543.770335648151</v>
      </c>
      <c r="B56" t="s">
        <v>115</v>
      </c>
      <c r="C56" t="s">
        <v>545</v>
      </c>
      <c r="D56">
        <v>2040000</v>
      </c>
      <c r="E56" t="s">
        <v>160</v>
      </c>
      <c r="F56" s="42" t="s">
        <v>115</v>
      </c>
      <c r="G56" s="13">
        <v>42543.770335648151</v>
      </c>
    </row>
    <row r="57" spans="1:7" x14ac:dyDescent="0.25">
      <c r="A57" s="13">
        <v>42543.391018518516</v>
      </c>
      <c r="B57" t="s">
        <v>116</v>
      </c>
      <c r="C57" t="s">
        <v>338</v>
      </c>
      <c r="D57">
        <v>1520000</v>
      </c>
      <c r="E57" t="s">
        <v>539</v>
      </c>
      <c r="F57" s="42" t="s">
        <v>116</v>
      </c>
      <c r="G57" s="13">
        <v>42543.391018518516</v>
      </c>
    </row>
    <row r="58" spans="1:7" x14ac:dyDescent="0.25">
      <c r="A58" s="13">
        <v>42543.715405092589</v>
      </c>
      <c r="B58" t="s">
        <v>101</v>
      </c>
      <c r="C58" t="s">
        <v>452</v>
      </c>
      <c r="D58">
        <v>1760000</v>
      </c>
      <c r="E58" t="s">
        <v>543</v>
      </c>
      <c r="F58" s="42" t="s">
        <v>101</v>
      </c>
      <c r="G58" s="13">
        <v>42543.715405092589</v>
      </c>
    </row>
    <row r="59" spans="1:7" x14ac:dyDescent="0.25">
      <c r="A59" s="13">
        <v>42543.393807870372</v>
      </c>
      <c r="B59" t="s">
        <v>97</v>
      </c>
      <c r="C59" t="s">
        <v>353</v>
      </c>
      <c r="D59">
        <v>2000000</v>
      </c>
      <c r="E59" t="s">
        <v>165</v>
      </c>
      <c r="F59" s="42" t="s">
        <v>97</v>
      </c>
      <c r="G59" s="13">
        <v>42543.393807870372</v>
      </c>
    </row>
    <row r="60" spans="1:7" x14ac:dyDescent="0.25">
      <c r="A60" s="13">
        <v>42543.302812499998</v>
      </c>
      <c r="B60" t="s">
        <v>534</v>
      </c>
      <c r="C60" t="s">
        <v>510</v>
      </c>
      <c r="D60">
        <v>1480000</v>
      </c>
      <c r="E60" t="s">
        <v>141</v>
      </c>
      <c r="F60" s="42" t="s">
        <v>534</v>
      </c>
      <c r="G60" s="13">
        <v>42543.302812499998</v>
      </c>
    </row>
    <row r="61" spans="1:7" x14ac:dyDescent="0.25">
      <c r="A61" s="13">
        <v>42543.424872685187</v>
      </c>
      <c r="B61" t="s">
        <v>115</v>
      </c>
      <c r="C61" t="s">
        <v>362</v>
      </c>
      <c r="D61">
        <v>1090000</v>
      </c>
      <c r="E61" t="s">
        <v>164</v>
      </c>
      <c r="F61" s="42" t="s">
        <v>115</v>
      </c>
      <c r="G61" s="13">
        <v>42543.424872685187</v>
      </c>
    </row>
    <row r="62" spans="1:7" x14ac:dyDescent="0.25">
      <c r="A62" s="13">
        <v>42543.52685185185</v>
      </c>
      <c r="B62" t="s">
        <v>538</v>
      </c>
      <c r="C62" t="s">
        <v>523</v>
      </c>
      <c r="D62">
        <v>1480000</v>
      </c>
      <c r="E62" t="s">
        <v>141</v>
      </c>
      <c r="F62" s="42" t="s">
        <v>538</v>
      </c>
      <c r="G62" s="13">
        <v>42543.52685185185</v>
      </c>
    </row>
    <row r="63" spans="1:7" x14ac:dyDescent="0.25">
      <c r="A63" s="13">
        <v>42543.430104166669</v>
      </c>
      <c r="B63" t="s">
        <v>91</v>
      </c>
      <c r="C63" t="s">
        <v>354</v>
      </c>
      <c r="D63">
        <v>2000000</v>
      </c>
      <c r="E63" t="s">
        <v>165</v>
      </c>
      <c r="F63" s="42" t="s">
        <v>91</v>
      </c>
      <c r="G63" s="13">
        <v>42543.430104166669</v>
      </c>
    </row>
    <row r="64" spans="1:7" x14ac:dyDescent="0.25">
      <c r="A64" s="61">
        <v>42543.383946759262</v>
      </c>
      <c r="B64" t="s">
        <v>534</v>
      </c>
      <c r="C64" t="s">
        <v>516</v>
      </c>
      <c r="D64">
        <v>1480000</v>
      </c>
      <c r="E64" t="s">
        <v>141</v>
      </c>
      <c r="F64" s="42" t="s">
        <v>534</v>
      </c>
      <c r="G64" s="61">
        <v>42543.383946759262</v>
      </c>
    </row>
    <row r="65" spans="1:7" x14ac:dyDescent="0.25">
      <c r="A65" s="13">
        <v>42543.846087962964</v>
      </c>
      <c r="B65" t="s">
        <v>124</v>
      </c>
      <c r="C65" t="s">
        <v>473</v>
      </c>
      <c r="D65">
        <v>2010000</v>
      </c>
      <c r="E65" t="s">
        <v>132</v>
      </c>
      <c r="F65" s="42" t="s">
        <v>124</v>
      </c>
      <c r="G65" s="13">
        <v>42543.846087962964</v>
      </c>
    </row>
    <row r="66" spans="1:7" x14ac:dyDescent="0.25">
      <c r="A66" s="13">
        <v>42543.306250000001</v>
      </c>
      <c r="B66" t="s">
        <v>122</v>
      </c>
      <c r="C66" t="s">
        <v>310</v>
      </c>
      <c r="D66">
        <v>1260000</v>
      </c>
      <c r="E66" t="s">
        <v>140</v>
      </c>
      <c r="F66" s="42" t="s">
        <v>122</v>
      </c>
      <c r="G66" s="13">
        <v>42543.306250000001</v>
      </c>
    </row>
    <row r="67" spans="1:7" x14ac:dyDescent="0.25">
      <c r="A67" s="13">
        <v>42543.869074074071</v>
      </c>
      <c r="B67" t="s">
        <v>91</v>
      </c>
      <c r="C67" t="s">
        <v>477</v>
      </c>
      <c r="D67">
        <v>1820000</v>
      </c>
      <c r="E67" t="s">
        <v>245</v>
      </c>
      <c r="F67" s="42" t="s">
        <v>91</v>
      </c>
      <c r="G67" s="13">
        <v>42543.869074074071</v>
      </c>
    </row>
    <row r="68" spans="1:7" x14ac:dyDescent="0.25">
      <c r="A68" s="13">
        <v>42543.277280092596</v>
      </c>
      <c r="B68" t="s">
        <v>101</v>
      </c>
      <c r="C68" t="s">
        <v>311</v>
      </c>
      <c r="D68">
        <v>1520000</v>
      </c>
      <c r="E68" t="s">
        <v>539</v>
      </c>
      <c r="F68" s="42" t="s">
        <v>101</v>
      </c>
      <c r="G68" s="13">
        <v>42543.277280092596</v>
      </c>
    </row>
    <row r="69" spans="1:7" x14ac:dyDescent="0.25">
      <c r="A69" s="13">
        <v>42543.889317129629</v>
      </c>
      <c r="B69" t="s">
        <v>116</v>
      </c>
      <c r="C69" t="s">
        <v>480</v>
      </c>
      <c r="D69">
        <v>2040000</v>
      </c>
      <c r="E69" t="s">
        <v>160</v>
      </c>
      <c r="F69" s="42" t="s">
        <v>116</v>
      </c>
      <c r="G69" s="13">
        <v>42543.889317129629</v>
      </c>
    </row>
    <row r="70" spans="1:7" x14ac:dyDescent="0.25">
      <c r="A70" s="13">
        <v>42544.017766203702</v>
      </c>
      <c r="B70" t="s">
        <v>115</v>
      </c>
      <c r="C70" t="s">
        <v>499</v>
      </c>
      <c r="D70">
        <v>2040000</v>
      </c>
      <c r="E70" t="s">
        <v>160</v>
      </c>
      <c r="F70" s="42" t="s">
        <v>115</v>
      </c>
      <c r="G70" s="13">
        <v>42544.017766203702</v>
      </c>
    </row>
    <row r="71" spans="1:7" x14ac:dyDescent="0.25">
      <c r="A71" s="13">
        <v>42543.694351851853</v>
      </c>
      <c r="B71" t="s">
        <v>537</v>
      </c>
      <c r="C71" t="s">
        <v>446</v>
      </c>
      <c r="D71">
        <v>940000</v>
      </c>
      <c r="E71" t="s">
        <v>247</v>
      </c>
      <c r="F71" s="42" t="s">
        <v>537</v>
      </c>
      <c r="G71" s="13">
        <v>42543.694351851853</v>
      </c>
    </row>
    <row r="72" spans="1:7" x14ac:dyDescent="0.25">
      <c r="A72" s="13">
        <v>42543.585451388892</v>
      </c>
      <c r="B72" t="s">
        <v>530</v>
      </c>
      <c r="C72" t="s">
        <v>401</v>
      </c>
      <c r="D72">
        <v>940000</v>
      </c>
      <c r="E72" t="s">
        <v>247</v>
      </c>
      <c r="F72" s="42" t="s">
        <v>530</v>
      </c>
      <c r="G72" s="13">
        <v>42543.585451388892</v>
      </c>
    </row>
    <row r="73" spans="1:7" x14ac:dyDescent="0.25">
      <c r="A73" s="13">
        <v>42543.742303240739</v>
      </c>
      <c r="B73" t="s">
        <v>122</v>
      </c>
      <c r="C73" t="s">
        <v>450</v>
      </c>
      <c r="D73">
        <v>1290000</v>
      </c>
      <c r="E73" t="s">
        <v>139</v>
      </c>
      <c r="F73" s="42" t="s">
        <v>122</v>
      </c>
      <c r="G73" s="13">
        <v>42543.742303240739</v>
      </c>
    </row>
    <row r="74" spans="1:7" x14ac:dyDescent="0.25">
      <c r="A74" s="13">
        <v>42543.550104166665</v>
      </c>
      <c r="B74" t="s">
        <v>534</v>
      </c>
      <c r="C74" t="s">
        <v>524</v>
      </c>
      <c r="D74">
        <v>1480000</v>
      </c>
      <c r="E74" t="s">
        <v>141</v>
      </c>
      <c r="F74" s="42" t="s">
        <v>534</v>
      </c>
      <c r="G74" s="13">
        <v>42543.550104166665</v>
      </c>
    </row>
    <row r="75" spans="1:7" x14ac:dyDescent="0.25">
      <c r="A75" s="13">
        <v>42543.742372685185</v>
      </c>
      <c r="B75" t="s">
        <v>121</v>
      </c>
      <c r="C75" t="s">
        <v>458</v>
      </c>
      <c r="D75">
        <v>2010000</v>
      </c>
      <c r="E75" t="s">
        <v>132</v>
      </c>
      <c r="F75" s="42" t="s">
        <v>121</v>
      </c>
      <c r="G75" s="13">
        <v>42543.742372685185</v>
      </c>
    </row>
    <row r="76" spans="1:7" x14ac:dyDescent="0.25">
      <c r="A76" s="13">
        <v>42543.50644675926</v>
      </c>
      <c r="B76" t="s">
        <v>535</v>
      </c>
      <c r="C76" t="s">
        <v>388</v>
      </c>
      <c r="D76">
        <v>880000</v>
      </c>
      <c r="E76" t="s">
        <v>542</v>
      </c>
      <c r="F76" s="42" t="s">
        <v>535</v>
      </c>
      <c r="G76" s="13">
        <v>42543.50644675926</v>
      </c>
    </row>
    <row r="77" spans="1:7" x14ac:dyDescent="0.25">
      <c r="A77" s="13">
        <v>42543.790532407409</v>
      </c>
      <c r="B77" t="s">
        <v>101</v>
      </c>
      <c r="C77" t="s">
        <v>469</v>
      </c>
      <c r="D77">
        <v>1760000</v>
      </c>
      <c r="E77" t="s">
        <v>543</v>
      </c>
      <c r="F77" s="42" t="s">
        <v>101</v>
      </c>
      <c r="G77" s="13">
        <v>42543.790532407409</v>
      </c>
    </row>
    <row r="78" spans="1:7" x14ac:dyDescent="0.25">
      <c r="A78" s="13">
        <v>42543.506990740738</v>
      </c>
      <c r="B78" t="s">
        <v>534</v>
      </c>
      <c r="C78" t="s">
        <v>522</v>
      </c>
      <c r="D78">
        <v>1480000</v>
      </c>
      <c r="E78" t="s">
        <v>141</v>
      </c>
      <c r="F78" s="42" t="s">
        <v>534</v>
      </c>
      <c r="G78" s="13">
        <v>42543.506990740738</v>
      </c>
    </row>
    <row r="79" spans="1:7" x14ac:dyDescent="0.25">
      <c r="A79" s="13">
        <v>42543.806319444448</v>
      </c>
      <c r="B79" t="s">
        <v>116</v>
      </c>
      <c r="C79" t="s">
        <v>468</v>
      </c>
      <c r="D79">
        <v>2040000</v>
      </c>
      <c r="E79" t="s">
        <v>160</v>
      </c>
      <c r="F79" s="42" t="s">
        <v>116</v>
      </c>
      <c r="G79" s="13">
        <v>42543.806319444448</v>
      </c>
    </row>
    <row r="80" spans="1:7" x14ac:dyDescent="0.25">
      <c r="A80" s="13">
        <v>42543.973449074074</v>
      </c>
      <c r="B80" t="s">
        <v>116</v>
      </c>
      <c r="C80" t="s">
        <v>488</v>
      </c>
      <c r="D80">
        <v>2040000</v>
      </c>
      <c r="E80" t="s">
        <v>160</v>
      </c>
      <c r="F80" s="42" t="s">
        <v>116</v>
      </c>
      <c r="G80" s="13">
        <v>42543.973449074074</v>
      </c>
    </row>
    <row r="81" spans="1:7" x14ac:dyDescent="0.25">
      <c r="A81" s="13">
        <v>42543.974479166667</v>
      </c>
      <c r="B81" t="s">
        <v>121</v>
      </c>
      <c r="C81" t="s">
        <v>492</v>
      </c>
      <c r="D81">
        <v>2010000</v>
      </c>
      <c r="E81" t="s">
        <v>132</v>
      </c>
      <c r="F81" s="42" t="s">
        <v>121</v>
      </c>
      <c r="G81" s="13">
        <v>42543.974479166667</v>
      </c>
    </row>
    <row r="82" spans="1:7" x14ac:dyDescent="0.25">
      <c r="A82" s="13">
        <v>42543.331689814811</v>
      </c>
      <c r="B82" t="s">
        <v>531</v>
      </c>
      <c r="C82" t="s">
        <v>512</v>
      </c>
      <c r="D82">
        <v>1540000</v>
      </c>
      <c r="E82" t="s">
        <v>163</v>
      </c>
      <c r="F82" s="42" t="s">
        <v>531</v>
      </c>
      <c r="G82" s="13">
        <v>42543.331689814811</v>
      </c>
    </row>
    <row r="83" spans="1:7" x14ac:dyDescent="0.25">
      <c r="A83" s="13">
        <v>42543.993831018517</v>
      </c>
      <c r="B83" t="s">
        <v>82</v>
      </c>
      <c r="C83" t="s">
        <v>491</v>
      </c>
      <c r="D83">
        <v>1760000</v>
      </c>
      <c r="E83" t="s">
        <v>543</v>
      </c>
      <c r="F83" s="42" t="s">
        <v>82</v>
      </c>
      <c r="G83" s="13">
        <v>42543.993831018517</v>
      </c>
    </row>
    <row r="84" spans="1:7" x14ac:dyDescent="0.25">
      <c r="A84" s="13">
        <v>42543.559953703705</v>
      </c>
      <c r="B84" t="s">
        <v>533</v>
      </c>
      <c r="C84" t="s">
        <v>392</v>
      </c>
      <c r="D84">
        <v>880000</v>
      </c>
      <c r="E84" t="s">
        <v>542</v>
      </c>
      <c r="F84" s="42" t="s">
        <v>533</v>
      </c>
      <c r="G84" s="13">
        <v>42543.559953703705</v>
      </c>
    </row>
    <row r="85" spans="1:7" x14ac:dyDescent="0.25">
      <c r="A85" s="13">
        <v>42543.62222222222</v>
      </c>
      <c r="B85" t="s">
        <v>533</v>
      </c>
      <c r="C85" t="s">
        <v>409</v>
      </c>
      <c r="D85">
        <v>880000</v>
      </c>
      <c r="E85" t="s">
        <v>542</v>
      </c>
      <c r="F85" s="42" t="s">
        <v>533</v>
      </c>
      <c r="G85" s="13">
        <v>42543.62222222222</v>
      </c>
    </row>
    <row r="86" spans="1:7" x14ac:dyDescent="0.25">
      <c r="A86" s="13">
        <v>42543.525706018518</v>
      </c>
      <c r="B86" t="s">
        <v>535</v>
      </c>
      <c r="C86" t="s">
        <v>388</v>
      </c>
      <c r="D86">
        <v>880000</v>
      </c>
      <c r="E86" t="s">
        <v>542</v>
      </c>
      <c r="F86" s="42" t="s">
        <v>535</v>
      </c>
      <c r="G86" s="13">
        <v>42543.525706018518</v>
      </c>
    </row>
    <row r="87" spans="1:7" x14ac:dyDescent="0.25">
      <c r="A87" s="13">
        <v>42543.653171296297</v>
      </c>
      <c r="B87" t="s">
        <v>91</v>
      </c>
      <c r="C87" t="s">
        <v>418</v>
      </c>
      <c r="D87">
        <v>890000</v>
      </c>
      <c r="E87" t="s">
        <v>541</v>
      </c>
      <c r="F87" s="42" t="s">
        <v>91</v>
      </c>
      <c r="G87" s="13">
        <v>42543.653171296297</v>
      </c>
    </row>
    <row r="88" spans="1:7" x14ac:dyDescent="0.25">
      <c r="A88" s="13">
        <v>42543.462245370371</v>
      </c>
      <c r="B88" t="s">
        <v>116</v>
      </c>
      <c r="C88" t="s">
        <v>364</v>
      </c>
      <c r="D88">
        <v>1090000</v>
      </c>
      <c r="E88" t="s">
        <v>164</v>
      </c>
      <c r="F88" s="42" t="s">
        <v>116</v>
      </c>
      <c r="G88" s="13">
        <v>42543.462245370371</v>
      </c>
    </row>
    <row r="89" spans="1:7" x14ac:dyDescent="0.25">
      <c r="A89" s="13">
        <v>42543.656365740739</v>
      </c>
      <c r="B89" t="s">
        <v>535</v>
      </c>
      <c r="C89" t="s">
        <v>431</v>
      </c>
      <c r="D89">
        <v>880000</v>
      </c>
      <c r="E89" t="s">
        <v>542</v>
      </c>
      <c r="F89" s="42" t="s">
        <v>535</v>
      </c>
      <c r="G89" s="13">
        <v>42543.656365740739</v>
      </c>
    </row>
    <row r="90" spans="1:7" x14ac:dyDescent="0.25">
      <c r="A90" s="13">
        <v>42543.277453703704</v>
      </c>
      <c r="B90" t="s">
        <v>538</v>
      </c>
      <c r="C90" t="s">
        <v>507</v>
      </c>
      <c r="D90">
        <v>1480000</v>
      </c>
      <c r="E90" t="s">
        <v>141</v>
      </c>
      <c r="F90" s="42" t="s">
        <v>538</v>
      </c>
      <c r="G90" s="13">
        <v>42543.277453703704</v>
      </c>
    </row>
    <row r="91" spans="1:7" x14ac:dyDescent="0.25">
      <c r="A91" s="13">
        <v>42543.774837962963</v>
      </c>
      <c r="B91" t="s">
        <v>124</v>
      </c>
      <c r="C91" t="s">
        <v>460</v>
      </c>
      <c r="D91">
        <v>2010000</v>
      </c>
      <c r="E91" t="s">
        <v>132</v>
      </c>
      <c r="F91" s="42" t="s">
        <v>124</v>
      </c>
      <c r="G91" s="13">
        <v>42543.774837962963</v>
      </c>
    </row>
    <row r="92" spans="1:7" x14ac:dyDescent="0.25">
      <c r="A92" s="13">
        <v>42543.248796296299</v>
      </c>
      <c r="B92" t="s">
        <v>97</v>
      </c>
      <c r="C92" t="s">
        <v>298</v>
      </c>
      <c r="D92">
        <v>2000000</v>
      </c>
      <c r="E92" t="s">
        <v>165</v>
      </c>
      <c r="F92" s="42" t="s">
        <v>97</v>
      </c>
      <c r="G92" s="13">
        <v>42543.248796296299</v>
      </c>
    </row>
    <row r="93" spans="1:7" x14ac:dyDescent="0.25">
      <c r="A93" s="13">
        <v>42543.597407407404</v>
      </c>
      <c r="B93" t="s">
        <v>122</v>
      </c>
      <c r="C93" t="s">
        <v>404</v>
      </c>
      <c r="D93">
        <v>1290000</v>
      </c>
      <c r="E93" t="s">
        <v>139</v>
      </c>
      <c r="F93" s="42" t="s">
        <v>122</v>
      </c>
      <c r="G93" s="13">
        <v>42543.597407407404</v>
      </c>
    </row>
    <row r="94" spans="1:7" x14ac:dyDescent="0.25">
      <c r="A94" s="13">
        <v>42543.154641203706</v>
      </c>
      <c r="B94" t="s">
        <v>246</v>
      </c>
      <c r="C94" t="s">
        <v>265</v>
      </c>
      <c r="D94">
        <v>1110000</v>
      </c>
      <c r="E94" t="s">
        <v>243</v>
      </c>
      <c r="F94" s="42" t="s">
        <v>246</v>
      </c>
      <c r="G94" s="13">
        <v>42543.154641203706</v>
      </c>
    </row>
    <row r="95" spans="1:7" x14ac:dyDescent="0.25">
      <c r="A95" s="13">
        <v>42543.632013888891</v>
      </c>
      <c r="B95" t="s">
        <v>239</v>
      </c>
      <c r="C95" t="s">
        <v>412</v>
      </c>
      <c r="D95">
        <v>1470000</v>
      </c>
      <c r="E95" t="s">
        <v>240</v>
      </c>
      <c r="F95" s="42" t="s">
        <v>239</v>
      </c>
      <c r="G95" s="13">
        <v>42543.632013888891</v>
      </c>
    </row>
    <row r="96" spans="1:7" x14ac:dyDescent="0.25">
      <c r="A96" s="13">
        <v>42543.977650462963</v>
      </c>
      <c r="B96" t="s">
        <v>121</v>
      </c>
      <c r="C96" t="s">
        <v>492</v>
      </c>
      <c r="D96">
        <v>2010000</v>
      </c>
      <c r="E96" t="s">
        <v>132</v>
      </c>
      <c r="F96" s="42" t="s">
        <v>121</v>
      </c>
      <c r="G96" s="13">
        <v>42543.977650462963</v>
      </c>
    </row>
    <row r="97" spans="1:7" x14ac:dyDescent="0.25">
      <c r="A97" s="13">
        <v>42543.675555555557</v>
      </c>
      <c r="B97" t="s">
        <v>100</v>
      </c>
      <c r="C97" t="s">
        <v>436</v>
      </c>
      <c r="D97">
        <v>1780000</v>
      </c>
      <c r="E97" t="s">
        <v>162</v>
      </c>
      <c r="F97" s="42" t="s">
        <v>100</v>
      </c>
      <c r="G97" s="13">
        <v>42543.675555555557</v>
      </c>
    </row>
    <row r="98" spans="1:7" x14ac:dyDescent="0.25">
      <c r="A98" s="13">
        <v>42543.465254629627</v>
      </c>
      <c r="B98" t="s">
        <v>116</v>
      </c>
      <c r="C98" t="s">
        <v>364</v>
      </c>
      <c r="D98">
        <v>1090000</v>
      </c>
      <c r="E98" t="s">
        <v>164</v>
      </c>
      <c r="F98" s="42" t="s">
        <v>116</v>
      </c>
      <c r="G98" s="13">
        <v>42543.465254629627</v>
      </c>
    </row>
    <row r="99" spans="1:7" x14ac:dyDescent="0.25">
      <c r="A99" s="13">
        <v>42543.829895833333</v>
      </c>
      <c r="B99" t="s">
        <v>97</v>
      </c>
      <c r="C99" t="s">
        <v>474</v>
      </c>
      <c r="D99">
        <v>1820000</v>
      </c>
      <c r="E99" t="s">
        <v>245</v>
      </c>
      <c r="F99" s="42" t="s">
        <v>97</v>
      </c>
      <c r="G99" s="13">
        <v>42543.829895833333</v>
      </c>
    </row>
    <row r="100" spans="1:7" x14ac:dyDescent="0.25">
      <c r="A100" s="13">
        <v>42543.768495370372</v>
      </c>
      <c r="B100" t="s">
        <v>115</v>
      </c>
      <c r="C100" t="s">
        <v>545</v>
      </c>
      <c r="D100">
        <v>2040000</v>
      </c>
      <c r="E100" t="s">
        <v>160</v>
      </c>
      <c r="F100" s="42" t="s">
        <v>115</v>
      </c>
      <c r="G100" s="13">
        <v>42543.768495370372</v>
      </c>
    </row>
    <row r="101" spans="1:7" x14ac:dyDescent="0.25">
      <c r="A101" s="13">
        <v>42543.929143518515</v>
      </c>
      <c r="B101" t="s">
        <v>124</v>
      </c>
      <c r="C101" t="s">
        <v>484</v>
      </c>
      <c r="D101">
        <v>2010000</v>
      </c>
      <c r="E101" t="s">
        <v>132</v>
      </c>
      <c r="F101" s="42" t="s">
        <v>124</v>
      </c>
      <c r="G101" s="13">
        <v>42543.929143518515</v>
      </c>
    </row>
    <row r="102" spans="1:7" x14ac:dyDescent="0.25">
      <c r="A102" s="13">
        <v>42543.657997685186</v>
      </c>
      <c r="B102" t="s">
        <v>530</v>
      </c>
      <c r="C102" t="s">
        <v>424</v>
      </c>
      <c r="D102">
        <v>940000</v>
      </c>
      <c r="E102" t="s">
        <v>247</v>
      </c>
      <c r="F102" s="42" t="s">
        <v>530</v>
      </c>
      <c r="G102" s="13">
        <v>42543.657997685186</v>
      </c>
    </row>
    <row r="103" spans="1:7" x14ac:dyDescent="0.25">
      <c r="A103" s="13">
        <v>42543.474733796298</v>
      </c>
      <c r="B103" t="s">
        <v>537</v>
      </c>
      <c r="C103" t="s">
        <v>377</v>
      </c>
      <c r="D103">
        <v>940000</v>
      </c>
      <c r="E103" t="s">
        <v>247</v>
      </c>
      <c r="F103" s="42" t="s">
        <v>537</v>
      </c>
      <c r="G103" s="13">
        <v>42543.474733796298</v>
      </c>
    </row>
    <row r="104" spans="1:7" x14ac:dyDescent="0.25">
      <c r="A104" s="13">
        <v>42543.432870370372</v>
      </c>
      <c r="B104" t="s">
        <v>535</v>
      </c>
      <c r="C104" t="s">
        <v>365</v>
      </c>
      <c r="D104">
        <v>1520000</v>
      </c>
      <c r="E104" t="s">
        <v>539</v>
      </c>
      <c r="F104" s="42" t="s">
        <v>535</v>
      </c>
      <c r="G104" s="13">
        <v>42543.432870370372</v>
      </c>
    </row>
    <row r="105" spans="1:7" x14ac:dyDescent="0.25">
      <c r="A105" s="13">
        <v>42543.679675925923</v>
      </c>
      <c r="B105" t="s">
        <v>116</v>
      </c>
      <c r="C105" t="s">
        <v>429</v>
      </c>
      <c r="D105">
        <v>1090000</v>
      </c>
      <c r="E105" t="s">
        <v>164</v>
      </c>
      <c r="F105" s="42" t="s">
        <v>116</v>
      </c>
      <c r="G105" s="13">
        <v>42543.679675925923</v>
      </c>
    </row>
    <row r="106" spans="1:7" x14ac:dyDescent="0.25">
      <c r="A106" s="13">
        <v>42543.193368055552</v>
      </c>
      <c r="B106" t="s">
        <v>124</v>
      </c>
      <c r="C106" t="s">
        <v>268</v>
      </c>
      <c r="D106">
        <v>1110000</v>
      </c>
      <c r="E106" t="s">
        <v>243</v>
      </c>
      <c r="F106" s="42" t="s">
        <v>124</v>
      </c>
      <c r="G106" s="13">
        <v>42543.193368055552</v>
      </c>
    </row>
    <row r="107" spans="1:7" x14ac:dyDescent="0.25">
      <c r="A107" s="13">
        <v>42543.756585648145</v>
      </c>
      <c r="B107" t="s">
        <v>82</v>
      </c>
      <c r="C107" t="s">
        <v>454</v>
      </c>
      <c r="D107">
        <v>1760000</v>
      </c>
      <c r="E107" t="s">
        <v>543</v>
      </c>
      <c r="F107" s="42" t="s">
        <v>82</v>
      </c>
      <c r="G107" s="13">
        <v>42543.756585648145</v>
      </c>
    </row>
    <row r="108" spans="1:7" x14ac:dyDescent="0.25">
      <c r="A108" s="13">
        <v>42543.125520833331</v>
      </c>
      <c r="B108" t="s">
        <v>101</v>
      </c>
      <c r="C108" t="s">
        <v>260</v>
      </c>
      <c r="D108">
        <v>1830000</v>
      </c>
      <c r="E108" t="s">
        <v>544</v>
      </c>
      <c r="F108" s="42" t="s">
        <v>101</v>
      </c>
      <c r="G108" s="13">
        <v>42543.125520833331</v>
      </c>
    </row>
    <row r="109" spans="1:7" x14ac:dyDescent="0.25">
      <c r="A109" s="13">
        <v>42544.057245370372</v>
      </c>
      <c r="B109" t="s">
        <v>116</v>
      </c>
      <c r="C109" t="s">
        <v>501</v>
      </c>
      <c r="D109">
        <v>2040000</v>
      </c>
      <c r="E109" t="s">
        <v>160</v>
      </c>
      <c r="F109" s="42" t="s">
        <v>116</v>
      </c>
      <c r="G109" s="13">
        <v>42544.057245370372</v>
      </c>
    </row>
    <row r="110" spans="1:7" x14ac:dyDescent="0.25">
      <c r="A110" s="13">
        <v>42543.933298611111</v>
      </c>
      <c r="B110" t="s">
        <v>115</v>
      </c>
      <c r="C110" t="s">
        <v>487</v>
      </c>
      <c r="D110">
        <v>2040000</v>
      </c>
      <c r="E110" t="s">
        <v>160</v>
      </c>
      <c r="F110" s="42" t="s">
        <v>115</v>
      </c>
      <c r="G110" s="13">
        <v>42543.933298611111</v>
      </c>
    </row>
    <row r="111" spans="1:7" x14ac:dyDescent="0.25">
      <c r="A111" s="13">
        <v>42543.193078703705</v>
      </c>
      <c r="B111" t="s">
        <v>123</v>
      </c>
      <c r="C111" t="s">
        <v>281</v>
      </c>
      <c r="D111">
        <v>1260000</v>
      </c>
      <c r="E111" t="s">
        <v>140</v>
      </c>
      <c r="F111" s="42" t="s">
        <v>123</v>
      </c>
      <c r="G111" s="13">
        <v>42543.193078703705</v>
      </c>
    </row>
    <row r="112" spans="1:7" x14ac:dyDescent="0.25">
      <c r="A112" s="13">
        <v>42543.810057870367</v>
      </c>
      <c r="B112" t="s">
        <v>121</v>
      </c>
      <c r="C112" t="s">
        <v>471</v>
      </c>
      <c r="D112">
        <v>2010000</v>
      </c>
      <c r="E112" t="s">
        <v>132</v>
      </c>
      <c r="F112" s="42" t="s">
        <v>121</v>
      </c>
      <c r="G112" s="13">
        <v>42543.810057870367</v>
      </c>
    </row>
    <row r="113" spans="1:7" x14ac:dyDescent="0.25">
      <c r="A113" s="13">
        <v>42543.169675925928</v>
      </c>
      <c r="B113" t="s">
        <v>97</v>
      </c>
      <c r="C113" t="s">
        <v>271</v>
      </c>
      <c r="D113">
        <v>2000000</v>
      </c>
      <c r="E113" t="s">
        <v>165</v>
      </c>
      <c r="F113" s="42" t="s">
        <v>97</v>
      </c>
      <c r="G113" s="13">
        <v>42543.169675925928</v>
      </c>
    </row>
    <row r="114" spans="1:7" x14ac:dyDescent="0.25">
      <c r="A114" s="13">
        <v>42543.997870370367</v>
      </c>
      <c r="B114" t="s">
        <v>97</v>
      </c>
      <c r="C114" t="s">
        <v>496</v>
      </c>
      <c r="D114">
        <v>1820000</v>
      </c>
      <c r="E114" t="s">
        <v>245</v>
      </c>
      <c r="F114" s="42" t="s">
        <v>97</v>
      </c>
      <c r="G114" s="13">
        <v>42543.997870370367</v>
      </c>
    </row>
    <row r="115" spans="1:7" x14ac:dyDescent="0.25">
      <c r="A115" s="13">
        <v>42543.180972222224</v>
      </c>
      <c r="B115" t="s">
        <v>100</v>
      </c>
      <c r="C115" t="s">
        <v>276</v>
      </c>
      <c r="D115">
        <v>2030000</v>
      </c>
      <c r="E115" t="s">
        <v>242</v>
      </c>
      <c r="F115" s="42" t="s">
        <v>100</v>
      </c>
      <c r="G115" s="13">
        <v>42543.180972222224</v>
      </c>
    </row>
    <row r="116" spans="1:7" x14ac:dyDescent="0.25">
      <c r="A116" s="13">
        <v>42543.98400462963</v>
      </c>
      <c r="B116" t="s">
        <v>121</v>
      </c>
      <c r="C116" t="s">
        <v>492</v>
      </c>
      <c r="D116">
        <v>2010000</v>
      </c>
      <c r="E116" t="s">
        <v>132</v>
      </c>
      <c r="F116" s="42" t="s">
        <v>121</v>
      </c>
      <c r="G116" s="13">
        <v>42543.98400462963</v>
      </c>
    </row>
    <row r="117" spans="1:7" x14ac:dyDescent="0.25">
      <c r="A117" s="13">
        <v>42543.257916666669</v>
      </c>
      <c r="B117" t="s">
        <v>100</v>
      </c>
      <c r="C117" t="s">
        <v>302</v>
      </c>
      <c r="D117">
        <v>2030000</v>
      </c>
      <c r="E117" t="s">
        <v>242</v>
      </c>
      <c r="F117" s="42" t="s">
        <v>100</v>
      </c>
      <c r="G117" s="13">
        <v>42543.257916666669</v>
      </c>
    </row>
    <row r="118" spans="1:7" x14ac:dyDescent="0.25">
      <c r="A118" s="13">
        <v>42543.952418981484</v>
      </c>
      <c r="B118" t="s">
        <v>91</v>
      </c>
      <c r="C118" t="s">
        <v>486</v>
      </c>
      <c r="D118">
        <v>1820000</v>
      </c>
      <c r="E118" t="s">
        <v>245</v>
      </c>
      <c r="F118" s="42" t="s">
        <v>91</v>
      </c>
      <c r="G118" s="13">
        <v>42543.952418981484</v>
      </c>
    </row>
    <row r="119" spans="1:7" x14ac:dyDescent="0.25">
      <c r="A119" s="13">
        <v>42543.331793981481</v>
      </c>
      <c r="B119" t="s">
        <v>537</v>
      </c>
      <c r="C119" t="s">
        <v>331</v>
      </c>
      <c r="D119">
        <v>2030000</v>
      </c>
      <c r="E119" t="s">
        <v>242</v>
      </c>
      <c r="F119" s="42" t="s">
        <v>537</v>
      </c>
      <c r="G119" s="13">
        <v>42543.331793981481</v>
      </c>
    </row>
    <row r="120" spans="1:7" x14ac:dyDescent="0.25">
      <c r="A120" s="13">
        <v>42543.947291666664</v>
      </c>
      <c r="B120" t="s">
        <v>101</v>
      </c>
      <c r="C120" t="s">
        <v>489</v>
      </c>
      <c r="D120">
        <v>1760000</v>
      </c>
      <c r="E120" t="s">
        <v>543</v>
      </c>
      <c r="F120" s="42" t="s">
        <v>101</v>
      </c>
      <c r="G120" s="13">
        <v>42543.947291666664</v>
      </c>
    </row>
    <row r="121" spans="1:7" x14ac:dyDescent="0.25">
      <c r="A121" s="13">
        <v>42543.341400462959</v>
      </c>
      <c r="B121" t="s">
        <v>123</v>
      </c>
      <c r="C121" t="s">
        <v>334</v>
      </c>
      <c r="D121">
        <v>1200000</v>
      </c>
      <c r="E121" t="s">
        <v>546</v>
      </c>
      <c r="F121" s="42" t="s">
        <v>123</v>
      </c>
      <c r="G121" s="13">
        <v>42543.341400462959</v>
      </c>
    </row>
    <row r="122" spans="1:7" x14ac:dyDescent="0.25">
      <c r="A122" s="13">
        <v>42543.913263888891</v>
      </c>
      <c r="B122" s="60" t="s">
        <v>97</v>
      </c>
      <c r="C122" t="s">
        <v>485</v>
      </c>
      <c r="D122">
        <v>1820000</v>
      </c>
      <c r="E122" t="s">
        <v>245</v>
      </c>
      <c r="F122" s="60" t="s">
        <v>97</v>
      </c>
      <c r="G122" s="13">
        <v>42543.913263888891</v>
      </c>
    </row>
    <row r="123" spans="1:7" x14ac:dyDescent="0.25">
      <c r="A123" s="13">
        <v>42543.401724537034</v>
      </c>
      <c r="B123" t="s">
        <v>538</v>
      </c>
      <c r="C123" t="s">
        <v>517</v>
      </c>
      <c r="D123">
        <v>1480000</v>
      </c>
      <c r="E123" t="s">
        <v>141</v>
      </c>
      <c r="F123" s="42" t="s">
        <v>538</v>
      </c>
      <c r="G123" s="13">
        <v>42543.401724537034</v>
      </c>
    </row>
    <row r="124" spans="1:7" x14ac:dyDescent="0.25">
      <c r="A124" s="13">
        <v>42543.798310185186</v>
      </c>
      <c r="B124" t="s">
        <v>91</v>
      </c>
      <c r="C124" t="s">
        <v>466</v>
      </c>
      <c r="D124">
        <v>1820000</v>
      </c>
      <c r="E124" t="s">
        <v>245</v>
      </c>
      <c r="F124" s="42" t="s">
        <v>91</v>
      </c>
      <c r="G124" s="13">
        <v>42543.798310185186</v>
      </c>
    </row>
    <row r="125" spans="1:7" x14ac:dyDescent="0.25">
      <c r="A125" s="13">
        <v>42543.494351851848</v>
      </c>
      <c r="B125" t="s">
        <v>124</v>
      </c>
      <c r="C125" t="s">
        <v>373</v>
      </c>
      <c r="D125">
        <v>900000</v>
      </c>
      <c r="E125" t="s">
        <v>103</v>
      </c>
      <c r="F125" s="42" t="s">
        <v>124</v>
      </c>
      <c r="G125" s="13">
        <v>42543.494351851848</v>
      </c>
    </row>
    <row r="126" spans="1:7" x14ac:dyDescent="0.25">
      <c r="A126" s="13">
        <v>42543.79142361111</v>
      </c>
      <c r="B126" t="s">
        <v>101</v>
      </c>
      <c r="C126" t="s">
        <v>469</v>
      </c>
      <c r="D126">
        <v>1760000</v>
      </c>
      <c r="E126" t="s">
        <v>543</v>
      </c>
      <c r="F126" s="42" t="s">
        <v>101</v>
      </c>
      <c r="G126" s="13">
        <v>42543.79142361111</v>
      </c>
    </row>
    <row r="127" spans="1:7" x14ac:dyDescent="0.25">
      <c r="A127" s="13">
        <v>42543.504733796297</v>
      </c>
      <c r="B127" t="s">
        <v>91</v>
      </c>
      <c r="C127" t="s">
        <v>376</v>
      </c>
      <c r="D127">
        <v>1360000</v>
      </c>
      <c r="E127" t="s">
        <v>540</v>
      </c>
      <c r="F127" s="42" t="s">
        <v>91</v>
      </c>
      <c r="G127" s="13">
        <v>42543.504733796297</v>
      </c>
    </row>
    <row r="128" spans="1:7" x14ac:dyDescent="0.25">
      <c r="A128" s="13">
        <v>42543.707280092596</v>
      </c>
      <c r="B128" t="s">
        <v>123</v>
      </c>
      <c r="C128" t="s">
        <v>448</v>
      </c>
      <c r="D128">
        <v>1290000</v>
      </c>
      <c r="E128" t="s">
        <v>139</v>
      </c>
      <c r="F128" s="42" t="s">
        <v>123</v>
      </c>
      <c r="G128" s="13">
        <v>42543.707280092596</v>
      </c>
    </row>
    <row r="129" spans="1:7" x14ac:dyDescent="0.25">
      <c r="A129" s="13">
        <v>42543.568483796298</v>
      </c>
      <c r="B129" t="s">
        <v>538</v>
      </c>
      <c r="C129" t="s">
        <v>525</v>
      </c>
      <c r="D129">
        <v>1480000</v>
      </c>
      <c r="E129" t="s">
        <v>141</v>
      </c>
      <c r="F129" s="42" t="s">
        <v>538</v>
      </c>
      <c r="G129" s="13">
        <v>42543.568483796298</v>
      </c>
    </row>
    <row r="130" spans="1:7" x14ac:dyDescent="0.25">
      <c r="A130" s="13">
        <v>42543.698969907404</v>
      </c>
      <c r="B130" t="s">
        <v>538</v>
      </c>
      <c r="C130" t="s">
        <v>527</v>
      </c>
      <c r="D130">
        <v>1750000</v>
      </c>
      <c r="E130" t="s">
        <v>161</v>
      </c>
      <c r="F130" s="42" t="s">
        <v>538</v>
      </c>
      <c r="G130" s="13">
        <v>42543.698969907404</v>
      </c>
    </row>
    <row r="131" spans="1:7" x14ac:dyDescent="0.25">
      <c r="A131" s="13">
        <v>42543.602881944447</v>
      </c>
      <c r="B131" t="s">
        <v>121</v>
      </c>
      <c r="C131" t="s">
        <v>413</v>
      </c>
      <c r="D131">
        <v>1360000</v>
      </c>
      <c r="E131" t="s">
        <v>540</v>
      </c>
      <c r="F131" s="42" t="s">
        <v>121</v>
      </c>
      <c r="G131" s="13">
        <v>42543.602881944447</v>
      </c>
    </row>
    <row r="132" spans="1:7" x14ac:dyDescent="0.25">
      <c r="A132" s="13">
        <v>42543.612372685187</v>
      </c>
      <c r="B132" t="s">
        <v>100</v>
      </c>
      <c r="C132" t="s">
        <v>413</v>
      </c>
      <c r="D132">
        <v>1360000</v>
      </c>
      <c r="E132" t="s">
        <v>540</v>
      </c>
      <c r="F132" s="42" t="s">
        <v>100</v>
      </c>
      <c r="G132" s="13">
        <v>42543.612372685187</v>
      </c>
    </row>
    <row r="133" spans="1:7" x14ac:dyDescent="0.25">
      <c r="A133" s="13">
        <v>42543.642847222225</v>
      </c>
      <c r="B133" t="s">
        <v>98</v>
      </c>
      <c r="C133" t="s">
        <v>415</v>
      </c>
      <c r="D133">
        <v>1360000</v>
      </c>
      <c r="E133" t="s">
        <v>540</v>
      </c>
      <c r="F133" s="42" t="s">
        <v>98</v>
      </c>
      <c r="G133" s="13">
        <v>42543.642847222225</v>
      </c>
    </row>
    <row r="134" spans="1:7" x14ac:dyDescent="0.25">
      <c r="A134" s="13">
        <v>42543.606388888889</v>
      </c>
      <c r="B134" t="s">
        <v>116</v>
      </c>
      <c r="C134" t="s">
        <v>407</v>
      </c>
      <c r="D134">
        <v>1090000</v>
      </c>
      <c r="E134" t="s">
        <v>164</v>
      </c>
      <c r="F134" s="42" t="s">
        <v>116</v>
      </c>
      <c r="G134" s="13">
        <v>42543.606388888889</v>
      </c>
    </row>
    <row r="135" spans="1:7" x14ac:dyDescent="0.25">
      <c r="A135" s="13">
        <v>42543.730034722219</v>
      </c>
      <c r="B135" t="s">
        <v>535</v>
      </c>
      <c r="C135" t="s">
        <v>455</v>
      </c>
      <c r="D135">
        <v>880000</v>
      </c>
      <c r="E135" t="s">
        <v>542</v>
      </c>
      <c r="F135" s="42" t="s">
        <v>535</v>
      </c>
      <c r="G135" s="13">
        <v>42543.730034722219</v>
      </c>
    </row>
    <row r="136" spans="1:7" x14ac:dyDescent="0.25">
      <c r="A136" s="13">
        <v>42543.576377314814</v>
      </c>
      <c r="B136" t="s">
        <v>91</v>
      </c>
      <c r="C136" t="s">
        <v>398</v>
      </c>
      <c r="D136">
        <v>890000</v>
      </c>
      <c r="E136" t="s">
        <v>541</v>
      </c>
      <c r="F136" s="42" t="s">
        <v>91</v>
      </c>
      <c r="G136" s="13">
        <v>42543.576377314814</v>
      </c>
    </row>
    <row r="137" spans="1:7" x14ac:dyDescent="0.25">
      <c r="A137" s="13">
        <v>42543.749120370368</v>
      </c>
      <c r="B137" t="s">
        <v>100</v>
      </c>
      <c r="C137" t="s">
        <v>462</v>
      </c>
      <c r="D137">
        <v>1780000</v>
      </c>
      <c r="E137" t="s">
        <v>162</v>
      </c>
      <c r="F137" s="42" t="s">
        <v>100</v>
      </c>
      <c r="G137" s="13">
        <v>42543.749120370368</v>
      </c>
    </row>
    <row r="138" spans="1:7" x14ac:dyDescent="0.25">
      <c r="A138" s="13">
        <v>42543.496759259258</v>
      </c>
      <c r="B138" t="s">
        <v>115</v>
      </c>
      <c r="C138" t="s">
        <v>385</v>
      </c>
      <c r="D138">
        <v>1090000</v>
      </c>
      <c r="E138" t="s">
        <v>164</v>
      </c>
      <c r="F138" s="42" t="s">
        <v>115</v>
      </c>
      <c r="G138" s="13">
        <v>42543.496759259258</v>
      </c>
    </row>
    <row r="139" spans="1:7" x14ac:dyDescent="0.25">
      <c r="A139" s="13">
        <v>42543.353425925925</v>
      </c>
      <c r="B139" t="s">
        <v>115</v>
      </c>
      <c r="C139" t="s">
        <v>336</v>
      </c>
      <c r="D139">
        <v>1520000</v>
      </c>
      <c r="E139" t="s">
        <v>539</v>
      </c>
      <c r="F139" s="42" t="s">
        <v>115</v>
      </c>
      <c r="G139" s="13">
        <v>42543.353425925925</v>
      </c>
    </row>
    <row r="140" spans="1:7" x14ac:dyDescent="0.25">
      <c r="A140" s="13">
        <v>42543.443124999998</v>
      </c>
      <c r="B140" t="s">
        <v>538</v>
      </c>
      <c r="C140" t="s">
        <v>519</v>
      </c>
      <c r="D140">
        <v>1480000</v>
      </c>
      <c r="E140" t="s">
        <v>141</v>
      </c>
      <c r="F140" s="42" t="s">
        <v>538</v>
      </c>
      <c r="G140" s="13">
        <v>42543.443124999998</v>
      </c>
    </row>
    <row r="141" spans="1:7" x14ac:dyDescent="0.25">
      <c r="A141" s="13">
        <v>42543.357511574075</v>
      </c>
      <c r="B141" s="42" t="s">
        <v>91</v>
      </c>
      <c r="C141" t="s">
        <v>329</v>
      </c>
      <c r="D141">
        <v>2000000</v>
      </c>
      <c r="E141" t="s">
        <v>165</v>
      </c>
      <c r="F141" s="42" t="s">
        <v>91</v>
      </c>
      <c r="G141" s="13">
        <v>42543.357511574075</v>
      </c>
    </row>
    <row r="142" spans="1:7" x14ac:dyDescent="0.25">
      <c r="A142" s="13">
        <v>42543.322835648149</v>
      </c>
      <c r="B142" s="42" t="s">
        <v>538</v>
      </c>
      <c r="C142" t="s">
        <v>511</v>
      </c>
      <c r="D142">
        <v>1480000</v>
      </c>
      <c r="E142" t="s">
        <v>141</v>
      </c>
      <c r="F142" s="42" t="s">
        <v>538</v>
      </c>
      <c r="G142" s="13">
        <v>42543.322835648149</v>
      </c>
    </row>
    <row r="143" spans="1:7" x14ac:dyDescent="0.25">
      <c r="A143" s="13">
        <v>42543.384305555555</v>
      </c>
      <c r="B143" t="s">
        <v>121</v>
      </c>
      <c r="C143" t="s">
        <v>347</v>
      </c>
      <c r="D143">
        <v>1110000</v>
      </c>
      <c r="E143" t="s">
        <v>243</v>
      </c>
      <c r="F143" s="42" t="s">
        <v>121</v>
      </c>
      <c r="G143" s="13">
        <v>42543.384305555555</v>
      </c>
    </row>
    <row r="144" spans="1:7" x14ac:dyDescent="0.25">
      <c r="A144" s="13">
        <v>42543.259143518517</v>
      </c>
      <c r="B144" t="s">
        <v>534</v>
      </c>
      <c r="C144" t="s">
        <v>506</v>
      </c>
      <c r="D144">
        <v>1480000</v>
      </c>
      <c r="E144" t="s">
        <v>141</v>
      </c>
      <c r="F144" s="42" t="s">
        <v>534</v>
      </c>
      <c r="G144" s="13">
        <v>42543.259143518517</v>
      </c>
    </row>
    <row r="145" spans="1:7" x14ac:dyDescent="0.25">
      <c r="A145" s="13">
        <v>42543.488194444442</v>
      </c>
      <c r="B145" t="s">
        <v>123</v>
      </c>
      <c r="C145" t="s">
        <v>381</v>
      </c>
      <c r="D145">
        <v>1290000</v>
      </c>
      <c r="E145" t="s">
        <v>139</v>
      </c>
      <c r="F145" s="42" t="s">
        <v>123</v>
      </c>
      <c r="G145" s="13">
        <v>42543.488194444442</v>
      </c>
    </row>
    <row r="146" spans="1:7" x14ac:dyDescent="0.25">
      <c r="A146" s="13">
        <v>42543.255439814813</v>
      </c>
      <c r="B146" t="s">
        <v>532</v>
      </c>
      <c r="C146" t="s">
        <v>505</v>
      </c>
      <c r="D146">
        <v>1540000</v>
      </c>
      <c r="E146" t="s">
        <v>163</v>
      </c>
      <c r="F146" s="42" t="s">
        <v>532</v>
      </c>
      <c r="G146" s="13">
        <v>42543.255439814813</v>
      </c>
    </row>
    <row r="147" spans="1:7" x14ac:dyDescent="0.25">
      <c r="A147" s="13">
        <v>42543.521967592591</v>
      </c>
      <c r="B147" t="s">
        <v>246</v>
      </c>
      <c r="C147" t="s">
        <v>393</v>
      </c>
      <c r="D147">
        <v>1470000</v>
      </c>
      <c r="E147" t="s">
        <v>240</v>
      </c>
      <c r="F147" s="42" t="s">
        <v>246</v>
      </c>
      <c r="G147" s="13">
        <v>42543.521967592591</v>
      </c>
    </row>
    <row r="148" spans="1:7" x14ac:dyDescent="0.25">
      <c r="A148" s="13">
        <v>42543.232060185182</v>
      </c>
      <c r="B148" t="s">
        <v>122</v>
      </c>
      <c r="C148" t="s">
        <v>283</v>
      </c>
      <c r="D148">
        <v>1260000</v>
      </c>
      <c r="E148" t="s">
        <v>140</v>
      </c>
      <c r="F148" s="42" t="s">
        <v>122</v>
      </c>
      <c r="G148" s="13">
        <v>42543.232060185182</v>
      </c>
    </row>
    <row r="149" spans="1:7" x14ac:dyDescent="0.25">
      <c r="A149" s="13">
        <v>42543.55908564815</v>
      </c>
      <c r="B149" t="s">
        <v>123</v>
      </c>
      <c r="C149" t="s">
        <v>403</v>
      </c>
      <c r="D149">
        <v>1290000</v>
      </c>
      <c r="E149" t="s">
        <v>139</v>
      </c>
      <c r="F149" s="42" t="s">
        <v>123</v>
      </c>
      <c r="G149" s="13">
        <v>42543.55908564815</v>
      </c>
    </row>
    <row r="150" spans="1:7" x14ac:dyDescent="0.25">
      <c r="A150" s="13">
        <v>42543.594837962963</v>
      </c>
      <c r="B150" t="s">
        <v>246</v>
      </c>
      <c r="C150" t="s">
        <v>411</v>
      </c>
      <c r="D150">
        <v>1470000</v>
      </c>
      <c r="E150" t="s">
        <v>240</v>
      </c>
      <c r="F150" s="42" t="s">
        <v>246</v>
      </c>
      <c r="G150" s="13">
        <v>42543.594837962963</v>
      </c>
    </row>
    <row r="151" spans="1:7" x14ac:dyDescent="0.25">
      <c r="A151" s="13">
        <v>42543.568252314813</v>
      </c>
      <c r="B151" t="s">
        <v>115</v>
      </c>
      <c r="C151" t="s">
        <v>405</v>
      </c>
      <c r="D151">
        <v>1090000</v>
      </c>
      <c r="E151" t="s">
        <v>164</v>
      </c>
      <c r="F151" s="42" t="s">
        <v>115</v>
      </c>
      <c r="G151" s="13">
        <v>42543.568252314813</v>
      </c>
    </row>
    <row r="152" spans="1:7" x14ac:dyDescent="0.25">
      <c r="A152" s="13">
        <v>42543.533634259256</v>
      </c>
      <c r="B152" t="s">
        <v>116</v>
      </c>
      <c r="C152" t="s">
        <v>387</v>
      </c>
      <c r="D152">
        <v>1090000</v>
      </c>
      <c r="E152" t="s">
        <v>164</v>
      </c>
      <c r="F152" s="42" t="s">
        <v>116</v>
      </c>
      <c r="G152" s="13">
        <v>42543.533634259256</v>
      </c>
    </row>
    <row r="153" spans="1:7" x14ac:dyDescent="0.25">
      <c r="A153" s="13">
        <v>42543.654629629629</v>
      </c>
      <c r="B153" t="s">
        <v>538</v>
      </c>
      <c r="C153" t="s">
        <v>529</v>
      </c>
      <c r="D153">
        <v>1750000</v>
      </c>
      <c r="E153" t="s">
        <v>161</v>
      </c>
      <c r="F153" s="42" t="s">
        <v>538</v>
      </c>
      <c r="G153" s="13">
        <v>42543.654629629629</v>
      </c>
    </row>
    <row r="154" spans="1:7" x14ac:dyDescent="0.25">
      <c r="A154" s="13">
        <v>42543.44263888889</v>
      </c>
      <c r="B154" t="s">
        <v>530</v>
      </c>
      <c r="C154" t="s">
        <v>357</v>
      </c>
      <c r="D154">
        <v>2030000</v>
      </c>
      <c r="E154" t="s">
        <v>242</v>
      </c>
      <c r="F154" s="42" t="s">
        <v>530</v>
      </c>
      <c r="G154" s="13">
        <v>42543.44263888889</v>
      </c>
    </row>
    <row r="155" spans="1:7" x14ac:dyDescent="0.25">
      <c r="A155" s="13">
        <v>42543.706064814818</v>
      </c>
      <c r="B155" t="s">
        <v>124</v>
      </c>
      <c r="C155" t="s">
        <v>435</v>
      </c>
      <c r="D155">
        <v>1470000</v>
      </c>
      <c r="E155" t="s">
        <v>240</v>
      </c>
      <c r="F155" s="42" t="s">
        <v>124</v>
      </c>
      <c r="G155" s="13">
        <v>42543.706064814818</v>
      </c>
    </row>
    <row r="156" spans="1:7" x14ac:dyDescent="0.25">
      <c r="A156" s="13">
        <v>42543.414756944447</v>
      </c>
      <c r="B156" t="s">
        <v>123</v>
      </c>
      <c r="C156" t="s">
        <v>358</v>
      </c>
      <c r="D156">
        <v>1260000</v>
      </c>
      <c r="E156" t="s">
        <v>140</v>
      </c>
      <c r="F156" s="42" t="s">
        <v>123</v>
      </c>
      <c r="G156" s="13">
        <v>42543.414756944447</v>
      </c>
    </row>
    <row r="157" spans="1:7" x14ac:dyDescent="0.25">
      <c r="A157" s="13">
        <v>42543.319548611114</v>
      </c>
      <c r="B157" t="s">
        <v>97</v>
      </c>
      <c r="C157" t="s">
        <v>328</v>
      </c>
      <c r="D157">
        <v>2000000</v>
      </c>
      <c r="E157" t="s">
        <v>165</v>
      </c>
      <c r="F157" s="42" t="s">
        <v>97</v>
      </c>
      <c r="G157" s="13">
        <v>42543.319548611114</v>
      </c>
    </row>
    <row r="158" spans="1:7" x14ac:dyDescent="0.25">
      <c r="A158" s="13">
        <v>42543.404016203705</v>
      </c>
      <c r="B158" t="s">
        <v>537</v>
      </c>
      <c r="C158" t="s">
        <v>355</v>
      </c>
      <c r="D158">
        <v>2030000</v>
      </c>
      <c r="E158" t="s">
        <v>242</v>
      </c>
      <c r="F158" s="42" t="s">
        <v>537</v>
      </c>
      <c r="G158" s="13">
        <v>42543.404016203705</v>
      </c>
    </row>
    <row r="159" spans="1:7" x14ac:dyDescent="0.25">
      <c r="A159" s="13">
        <v>42543.39234953704</v>
      </c>
      <c r="B159" t="s">
        <v>116</v>
      </c>
      <c r="C159" t="s">
        <v>338</v>
      </c>
      <c r="D159">
        <v>1520000</v>
      </c>
      <c r="E159" t="s">
        <v>539</v>
      </c>
      <c r="F159" s="42" t="s">
        <v>116</v>
      </c>
      <c r="G159" s="13">
        <v>42543.39234953704</v>
      </c>
    </row>
    <row r="160" spans="1:7" x14ac:dyDescent="0.25">
      <c r="A160" s="13">
        <v>42543.358958333331</v>
      </c>
      <c r="B160" t="s">
        <v>535</v>
      </c>
      <c r="C160" t="s">
        <v>340</v>
      </c>
      <c r="D160">
        <v>1830000</v>
      </c>
      <c r="E160" t="s">
        <v>544</v>
      </c>
      <c r="F160" s="42" t="s">
        <v>535</v>
      </c>
      <c r="G160" s="13">
        <v>42543.358958333331</v>
      </c>
    </row>
    <row r="161" spans="1:7" x14ac:dyDescent="0.25">
      <c r="A161" s="13">
        <v>42543.525787037041</v>
      </c>
      <c r="B161" t="s">
        <v>122</v>
      </c>
      <c r="C161" t="s">
        <v>383</v>
      </c>
      <c r="D161">
        <v>1290000</v>
      </c>
      <c r="E161" t="s">
        <v>139</v>
      </c>
      <c r="F161" s="42" t="s">
        <v>122</v>
      </c>
      <c r="G161" s="13">
        <v>42543.525787037041</v>
      </c>
    </row>
    <row r="162" spans="1:7" x14ac:dyDescent="0.25">
      <c r="A162" s="13">
        <v>42543.342557870368</v>
      </c>
      <c r="B162" t="s">
        <v>534</v>
      </c>
      <c r="C162" t="s">
        <v>514</v>
      </c>
      <c r="D162">
        <v>1480000</v>
      </c>
      <c r="E162" t="s">
        <v>141</v>
      </c>
      <c r="F162" s="42" t="s">
        <v>534</v>
      </c>
      <c r="G162" s="13">
        <v>42543.342557870368</v>
      </c>
    </row>
    <row r="163" spans="1:7" x14ac:dyDescent="0.25">
      <c r="A163" s="13">
        <v>42543.540497685186</v>
      </c>
      <c r="B163" t="s">
        <v>97</v>
      </c>
      <c r="C163" t="s">
        <v>397</v>
      </c>
      <c r="D163">
        <v>1360000</v>
      </c>
      <c r="E163" t="s">
        <v>540</v>
      </c>
      <c r="F163" s="42" t="s">
        <v>97</v>
      </c>
      <c r="G163" s="13">
        <v>42543.540497685186</v>
      </c>
    </row>
    <row r="164" spans="1:7" x14ac:dyDescent="0.25">
      <c r="A164" s="13">
        <v>42543.313125000001</v>
      </c>
      <c r="B164" t="s">
        <v>534</v>
      </c>
      <c r="C164" t="s">
        <v>510</v>
      </c>
      <c r="D164">
        <v>1480000</v>
      </c>
      <c r="E164" t="s">
        <v>141</v>
      </c>
      <c r="F164" s="42" t="s">
        <v>534</v>
      </c>
      <c r="G164" s="13">
        <v>42543.313125000001</v>
      </c>
    </row>
    <row r="165" spans="1:7" x14ac:dyDescent="0.25">
      <c r="A165" s="13">
        <v>42543.562916666669</v>
      </c>
      <c r="B165" t="s">
        <v>239</v>
      </c>
      <c r="C165" t="s">
        <v>394</v>
      </c>
      <c r="D165">
        <v>1470000</v>
      </c>
      <c r="E165" t="s">
        <v>240</v>
      </c>
      <c r="F165" s="42" t="s">
        <v>239</v>
      </c>
      <c r="G165" s="13">
        <v>42543.562916666669</v>
      </c>
    </row>
    <row r="166" spans="1:7" x14ac:dyDescent="0.25">
      <c r="A166" s="13">
        <v>42543.257453703707</v>
      </c>
      <c r="B166" t="s">
        <v>532</v>
      </c>
      <c r="C166" t="s">
        <v>505</v>
      </c>
      <c r="D166">
        <v>1540000</v>
      </c>
      <c r="E166" t="s">
        <v>163</v>
      </c>
      <c r="F166" s="42" t="s">
        <v>532</v>
      </c>
      <c r="G166" s="13">
        <v>42543.257453703707</v>
      </c>
    </row>
    <row r="167" spans="1:7" x14ac:dyDescent="0.25">
      <c r="A167" s="13">
        <v>42543.632881944446</v>
      </c>
      <c r="B167" t="s">
        <v>123</v>
      </c>
      <c r="C167" t="s">
        <v>426</v>
      </c>
      <c r="D167">
        <v>1290000</v>
      </c>
      <c r="E167" t="s">
        <v>139</v>
      </c>
      <c r="F167" s="42" t="s">
        <v>123</v>
      </c>
      <c r="G167" s="13">
        <v>42543.632881944446</v>
      </c>
    </row>
    <row r="168" spans="1:7" x14ac:dyDescent="0.25">
      <c r="A168" s="13">
        <v>42543.712280092594</v>
      </c>
      <c r="B168" t="s">
        <v>98</v>
      </c>
      <c r="C168" t="s">
        <v>438</v>
      </c>
      <c r="D168">
        <v>1790000</v>
      </c>
      <c r="E168" t="s">
        <v>547</v>
      </c>
      <c r="F168" s="42" t="s">
        <v>98</v>
      </c>
      <c r="G168" s="13">
        <v>42543.712280092594</v>
      </c>
    </row>
    <row r="169" spans="1:7" x14ac:dyDescent="0.25">
      <c r="A169" s="13">
        <v>42543.76090277778</v>
      </c>
      <c r="B169" t="s">
        <v>97</v>
      </c>
      <c r="C169" t="s">
        <v>465</v>
      </c>
      <c r="D169">
        <v>1820000</v>
      </c>
      <c r="E169" t="s">
        <v>245</v>
      </c>
      <c r="F169" s="42" t="s">
        <v>97</v>
      </c>
      <c r="G169" s="13">
        <v>42543.76090277778</v>
      </c>
    </row>
    <row r="170" spans="1:7" x14ac:dyDescent="0.25">
      <c r="A170" s="13">
        <v>42543.632488425923</v>
      </c>
      <c r="B170" t="s">
        <v>534</v>
      </c>
      <c r="C170" t="s">
        <v>528</v>
      </c>
      <c r="D170">
        <v>1750000</v>
      </c>
      <c r="E170" t="s">
        <v>161</v>
      </c>
      <c r="F170" s="42" t="s">
        <v>534</v>
      </c>
      <c r="G170" s="13">
        <v>42543.632488425923</v>
      </c>
    </row>
    <row r="171" spans="1:7" x14ac:dyDescent="0.25">
      <c r="A171" s="13">
        <v>42543.783784722225</v>
      </c>
      <c r="B171" t="s">
        <v>98</v>
      </c>
      <c r="C171" t="s">
        <v>464</v>
      </c>
      <c r="D171">
        <v>1790000</v>
      </c>
      <c r="E171" t="s">
        <v>547</v>
      </c>
      <c r="F171" s="42" t="s">
        <v>98</v>
      </c>
      <c r="G171" s="13">
        <v>42543.783784722225</v>
      </c>
    </row>
    <row r="172" spans="1:7" x14ac:dyDescent="0.25">
      <c r="A172" s="13">
        <v>42543.285567129627</v>
      </c>
      <c r="B172" t="s">
        <v>535</v>
      </c>
      <c r="C172" t="s">
        <v>314</v>
      </c>
      <c r="D172">
        <v>1830000</v>
      </c>
      <c r="E172" t="s">
        <v>544</v>
      </c>
      <c r="F172" s="42" t="s">
        <v>535</v>
      </c>
      <c r="G172" s="13">
        <v>42543.285567129627</v>
      </c>
    </row>
    <row r="173" spans="1:7" x14ac:dyDescent="0.25">
      <c r="A173" s="13">
        <v>42543.309629629628</v>
      </c>
      <c r="B173" t="s">
        <v>82</v>
      </c>
      <c r="C173" t="s">
        <v>312</v>
      </c>
      <c r="D173">
        <v>1520000</v>
      </c>
      <c r="E173" t="s">
        <v>539</v>
      </c>
      <c r="F173" s="42" t="s">
        <v>82</v>
      </c>
      <c r="G173" s="13">
        <v>42543.309629629628</v>
      </c>
    </row>
    <row r="174" spans="1:7" x14ac:dyDescent="0.25">
      <c r="A174" s="13">
        <v>42543.591550925928</v>
      </c>
      <c r="B174" t="s">
        <v>535</v>
      </c>
      <c r="C174" t="s">
        <v>408</v>
      </c>
      <c r="D174">
        <v>880000</v>
      </c>
      <c r="E174" t="s">
        <v>542</v>
      </c>
      <c r="F174" s="42" t="s">
        <v>535</v>
      </c>
      <c r="G174" s="13">
        <v>42543.591550925928</v>
      </c>
    </row>
    <row r="175" spans="1:7" x14ac:dyDescent="0.25">
      <c r="A175" s="13">
        <v>42543.310173611113</v>
      </c>
      <c r="B175" t="s">
        <v>121</v>
      </c>
      <c r="C175" t="s">
        <v>321</v>
      </c>
      <c r="D175">
        <v>1110000</v>
      </c>
      <c r="E175" t="s">
        <v>243</v>
      </c>
      <c r="F175" s="42" t="s">
        <v>121</v>
      </c>
      <c r="G175" s="13">
        <v>42543.310173611113</v>
      </c>
    </row>
    <row r="176" spans="1:7" x14ac:dyDescent="0.25">
      <c r="A176" s="13">
        <v>42543.40587962963</v>
      </c>
      <c r="B176" t="s">
        <v>537</v>
      </c>
      <c r="C176" t="s">
        <v>355</v>
      </c>
      <c r="D176">
        <v>2030000</v>
      </c>
      <c r="E176" t="s">
        <v>242</v>
      </c>
      <c r="F176" s="42" t="s">
        <v>537</v>
      </c>
      <c r="G176" s="13">
        <v>42543.40587962963</v>
      </c>
    </row>
    <row r="177" spans="1:7" x14ac:dyDescent="0.25">
      <c r="A177" s="13">
        <v>42543.328402777777</v>
      </c>
      <c r="B177" t="s">
        <v>533</v>
      </c>
      <c r="C177" t="s">
        <v>315</v>
      </c>
      <c r="D177">
        <v>1830000</v>
      </c>
      <c r="E177" t="s">
        <v>544</v>
      </c>
      <c r="F177" s="42" t="s">
        <v>533</v>
      </c>
      <c r="G177" s="13">
        <v>42543.328402777777</v>
      </c>
    </row>
    <row r="178" spans="1:7" x14ac:dyDescent="0.25">
      <c r="A178" s="13">
        <v>42543.245925925927</v>
      </c>
      <c r="B178" t="s">
        <v>533</v>
      </c>
      <c r="C178" t="s">
        <v>289</v>
      </c>
      <c r="D178">
        <v>1830000</v>
      </c>
      <c r="E178" t="s">
        <v>544</v>
      </c>
      <c r="F178" s="42" t="s">
        <v>533</v>
      </c>
      <c r="G178" s="13">
        <v>42543.245925925927</v>
      </c>
    </row>
    <row r="179" spans="1:7" x14ac:dyDescent="0.25">
      <c r="A179" s="13">
        <v>42543.340856481482</v>
      </c>
      <c r="B179" t="s">
        <v>532</v>
      </c>
      <c r="C179" t="s">
        <v>513</v>
      </c>
      <c r="D179">
        <v>1540000</v>
      </c>
      <c r="E179" t="s">
        <v>163</v>
      </c>
      <c r="F179" s="42" t="s">
        <v>532</v>
      </c>
      <c r="G179" s="13">
        <v>42543.340856481482</v>
      </c>
    </row>
    <row r="180" spans="1:7" x14ac:dyDescent="0.25">
      <c r="A180" s="13">
        <v>42543.621516203704</v>
      </c>
      <c r="B180" t="s">
        <v>537</v>
      </c>
      <c r="C180" t="s">
        <v>421</v>
      </c>
      <c r="D180">
        <v>940000</v>
      </c>
      <c r="E180" t="s">
        <v>247</v>
      </c>
      <c r="F180" s="42" t="s">
        <v>537</v>
      </c>
      <c r="G180" s="13">
        <v>42543.621516203704</v>
      </c>
    </row>
    <row r="181" spans="1:7" x14ac:dyDescent="0.25">
      <c r="A181" s="13">
        <v>42543.39571759259</v>
      </c>
      <c r="B181" t="s">
        <v>533</v>
      </c>
      <c r="C181" t="s">
        <v>342</v>
      </c>
      <c r="D181">
        <v>1830000</v>
      </c>
      <c r="E181" t="s">
        <v>544</v>
      </c>
      <c r="F181" s="42" t="s">
        <v>533</v>
      </c>
      <c r="G181" s="13">
        <v>42543.39571759259</v>
      </c>
    </row>
    <row r="182" spans="1:7" x14ac:dyDescent="0.25">
      <c r="A182" s="13">
        <v>42543.458032407405</v>
      </c>
      <c r="B182" t="s">
        <v>121</v>
      </c>
      <c r="C182" t="s">
        <v>370</v>
      </c>
      <c r="D182">
        <v>900000</v>
      </c>
      <c r="E182" t="s">
        <v>103</v>
      </c>
      <c r="F182" s="42" t="s">
        <v>121</v>
      </c>
      <c r="G182" s="13">
        <v>42543.458032407405</v>
      </c>
    </row>
    <row r="183" spans="1:7" x14ac:dyDescent="0.25">
      <c r="A183" s="13">
        <v>42543.590567129628</v>
      </c>
      <c r="B183" t="s">
        <v>534</v>
      </c>
      <c r="C183" t="s">
        <v>526</v>
      </c>
      <c r="D183">
        <v>1750000</v>
      </c>
      <c r="E183" t="s">
        <v>161</v>
      </c>
      <c r="F183" s="42" t="s">
        <v>534</v>
      </c>
      <c r="G183" s="13">
        <v>42543.590567129628</v>
      </c>
    </row>
    <row r="184" spans="1:7" x14ac:dyDescent="0.25">
      <c r="A184" s="13">
        <v>42543.42355324074</v>
      </c>
      <c r="B184" t="s">
        <v>124</v>
      </c>
      <c r="C184" t="s">
        <v>350</v>
      </c>
      <c r="D184">
        <v>1110000</v>
      </c>
      <c r="E184" t="s">
        <v>243</v>
      </c>
      <c r="F184" s="42" t="s">
        <v>124</v>
      </c>
      <c r="G184" s="13">
        <v>42543.42355324074</v>
      </c>
    </row>
    <row r="185" spans="1:7" x14ac:dyDescent="0.25">
      <c r="A185" s="13">
        <v>42543.609699074077</v>
      </c>
      <c r="B185" t="s">
        <v>538</v>
      </c>
      <c r="C185" t="s">
        <v>527</v>
      </c>
      <c r="D185">
        <v>1750000</v>
      </c>
      <c r="E185" t="s">
        <v>161</v>
      </c>
      <c r="F185" s="42" t="s">
        <v>538</v>
      </c>
      <c r="G185" s="13">
        <v>42543.609699074077</v>
      </c>
    </row>
    <row r="186" spans="1:7" x14ac:dyDescent="0.25">
      <c r="A186" s="13">
        <v>42543.423356481479</v>
      </c>
      <c r="B186" t="s">
        <v>534</v>
      </c>
      <c r="C186" t="s">
        <v>518</v>
      </c>
      <c r="D186">
        <v>1480000</v>
      </c>
      <c r="E186" t="s">
        <v>141</v>
      </c>
      <c r="F186" s="42" t="s">
        <v>534</v>
      </c>
      <c r="G186" s="13">
        <v>42543.423356481479</v>
      </c>
    </row>
    <row r="187" spans="1:7" x14ac:dyDescent="0.25">
      <c r="A187" s="13">
        <v>42543.671030092592</v>
      </c>
      <c r="B187" t="s">
        <v>122</v>
      </c>
      <c r="C187" t="s">
        <v>427</v>
      </c>
      <c r="D187">
        <v>1290000</v>
      </c>
      <c r="E187" t="s">
        <v>139</v>
      </c>
      <c r="F187" s="42" t="s">
        <v>122</v>
      </c>
      <c r="G187" s="13">
        <v>42543.671030092592</v>
      </c>
    </row>
    <row r="188" spans="1:7" x14ac:dyDescent="0.25">
      <c r="A188" s="13">
        <v>42543.408541666664</v>
      </c>
      <c r="B188" t="s">
        <v>239</v>
      </c>
      <c r="C188" t="s">
        <v>345</v>
      </c>
      <c r="D188">
        <v>900000</v>
      </c>
      <c r="E188" t="s">
        <v>103</v>
      </c>
      <c r="F188" s="42" t="s">
        <v>239</v>
      </c>
      <c r="G188" s="13">
        <v>42543.408541666664</v>
      </c>
    </row>
    <row r="189" spans="1:7" x14ac:dyDescent="0.25">
      <c r="A189" s="13">
        <v>42543.849756944444</v>
      </c>
      <c r="B189" t="s">
        <v>115</v>
      </c>
      <c r="C189" t="s">
        <v>479</v>
      </c>
      <c r="D189">
        <v>2040000</v>
      </c>
      <c r="E189" t="s">
        <v>160</v>
      </c>
      <c r="F189" s="42" t="s">
        <v>115</v>
      </c>
      <c r="G189" s="13">
        <v>42543.849756944444</v>
      </c>
    </row>
    <row r="190" spans="1:7" x14ac:dyDescent="0.25">
      <c r="A190" s="13">
        <v>42543.484629629631</v>
      </c>
      <c r="B190" t="s">
        <v>538</v>
      </c>
      <c r="C190" t="s">
        <v>521</v>
      </c>
      <c r="D190">
        <v>1480000</v>
      </c>
      <c r="E190" t="s">
        <v>141</v>
      </c>
      <c r="F190" s="42" t="s">
        <v>538</v>
      </c>
      <c r="G190" s="13">
        <v>42543.484629629631</v>
      </c>
    </row>
    <row r="191" spans="1:7" x14ac:dyDescent="0.25">
      <c r="A191" s="13">
        <v>42542.33090277778</v>
      </c>
      <c r="B191" t="s">
        <v>87</v>
      </c>
      <c r="C191" t="s">
        <v>205</v>
      </c>
      <c r="D191">
        <v>2030000</v>
      </c>
      <c r="E191" t="s">
        <v>242</v>
      </c>
      <c r="F191" s="42" t="s">
        <v>87</v>
      </c>
      <c r="G191" s="13">
        <v>42542.33090277778</v>
      </c>
    </row>
    <row r="192" spans="1:7" x14ac:dyDescent="0.25">
      <c r="A192" s="13">
        <v>42542.312013888892</v>
      </c>
      <c r="B192" t="s">
        <v>123</v>
      </c>
      <c r="C192" t="s">
        <v>204</v>
      </c>
      <c r="D192">
        <v>1110000</v>
      </c>
      <c r="E192" t="s">
        <v>243</v>
      </c>
      <c r="F192" s="42" t="s">
        <v>123</v>
      </c>
      <c r="G192" s="13">
        <v>42542.312013888892</v>
      </c>
    </row>
    <row r="193" spans="1:7" x14ac:dyDescent="0.25">
      <c r="A193" s="13">
        <v>42542.254884259259</v>
      </c>
      <c r="B193" t="s">
        <v>82</v>
      </c>
      <c r="C193" t="s">
        <v>233</v>
      </c>
      <c r="D193">
        <v>1500000</v>
      </c>
      <c r="E193" t="s">
        <v>104</v>
      </c>
      <c r="F193" s="42" t="s">
        <v>82</v>
      </c>
      <c r="G193" s="13">
        <v>42542.254884259259</v>
      </c>
    </row>
    <row r="194" spans="1:7" x14ac:dyDescent="0.25">
      <c r="A194" s="13">
        <v>42542.487511574072</v>
      </c>
      <c r="B194" t="s">
        <v>105</v>
      </c>
      <c r="C194" t="s">
        <v>216</v>
      </c>
      <c r="D194">
        <v>2040000</v>
      </c>
      <c r="E194" t="s">
        <v>160</v>
      </c>
      <c r="F194" s="42" t="s">
        <v>105</v>
      </c>
      <c r="G194" s="13">
        <v>42542.487511574072</v>
      </c>
    </row>
    <row r="195" spans="1:7" x14ac:dyDescent="0.25">
      <c r="A195" s="13">
        <v>42542.65215277778</v>
      </c>
      <c r="B195" t="s">
        <v>70</v>
      </c>
      <c r="C195" t="s">
        <v>238</v>
      </c>
      <c r="D195">
        <v>940000</v>
      </c>
      <c r="E195" t="s">
        <v>247</v>
      </c>
      <c r="F195" s="42" t="s">
        <v>70</v>
      </c>
      <c r="G195" s="13">
        <v>42542.65215277778</v>
      </c>
    </row>
    <row r="196" spans="1:7" x14ac:dyDescent="0.25">
      <c r="A196" s="13">
        <v>42542.507523148146</v>
      </c>
      <c r="B196" t="s">
        <v>124</v>
      </c>
      <c r="C196" t="s">
        <v>215</v>
      </c>
      <c r="D196">
        <v>1990000</v>
      </c>
      <c r="E196" t="s">
        <v>241</v>
      </c>
      <c r="F196" s="42" t="s">
        <v>124</v>
      </c>
      <c r="G196" s="13">
        <v>42542.507523148146</v>
      </c>
    </row>
    <row r="197" spans="1:7" x14ac:dyDescent="0.25">
      <c r="A197" s="13">
        <v>42542.644618055558</v>
      </c>
      <c r="B197" t="s">
        <v>90</v>
      </c>
      <c r="C197" t="s">
        <v>226</v>
      </c>
      <c r="D197">
        <v>1140000</v>
      </c>
      <c r="E197" t="s">
        <v>92</v>
      </c>
      <c r="F197" s="42" t="s">
        <v>90</v>
      </c>
      <c r="G197" s="13">
        <v>42542.644618055558</v>
      </c>
    </row>
    <row r="198" spans="1:7" x14ac:dyDescent="0.25">
      <c r="A198" s="13">
        <v>42542.601817129631</v>
      </c>
      <c r="B198" t="s">
        <v>91</v>
      </c>
      <c r="C198" t="s">
        <v>220</v>
      </c>
      <c r="D198">
        <v>1120000</v>
      </c>
      <c r="E198" t="s">
        <v>138</v>
      </c>
      <c r="F198" s="42" t="s">
        <v>91</v>
      </c>
      <c r="G198" s="13">
        <v>42542.601817129631</v>
      </c>
    </row>
    <row r="199" spans="1:7" x14ac:dyDescent="0.25">
      <c r="A199" s="13">
        <v>42542.633263888885</v>
      </c>
      <c r="B199" t="s">
        <v>100</v>
      </c>
      <c r="C199" t="s">
        <v>236</v>
      </c>
      <c r="D199">
        <v>1740000</v>
      </c>
      <c r="E199" t="s">
        <v>96</v>
      </c>
      <c r="F199" s="42" t="s">
        <v>100</v>
      </c>
      <c r="G199" s="13">
        <v>42542.633263888885</v>
      </c>
    </row>
    <row r="200" spans="1:7" x14ac:dyDescent="0.25">
      <c r="A200" s="13">
        <v>42542.662581018521</v>
      </c>
      <c r="B200" t="s">
        <v>122</v>
      </c>
      <c r="C200" t="s">
        <v>229</v>
      </c>
      <c r="D200">
        <v>1290000</v>
      </c>
      <c r="E200" t="s">
        <v>139</v>
      </c>
      <c r="F200" s="42" t="s">
        <v>122</v>
      </c>
      <c r="G200" s="13">
        <v>42542.662581018521</v>
      </c>
    </row>
    <row r="201" spans="1:7" x14ac:dyDescent="0.25">
      <c r="A201" s="13">
        <v>42542.621145833335</v>
      </c>
      <c r="B201" t="s">
        <v>123</v>
      </c>
      <c r="C201" t="s">
        <v>228</v>
      </c>
      <c r="D201">
        <v>1290000</v>
      </c>
      <c r="E201" t="s">
        <v>139</v>
      </c>
      <c r="F201" s="42" t="s">
        <v>123</v>
      </c>
      <c r="G201" s="13">
        <v>42542.621145833335</v>
      </c>
    </row>
    <row r="202" spans="1:7" x14ac:dyDescent="0.25">
      <c r="A202" s="61">
        <v>42542.678599537037</v>
      </c>
      <c r="B202" t="s">
        <v>100</v>
      </c>
      <c r="C202" t="s">
        <v>237</v>
      </c>
      <c r="D202">
        <v>1740000</v>
      </c>
      <c r="E202" t="s">
        <v>96</v>
      </c>
      <c r="F202" s="42" t="s">
        <v>100</v>
      </c>
      <c r="G202" s="61">
        <v>42542.678599537037</v>
      </c>
    </row>
    <row r="203" spans="1:7" x14ac:dyDescent="0.25">
      <c r="A203" s="13">
        <v>42542.613229166665</v>
      </c>
      <c r="B203" t="s">
        <v>99</v>
      </c>
      <c r="C203" t="s">
        <v>223</v>
      </c>
      <c r="D203">
        <v>2040000</v>
      </c>
      <c r="E203" t="s">
        <v>160</v>
      </c>
      <c r="F203" s="42" t="s">
        <v>99</v>
      </c>
      <c r="G203" s="13">
        <v>42542.613229166665</v>
      </c>
    </row>
    <row r="204" spans="1:7" x14ac:dyDescent="0.25">
      <c r="A204" s="13">
        <v>42542.768877314818</v>
      </c>
      <c r="B204" t="s">
        <v>87</v>
      </c>
      <c r="C204" t="s">
        <v>191</v>
      </c>
      <c r="D204">
        <v>1810000</v>
      </c>
      <c r="E204" t="s">
        <v>244</v>
      </c>
      <c r="F204" s="42" t="s">
        <v>87</v>
      </c>
      <c r="G204" s="13">
        <v>42542.768877314818</v>
      </c>
    </row>
    <row r="205" spans="1:7" x14ac:dyDescent="0.25">
      <c r="A205" s="13">
        <v>42542.607870370368</v>
      </c>
      <c r="B205" t="s">
        <v>102</v>
      </c>
      <c r="C205" t="s">
        <v>227</v>
      </c>
      <c r="D205">
        <v>940000</v>
      </c>
      <c r="E205" t="s">
        <v>247</v>
      </c>
      <c r="F205" s="42" t="s">
        <v>102</v>
      </c>
      <c r="G205" s="13">
        <v>42542.607870370368</v>
      </c>
    </row>
    <row r="206" spans="1:7" x14ac:dyDescent="0.25">
      <c r="A206" s="13">
        <v>42542.801747685182</v>
      </c>
      <c r="B206" t="s">
        <v>86</v>
      </c>
      <c r="C206" t="s">
        <v>192</v>
      </c>
      <c r="D206">
        <v>1810000</v>
      </c>
      <c r="E206" t="s">
        <v>244</v>
      </c>
      <c r="F206" s="42" t="s">
        <v>86</v>
      </c>
      <c r="G206" s="13">
        <v>42542.801747685182</v>
      </c>
    </row>
    <row r="207" spans="1:7" x14ac:dyDescent="0.25">
      <c r="A207" s="13">
        <v>42542.59547453704</v>
      </c>
      <c r="B207" t="s">
        <v>246</v>
      </c>
      <c r="C207" t="s">
        <v>225</v>
      </c>
      <c r="D207">
        <v>1470000</v>
      </c>
      <c r="E207" t="s">
        <v>240</v>
      </c>
      <c r="F207" s="42" t="s">
        <v>246</v>
      </c>
      <c r="G207" s="13">
        <v>42542.59547453704</v>
      </c>
    </row>
    <row r="208" spans="1:7" x14ac:dyDescent="0.25">
      <c r="A208" s="13">
        <v>42542.996886574074</v>
      </c>
      <c r="B208" t="s">
        <v>115</v>
      </c>
      <c r="C208" t="s">
        <v>198</v>
      </c>
      <c r="D208">
        <v>1820000</v>
      </c>
      <c r="E208" t="s">
        <v>245</v>
      </c>
      <c r="F208" s="42" t="s">
        <v>115</v>
      </c>
      <c r="G208" s="13">
        <v>42542.996886574074</v>
      </c>
    </row>
    <row r="209" spans="1:7" x14ac:dyDescent="0.25">
      <c r="A209" s="13">
        <v>42542.593414351853</v>
      </c>
      <c r="B209" t="s">
        <v>100</v>
      </c>
      <c r="C209" t="s">
        <v>235</v>
      </c>
      <c r="D209">
        <v>1740000</v>
      </c>
      <c r="E209" t="s">
        <v>96</v>
      </c>
      <c r="F209" s="42" t="s">
        <v>100</v>
      </c>
      <c r="G209" s="13">
        <v>42542.593414351853</v>
      </c>
    </row>
    <row r="210" spans="1:7" x14ac:dyDescent="0.25">
      <c r="A210" s="13">
        <v>42542.192337962966</v>
      </c>
      <c r="B210" t="s">
        <v>105</v>
      </c>
      <c r="C210" t="s">
        <v>200</v>
      </c>
      <c r="D210">
        <v>1260000</v>
      </c>
      <c r="E210" t="s">
        <v>140</v>
      </c>
      <c r="F210" s="42" t="s">
        <v>105</v>
      </c>
      <c r="G210" s="13">
        <v>42542.192337962966</v>
      </c>
    </row>
    <row r="211" spans="1:7" x14ac:dyDescent="0.25">
      <c r="A211" s="13">
        <v>42542.571956018517</v>
      </c>
      <c r="B211" t="s">
        <v>105</v>
      </c>
      <c r="C211" t="s">
        <v>221</v>
      </c>
      <c r="D211">
        <v>2040000</v>
      </c>
      <c r="E211" t="s">
        <v>160</v>
      </c>
      <c r="F211" s="42" t="s">
        <v>105</v>
      </c>
      <c r="G211" s="13">
        <v>42542.571956018517</v>
      </c>
    </row>
    <row r="212" spans="1:7" x14ac:dyDescent="0.25">
      <c r="A212" s="13">
        <v>42542.399884259263</v>
      </c>
      <c r="B212" t="s">
        <v>98</v>
      </c>
      <c r="C212" t="s">
        <v>234</v>
      </c>
      <c r="D212">
        <v>1540000</v>
      </c>
      <c r="E212" t="s">
        <v>163</v>
      </c>
      <c r="F212" s="42" t="s">
        <v>98</v>
      </c>
      <c r="G212" s="13">
        <v>42542.399884259263</v>
      </c>
    </row>
    <row r="213" spans="1:7" x14ac:dyDescent="0.25">
      <c r="A213" s="13">
        <v>42542.495127314818</v>
      </c>
      <c r="B213" t="s">
        <v>246</v>
      </c>
      <c r="C213" t="s">
        <v>217</v>
      </c>
      <c r="D213">
        <v>1470000</v>
      </c>
      <c r="E213" t="s">
        <v>240</v>
      </c>
      <c r="F213" s="42" t="s">
        <v>246</v>
      </c>
      <c r="G213" s="13">
        <v>42542.495127314818</v>
      </c>
    </row>
    <row r="214" spans="1:7" x14ac:dyDescent="0.25">
      <c r="A214" s="13">
        <v>42542.423252314817</v>
      </c>
      <c r="B214" t="s">
        <v>122</v>
      </c>
      <c r="C214" t="s">
        <v>209</v>
      </c>
      <c r="D214">
        <v>1110000</v>
      </c>
      <c r="E214" t="s">
        <v>243</v>
      </c>
      <c r="F214" s="42" t="s">
        <v>122</v>
      </c>
      <c r="G214" s="13">
        <v>42542.423252314817</v>
      </c>
    </row>
    <row r="215" spans="1:7" x14ac:dyDescent="0.25">
      <c r="A215" s="13">
        <v>42542.473101851851</v>
      </c>
      <c r="B215" t="s">
        <v>90</v>
      </c>
      <c r="C215" t="s">
        <v>213</v>
      </c>
      <c r="D215">
        <v>1100000</v>
      </c>
      <c r="E215" t="s">
        <v>248</v>
      </c>
      <c r="F215" s="42" t="s">
        <v>90</v>
      </c>
      <c r="G215" s="13">
        <v>42542.473101851851</v>
      </c>
    </row>
    <row r="216" spans="1:7" x14ac:dyDescent="0.25">
      <c r="A216" s="13">
        <v>42542.517488425925</v>
      </c>
      <c r="B216" t="s">
        <v>102</v>
      </c>
      <c r="C216" t="s">
        <v>218</v>
      </c>
      <c r="D216">
        <v>940000</v>
      </c>
      <c r="E216" t="s">
        <v>247</v>
      </c>
      <c r="F216" s="42" t="s">
        <v>102</v>
      </c>
      <c r="G216" s="13">
        <v>42542.517488425925</v>
      </c>
    </row>
    <row r="217" spans="1:7" x14ac:dyDescent="0.25">
      <c r="A217" s="13">
        <v>42542.443831018521</v>
      </c>
      <c r="B217" t="s">
        <v>86</v>
      </c>
      <c r="C217" t="s">
        <v>212</v>
      </c>
      <c r="D217">
        <v>2030000</v>
      </c>
      <c r="E217" t="s">
        <v>242</v>
      </c>
      <c r="F217" s="42" t="s">
        <v>86</v>
      </c>
      <c r="G217" s="13">
        <v>42542.443831018521</v>
      </c>
    </row>
    <row r="218" spans="1:7" x14ac:dyDescent="0.25">
      <c r="A218" s="13">
        <v>42542.59746527778</v>
      </c>
      <c r="B218" t="s">
        <v>89</v>
      </c>
      <c r="C218" t="s">
        <v>224</v>
      </c>
      <c r="D218">
        <v>1140000</v>
      </c>
      <c r="E218" t="s">
        <v>92</v>
      </c>
      <c r="F218" s="42" t="s">
        <v>89</v>
      </c>
      <c r="G218" s="13">
        <v>42542.59746527778</v>
      </c>
    </row>
    <row r="219" spans="1:7" x14ac:dyDescent="0.25">
      <c r="A219" s="13">
        <v>42542.394502314812</v>
      </c>
      <c r="B219" t="s">
        <v>97</v>
      </c>
      <c r="C219" t="s">
        <v>211</v>
      </c>
      <c r="D219">
        <v>900000</v>
      </c>
      <c r="E219" t="s">
        <v>103</v>
      </c>
      <c r="F219" s="42" t="s">
        <v>97</v>
      </c>
      <c r="G219" s="13">
        <v>42542.394502314812</v>
      </c>
    </row>
    <row r="220" spans="1:7" x14ac:dyDescent="0.25">
      <c r="A220" s="13">
        <v>42542.694560185184</v>
      </c>
      <c r="B220" t="s">
        <v>99</v>
      </c>
      <c r="C220" t="s">
        <v>230</v>
      </c>
      <c r="D220">
        <v>2040000</v>
      </c>
      <c r="E220" t="s">
        <v>160</v>
      </c>
      <c r="F220" s="42" t="s">
        <v>99</v>
      </c>
      <c r="G220" s="13">
        <v>42542.694560185184</v>
      </c>
    </row>
    <row r="221" spans="1:7" x14ac:dyDescent="0.25">
      <c r="A221" s="13">
        <v>42542.390706018516</v>
      </c>
      <c r="B221" t="s">
        <v>239</v>
      </c>
      <c r="C221" t="s">
        <v>207</v>
      </c>
      <c r="D221">
        <v>1100000</v>
      </c>
      <c r="E221" t="s">
        <v>248</v>
      </c>
      <c r="F221" s="42" t="s">
        <v>239</v>
      </c>
      <c r="G221" s="13">
        <v>42542.390706018516</v>
      </c>
    </row>
    <row r="222" spans="1:7" x14ac:dyDescent="0.25">
      <c r="A222" s="13">
        <v>42542.80976851852</v>
      </c>
      <c r="B222" t="s">
        <v>90</v>
      </c>
      <c r="C222" t="s">
        <v>190</v>
      </c>
      <c r="D222">
        <v>1820000</v>
      </c>
      <c r="E222" t="s">
        <v>245</v>
      </c>
      <c r="F222" s="42" t="s">
        <v>90</v>
      </c>
      <c r="G222" s="13">
        <v>42542.80976851852</v>
      </c>
    </row>
    <row r="223" spans="1:7" x14ac:dyDescent="0.25">
      <c r="A223" s="13">
        <v>42542.278032407405</v>
      </c>
      <c r="B223" t="s">
        <v>246</v>
      </c>
      <c r="C223" t="s">
        <v>202</v>
      </c>
      <c r="D223">
        <v>1100000</v>
      </c>
      <c r="E223" t="s">
        <v>248</v>
      </c>
      <c r="F223" s="42" t="s">
        <v>246</v>
      </c>
      <c r="G223" s="13">
        <v>42542.278032407405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I21" sqref="I21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9" t="s">
        <v>168</v>
      </c>
      <c r="K1" s="69" t="s">
        <v>169</v>
      </c>
      <c r="L1" s="69" t="s">
        <v>170</v>
      </c>
      <c r="M1" s="42"/>
    </row>
    <row r="2" spans="1:13" ht="15.75" thickBot="1" x14ac:dyDescent="0.3">
      <c r="A2" s="24">
        <v>42543</v>
      </c>
      <c r="B2" s="9"/>
      <c r="C2" s="30">
        <v>50</v>
      </c>
      <c r="F2" t="s">
        <v>63</v>
      </c>
      <c r="J2" s="69" t="s">
        <v>168</v>
      </c>
      <c r="K2" s="69" t="s">
        <v>169</v>
      </c>
      <c r="L2" s="69" t="s">
        <v>170</v>
      </c>
      <c r="M2" s="42"/>
    </row>
    <row r="3" spans="1:13" x14ac:dyDescent="0.25">
      <c r="F3" t="s">
        <v>64</v>
      </c>
      <c r="J3" s="70" t="s">
        <v>171</v>
      </c>
      <c r="K3" s="71">
        <v>2.7052</v>
      </c>
      <c r="L3" s="71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70" t="s">
        <v>172</v>
      </c>
      <c r="K4" s="71">
        <v>3.0830000000000002</v>
      </c>
      <c r="L4" s="71">
        <v>3.097</v>
      </c>
      <c r="M4" s="42">
        <f t="shared" si="0"/>
        <v>3.09</v>
      </c>
    </row>
    <row r="5" spans="1:13" x14ac:dyDescent="0.25">
      <c r="J5" s="70" t="s">
        <v>173</v>
      </c>
      <c r="K5" s="71">
        <v>3.3136000000000001</v>
      </c>
      <c r="L5" s="71">
        <v>3.3256999999999999</v>
      </c>
      <c r="M5" s="42">
        <f t="shared" si="0"/>
        <v>3.3196500000000002</v>
      </c>
    </row>
    <row r="6" spans="1:13" x14ac:dyDescent="0.25">
      <c r="J6" s="70" t="s">
        <v>174</v>
      </c>
      <c r="K6" s="71">
        <v>4.2778999999999998</v>
      </c>
      <c r="L6" s="71">
        <v>4.2961</v>
      </c>
      <c r="M6" s="42">
        <f t="shared" si="0"/>
        <v>4.2869999999999999</v>
      </c>
    </row>
    <row r="7" spans="1:13" x14ac:dyDescent="0.25">
      <c r="J7" s="70" t="s">
        <v>175</v>
      </c>
      <c r="K7" s="71">
        <v>4.7865000000000002</v>
      </c>
      <c r="L7" s="71">
        <v>4.8048000000000002</v>
      </c>
      <c r="M7" s="42">
        <f t="shared" si="0"/>
        <v>4.7956500000000002</v>
      </c>
    </row>
    <row r="8" spans="1:13" x14ac:dyDescent="0.25">
      <c r="J8" s="70" t="s">
        <v>176</v>
      </c>
      <c r="K8" s="71">
        <v>5.3155000000000001</v>
      </c>
      <c r="L8" s="71">
        <v>5.3277000000000001</v>
      </c>
      <c r="M8" s="42">
        <f t="shared" si="0"/>
        <v>5.3216000000000001</v>
      </c>
    </row>
    <row r="9" spans="1:13" x14ac:dyDescent="0.25">
      <c r="J9" s="70" t="s">
        <v>177</v>
      </c>
      <c r="K9" s="71">
        <v>5.8117000000000001</v>
      </c>
      <c r="L9" s="71">
        <v>5.8300999999999998</v>
      </c>
      <c r="M9" s="42">
        <f t="shared" si="0"/>
        <v>5.8209</v>
      </c>
    </row>
    <row r="10" spans="1:13" x14ac:dyDescent="0.25">
      <c r="J10" s="70" t="s">
        <v>178</v>
      </c>
      <c r="K10" s="71">
        <v>5.8783000000000003</v>
      </c>
      <c r="L10" s="71">
        <v>5.8903999999999996</v>
      </c>
      <c r="M10" s="42">
        <f t="shared" si="0"/>
        <v>5.8843499999999995</v>
      </c>
    </row>
    <row r="11" spans="1:13" x14ac:dyDescent="0.25">
      <c r="J11" s="70" t="s">
        <v>179</v>
      </c>
      <c r="K11" s="71">
        <v>6.3068</v>
      </c>
      <c r="L11" s="71">
        <v>6.3308999999999997</v>
      </c>
      <c r="M11" s="42">
        <f t="shared" si="0"/>
        <v>6.3188499999999994</v>
      </c>
    </row>
    <row r="12" spans="1:13" x14ac:dyDescent="0.25">
      <c r="J12" s="70" t="s">
        <v>180</v>
      </c>
      <c r="K12" s="71">
        <v>7.8349000000000002</v>
      </c>
      <c r="L12" s="71">
        <v>7.8468999999999998</v>
      </c>
      <c r="M12" s="42">
        <f t="shared" si="0"/>
        <v>7.8408999999999995</v>
      </c>
    </row>
    <row r="13" spans="1:13" x14ac:dyDescent="0.25">
      <c r="J13" s="70" t="s">
        <v>181</v>
      </c>
      <c r="K13" s="71">
        <v>10.373799999999999</v>
      </c>
      <c r="L13" s="71">
        <v>10.38</v>
      </c>
      <c r="M13" s="42">
        <f t="shared" si="0"/>
        <v>10.376899999999999</v>
      </c>
    </row>
    <row r="14" spans="1:13" x14ac:dyDescent="0.25">
      <c r="J14" s="70" t="s">
        <v>182</v>
      </c>
      <c r="K14" s="71">
        <v>10.8954</v>
      </c>
      <c r="L14" s="71">
        <v>10.913500000000001</v>
      </c>
      <c r="M14" s="42">
        <f t="shared" si="0"/>
        <v>10.904450000000001</v>
      </c>
    </row>
    <row r="15" spans="1:13" x14ac:dyDescent="0.25">
      <c r="J15" s="70"/>
      <c r="K15" s="71"/>
      <c r="L15" s="71"/>
      <c r="M15" s="42"/>
    </row>
    <row r="16" spans="1:13" x14ac:dyDescent="0.25">
      <c r="J16" s="70"/>
      <c r="K16" s="71"/>
      <c r="L16" s="71"/>
      <c r="M16" s="42"/>
    </row>
    <row r="17" spans="10:13" x14ac:dyDescent="0.25">
      <c r="J17" s="70"/>
      <c r="K17" s="71"/>
      <c r="L17" s="71"/>
      <c r="M17" s="42"/>
    </row>
    <row r="18" spans="10:13" x14ac:dyDescent="0.25">
      <c r="J18" s="70"/>
      <c r="K18" s="71"/>
      <c r="L18" s="71"/>
      <c r="M18" s="42"/>
    </row>
    <row r="19" spans="10:13" x14ac:dyDescent="0.25">
      <c r="J19" s="70"/>
      <c r="K19" s="71"/>
      <c r="L19" s="71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2016-07-19T20:09:50Z</dcterms:modified>
</cp:coreProperties>
</file>