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Enforcements!$A$6:$N$88</definedName>
    <definedName name="_xlnm._FilterDatabase" localSheetId="2" hidden="1">'Missing Trips'!$A$2:$G$2</definedName>
    <definedName name="_xlnm._FilterDatabase" localSheetId="0" hidden="1">'Train Runs'!$A$12:$AC$156</definedName>
    <definedName name="_xlnm._FilterDatabase" localSheetId="3" hidden="1">'Trips&amp;Operators'!$A$1:$E$211</definedName>
    <definedName name="Denver_Train_Runs_04122016" localSheetId="0">'Train Runs'!$A$12:$J$105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P69" i="3" l="1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N34" i="1"/>
  <c r="N89" i="1"/>
  <c r="N65" i="1"/>
  <c r="P56" i="1"/>
  <c r="P51" i="1"/>
  <c r="N46" i="1"/>
  <c r="X44" i="1"/>
  <c r="X45" i="1"/>
  <c r="X46" i="1"/>
  <c r="X47" i="1"/>
  <c r="X155" i="1" l="1"/>
  <c r="X156" i="1"/>
  <c r="L44" i="3"/>
  <c r="L45" i="3"/>
  <c r="L46" i="3"/>
  <c r="L47" i="3"/>
  <c r="L48" i="3"/>
  <c r="L30" i="3"/>
  <c r="L49" i="3"/>
  <c r="L50" i="3"/>
  <c r="L51" i="3"/>
  <c r="L52" i="3"/>
  <c r="L53" i="3"/>
  <c r="L10" i="3"/>
  <c r="L54" i="3"/>
  <c r="L55" i="3"/>
  <c r="L56" i="3"/>
  <c r="L57" i="3"/>
  <c r="L58" i="3"/>
  <c r="L31" i="3"/>
  <c r="L32" i="3"/>
  <c r="L11" i="3"/>
  <c r="L12" i="3"/>
  <c r="L59" i="3"/>
  <c r="L60" i="3"/>
  <c r="L37" i="3"/>
  <c r="L13" i="3"/>
  <c r="L61" i="3"/>
  <c r="L14" i="3"/>
  <c r="L15" i="3"/>
  <c r="L16" i="3"/>
  <c r="L17" i="3"/>
  <c r="L18" i="3"/>
  <c r="L19" i="3"/>
  <c r="L62" i="3"/>
  <c r="L33" i="3"/>
  <c r="L38" i="3"/>
  <c r="L34" i="3"/>
  <c r="L20" i="3"/>
  <c r="L21" i="3"/>
  <c r="L22" i="3"/>
  <c r="L23" i="3"/>
  <c r="L63" i="3"/>
  <c r="L7" i="3"/>
  <c r="L64" i="3"/>
  <c r="L24" i="3"/>
  <c r="L41" i="3"/>
  <c r="L25" i="3"/>
  <c r="L26" i="3"/>
  <c r="L35" i="3"/>
  <c r="L27" i="3"/>
  <c r="L65" i="3"/>
  <c r="L66" i="3"/>
  <c r="L67" i="3"/>
  <c r="L68" i="3"/>
  <c r="L69" i="3"/>
  <c r="L8" i="3"/>
  <c r="L28" i="3"/>
  <c r="L70" i="3"/>
  <c r="L36" i="3"/>
  <c r="L71" i="3"/>
  <c r="L39" i="3"/>
  <c r="L72" i="3"/>
  <c r="L73" i="3"/>
  <c r="L29" i="3"/>
  <c r="L74" i="3"/>
  <c r="L75" i="3"/>
  <c r="L40" i="3"/>
  <c r="L76" i="3"/>
  <c r="L77" i="3"/>
  <c r="L9" i="3"/>
  <c r="L78" i="3"/>
  <c r="L79" i="3"/>
  <c r="L80" i="3"/>
  <c r="L42" i="3"/>
  <c r="L81" i="3"/>
  <c r="L82" i="3"/>
  <c r="L83" i="3"/>
  <c r="L84" i="3"/>
  <c r="L85" i="3"/>
  <c r="L86" i="3"/>
  <c r="L87" i="3"/>
  <c r="L88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X94" i="1"/>
  <c r="Y94" i="1"/>
  <c r="Z94" i="1"/>
  <c r="AB94" i="1"/>
  <c r="AC94" i="1"/>
  <c r="T95" i="1"/>
  <c r="V95" i="1"/>
  <c r="X95" i="1"/>
  <c r="Y95" i="1"/>
  <c r="Z95" i="1"/>
  <c r="AB95" i="1"/>
  <c r="AC95" i="1"/>
  <c r="T96" i="1"/>
  <c r="V96" i="1"/>
  <c r="X96" i="1"/>
  <c r="Y96" i="1"/>
  <c r="Z96" i="1"/>
  <c r="AB96" i="1"/>
  <c r="AC96" i="1"/>
  <c r="T97" i="1"/>
  <c r="V97" i="1"/>
  <c r="X97" i="1"/>
  <c r="Y97" i="1"/>
  <c r="Z97" i="1"/>
  <c r="AB97" i="1"/>
  <c r="AC97" i="1"/>
  <c r="T98" i="1"/>
  <c r="V98" i="1"/>
  <c r="X98" i="1"/>
  <c r="Y98" i="1"/>
  <c r="Z98" i="1"/>
  <c r="AB98" i="1"/>
  <c r="AC98" i="1"/>
  <c r="T99" i="1"/>
  <c r="V99" i="1"/>
  <c r="X99" i="1"/>
  <c r="Y99" i="1"/>
  <c r="Z99" i="1"/>
  <c r="AB99" i="1"/>
  <c r="AC99" i="1"/>
  <c r="T100" i="1"/>
  <c r="V100" i="1"/>
  <c r="X100" i="1"/>
  <c r="Y100" i="1"/>
  <c r="Z100" i="1"/>
  <c r="AB100" i="1"/>
  <c r="AC100" i="1"/>
  <c r="T101" i="1"/>
  <c r="V101" i="1"/>
  <c r="X101" i="1"/>
  <c r="Y101" i="1"/>
  <c r="Z101" i="1"/>
  <c r="AB101" i="1"/>
  <c r="AC101" i="1"/>
  <c r="T102" i="1"/>
  <c r="V102" i="1"/>
  <c r="X102" i="1"/>
  <c r="Y102" i="1"/>
  <c r="Z102" i="1"/>
  <c r="AB102" i="1"/>
  <c r="AC102" i="1"/>
  <c r="T103" i="1"/>
  <c r="V103" i="1"/>
  <c r="X103" i="1"/>
  <c r="Y103" i="1"/>
  <c r="Z103" i="1"/>
  <c r="AB103" i="1"/>
  <c r="AC103" i="1"/>
  <c r="T104" i="1"/>
  <c r="V104" i="1"/>
  <c r="X104" i="1"/>
  <c r="Y104" i="1"/>
  <c r="Z104" i="1"/>
  <c r="AB104" i="1"/>
  <c r="AC104" i="1"/>
  <c r="T105" i="1"/>
  <c r="V105" i="1"/>
  <c r="X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X111" i="1"/>
  <c r="Y111" i="1"/>
  <c r="Z111" i="1"/>
  <c r="AB111" i="1"/>
  <c r="AC111" i="1"/>
  <c r="T112" i="1"/>
  <c r="V112" i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Z116" i="1"/>
  <c r="AB116" i="1"/>
  <c r="AC116" i="1"/>
  <c r="T117" i="1"/>
  <c r="V117" i="1"/>
  <c r="X117" i="1"/>
  <c r="Y117" i="1"/>
  <c r="Z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29" i="1"/>
  <c r="V129" i="1"/>
  <c r="X129" i="1"/>
  <c r="Y129" i="1"/>
  <c r="Z129" i="1"/>
  <c r="AB129" i="1"/>
  <c r="AC129" i="1"/>
  <c r="T130" i="1"/>
  <c r="V130" i="1"/>
  <c r="X130" i="1"/>
  <c r="Y130" i="1"/>
  <c r="Z130" i="1"/>
  <c r="AB130" i="1"/>
  <c r="AC130" i="1"/>
  <c r="T131" i="1"/>
  <c r="V131" i="1"/>
  <c r="X131" i="1"/>
  <c r="Y131" i="1"/>
  <c r="Z131" i="1"/>
  <c r="AB131" i="1"/>
  <c r="AC131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X138" i="1"/>
  <c r="Y138" i="1"/>
  <c r="Z138" i="1"/>
  <c r="AB138" i="1"/>
  <c r="AC138" i="1"/>
  <c r="T139" i="1"/>
  <c r="V139" i="1"/>
  <c r="X139" i="1"/>
  <c r="Y139" i="1"/>
  <c r="Z139" i="1"/>
  <c r="AB139" i="1"/>
  <c r="AC139" i="1"/>
  <c r="T140" i="1"/>
  <c r="V140" i="1"/>
  <c r="X140" i="1"/>
  <c r="Y140" i="1"/>
  <c r="Z140" i="1"/>
  <c r="AB140" i="1"/>
  <c r="AC140" i="1"/>
  <c r="T141" i="1"/>
  <c r="V141" i="1"/>
  <c r="X141" i="1"/>
  <c r="Y141" i="1"/>
  <c r="Z141" i="1"/>
  <c r="AB141" i="1"/>
  <c r="AC141" i="1"/>
  <c r="T142" i="1"/>
  <c r="V142" i="1"/>
  <c r="X142" i="1"/>
  <c r="Y142" i="1"/>
  <c r="Z142" i="1"/>
  <c r="AB142" i="1"/>
  <c r="AC142" i="1"/>
  <c r="T143" i="1"/>
  <c r="V143" i="1"/>
  <c r="X143" i="1"/>
  <c r="Y143" i="1"/>
  <c r="Z143" i="1"/>
  <c r="AB143" i="1"/>
  <c r="AC143" i="1"/>
  <c r="T144" i="1"/>
  <c r="V144" i="1"/>
  <c r="X144" i="1"/>
  <c r="Y144" i="1"/>
  <c r="Z144" i="1"/>
  <c r="AB144" i="1"/>
  <c r="AC144" i="1"/>
  <c r="T145" i="1"/>
  <c r="V145" i="1"/>
  <c r="X145" i="1"/>
  <c r="Y145" i="1"/>
  <c r="Z145" i="1"/>
  <c r="AB145" i="1"/>
  <c r="AC145" i="1"/>
  <c r="T146" i="1"/>
  <c r="V146" i="1"/>
  <c r="X146" i="1"/>
  <c r="Y146" i="1"/>
  <c r="Z146" i="1"/>
  <c r="AB146" i="1"/>
  <c r="AC146" i="1"/>
  <c r="T147" i="1"/>
  <c r="V147" i="1"/>
  <c r="X147" i="1"/>
  <c r="Y147" i="1"/>
  <c r="Z147" i="1"/>
  <c r="AB147" i="1"/>
  <c r="AC147" i="1"/>
  <c r="T148" i="1"/>
  <c r="V148" i="1"/>
  <c r="X148" i="1"/>
  <c r="Y148" i="1"/>
  <c r="Z148" i="1"/>
  <c r="AB148" i="1"/>
  <c r="AC148" i="1"/>
  <c r="T149" i="1"/>
  <c r="V149" i="1"/>
  <c r="X149" i="1"/>
  <c r="Y149" i="1"/>
  <c r="Z149" i="1"/>
  <c r="AB149" i="1"/>
  <c r="AC149" i="1"/>
  <c r="T150" i="1"/>
  <c r="V150" i="1"/>
  <c r="X150" i="1"/>
  <c r="Y150" i="1"/>
  <c r="Z150" i="1"/>
  <c r="AB150" i="1"/>
  <c r="AC150" i="1"/>
  <c r="T151" i="1"/>
  <c r="V151" i="1"/>
  <c r="X151" i="1"/>
  <c r="Y151" i="1"/>
  <c r="Z151" i="1"/>
  <c r="AB151" i="1"/>
  <c r="AC151" i="1"/>
  <c r="T152" i="1"/>
  <c r="V152" i="1"/>
  <c r="X152" i="1"/>
  <c r="Y152" i="1"/>
  <c r="Z152" i="1"/>
  <c r="AB152" i="1"/>
  <c r="AC152" i="1"/>
  <c r="T153" i="1"/>
  <c r="V153" i="1"/>
  <c r="X153" i="1"/>
  <c r="Y153" i="1"/>
  <c r="Z153" i="1"/>
  <c r="AB153" i="1"/>
  <c r="AC153" i="1"/>
  <c r="T154" i="1"/>
  <c r="V154" i="1"/>
  <c r="X154" i="1"/>
  <c r="Y154" i="1"/>
  <c r="Z154" i="1"/>
  <c r="AB154" i="1"/>
  <c r="AC154" i="1"/>
  <c r="T155" i="1"/>
  <c r="V155" i="1"/>
  <c r="Y155" i="1"/>
  <c r="Z155" i="1"/>
  <c r="AB155" i="1"/>
  <c r="AC155" i="1"/>
  <c r="T156" i="1"/>
  <c r="V156" i="1"/>
  <c r="Y156" i="1"/>
  <c r="Z156" i="1"/>
  <c r="AB156" i="1"/>
  <c r="AC156" i="1"/>
  <c r="L156" i="1"/>
  <c r="M156" i="1"/>
  <c r="N156" i="1" s="1"/>
  <c r="U149" i="1" l="1"/>
  <c r="S149" i="1" s="1"/>
  <c r="U145" i="1"/>
  <c r="S145" i="1" s="1"/>
  <c r="U150" i="1"/>
  <c r="S150" i="1" s="1"/>
  <c r="U146" i="1"/>
  <c r="S146" i="1" s="1"/>
  <c r="U142" i="1"/>
  <c r="S142" i="1" s="1"/>
  <c r="U66" i="1"/>
  <c r="S66" i="1" s="1"/>
  <c r="U153" i="1"/>
  <c r="S153" i="1" s="1"/>
  <c r="U156" i="1"/>
  <c r="S156" i="1" s="1"/>
  <c r="U154" i="1"/>
  <c r="S154" i="1" s="1"/>
  <c r="U152" i="1"/>
  <c r="S152" i="1" s="1"/>
  <c r="U148" i="1"/>
  <c r="S148" i="1" s="1"/>
  <c r="U144" i="1"/>
  <c r="S144" i="1" s="1"/>
  <c r="U68" i="1"/>
  <c r="S68" i="1" s="1"/>
  <c r="U155" i="1"/>
  <c r="S155" i="1" s="1"/>
  <c r="U151" i="1"/>
  <c r="S151" i="1" s="1"/>
  <c r="U147" i="1"/>
  <c r="S147" i="1" s="1"/>
  <c r="U143" i="1"/>
  <c r="S143" i="1" s="1"/>
  <c r="AA156" i="1"/>
  <c r="W156" i="1" s="1"/>
  <c r="AA155" i="1"/>
  <c r="W155" i="1" s="1"/>
  <c r="AA154" i="1"/>
  <c r="W154" i="1" s="1"/>
  <c r="AA153" i="1"/>
  <c r="W153" i="1" s="1"/>
  <c r="AA152" i="1"/>
  <c r="W152" i="1" s="1"/>
  <c r="AA151" i="1"/>
  <c r="W151" i="1" s="1"/>
  <c r="AA150" i="1"/>
  <c r="W150" i="1" s="1"/>
  <c r="AA149" i="1"/>
  <c r="W149" i="1" s="1"/>
  <c r="AA148" i="1"/>
  <c r="W148" i="1" s="1"/>
  <c r="AA147" i="1"/>
  <c r="W147" i="1" s="1"/>
  <c r="AA146" i="1"/>
  <c r="W146" i="1" s="1"/>
  <c r="AA145" i="1"/>
  <c r="W145" i="1" s="1"/>
  <c r="AA144" i="1"/>
  <c r="W144" i="1" s="1"/>
  <c r="AA143" i="1"/>
  <c r="W143" i="1" s="1"/>
  <c r="AA142" i="1"/>
  <c r="W142" i="1" s="1"/>
  <c r="U141" i="1"/>
  <c r="S141" i="1" s="1"/>
  <c r="AA140" i="1"/>
  <c r="W140" i="1" s="1"/>
  <c r="AA139" i="1"/>
  <c r="W139" i="1" s="1"/>
  <c r="AA138" i="1"/>
  <c r="W138" i="1" s="1"/>
  <c r="U137" i="1"/>
  <c r="S137" i="1" s="1"/>
  <c r="AA136" i="1"/>
  <c r="W136" i="1" s="1"/>
  <c r="AA135" i="1"/>
  <c r="W135" i="1" s="1"/>
  <c r="AA134" i="1"/>
  <c r="W134" i="1" s="1"/>
  <c r="U133" i="1"/>
  <c r="S133" i="1" s="1"/>
  <c r="AA132" i="1"/>
  <c r="W132" i="1" s="1"/>
  <c r="AA131" i="1"/>
  <c r="W131" i="1" s="1"/>
  <c r="AA130" i="1"/>
  <c r="W130" i="1" s="1"/>
  <c r="U129" i="1"/>
  <c r="S129" i="1" s="1"/>
  <c r="AA128" i="1"/>
  <c r="W128" i="1" s="1"/>
  <c r="AA127" i="1"/>
  <c r="W127" i="1" s="1"/>
  <c r="AA126" i="1"/>
  <c r="W126" i="1" s="1"/>
  <c r="U125" i="1"/>
  <c r="S125" i="1" s="1"/>
  <c r="AA124" i="1"/>
  <c r="W124" i="1" s="1"/>
  <c r="AA123" i="1"/>
  <c r="W123" i="1" s="1"/>
  <c r="AA122" i="1"/>
  <c r="W122" i="1" s="1"/>
  <c r="U121" i="1"/>
  <c r="S121" i="1" s="1"/>
  <c r="AA120" i="1"/>
  <c r="W120" i="1" s="1"/>
  <c r="AA119" i="1"/>
  <c r="W119" i="1" s="1"/>
  <c r="AA118" i="1"/>
  <c r="W118" i="1" s="1"/>
  <c r="U117" i="1"/>
  <c r="S117" i="1" s="1"/>
  <c r="AA116" i="1"/>
  <c r="W116" i="1" s="1"/>
  <c r="AA115" i="1"/>
  <c r="W115" i="1" s="1"/>
  <c r="AA114" i="1"/>
  <c r="W114" i="1" s="1"/>
  <c r="U113" i="1"/>
  <c r="S113" i="1" s="1"/>
  <c r="AA112" i="1"/>
  <c r="W112" i="1" s="1"/>
  <c r="AA111" i="1"/>
  <c r="W111" i="1" s="1"/>
  <c r="AA110" i="1"/>
  <c r="W110" i="1" s="1"/>
  <c r="U109" i="1"/>
  <c r="S109" i="1" s="1"/>
  <c r="AA108" i="1"/>
  <c r="W108" i="1" s="1"/>
  <c r="AA107" i="1"/>
  <c r="W107" i="1" s="1"/>
  <c r="AA106" i="1"/>
  <c r="W106" i="1" s="1"/>
  <c r="U105" i="1"/>
  <c r="S105" i="1" s="1"/>
  <c r="AA104" i="1"/>
  <c r="W104" i="1" s="1"/>
  <c r="AA103" i="1"/>
  <c r="W103" i="1" s="1"/>
  <c r="AA102" i="1"/>
  <c r="W102" i="1" s="1"/>
  <c r="U101" i="1"/>
  <c r="S101" i="1" s="1"/>
  <c r="AA100" i="1"/>
  <c r="W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8" i="1"/>
  <c r="S138" i="1" s="1"/>
  <c r="U134" i="1"/>
  <c r="S134" i="1" s="1"/>
  <c r="U130" i="1"/>
  <c r="S130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87" i="1"/>
  <c r="S87" i="1" s="1"/>
  <c r="U140" i="1"/>
  <c r="S140" i="1" s="1"/>
  <c r="U132" i="1"/>
  <c r="S132" i="1" s="1"/>
  <c r="AA141" i="1"/>
  <c r="W141" i="1" s="1"/>
  <c r="AA137" i="1"/>
  <c r="W137" i="1" s="1"/>
  <c r="AA133" i="1"/>
  <c r="W133" i="1" s="1"/>
  <c r="AA129" i="1"/>
  <c r="W129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U84" i="1"/>
  <c r="S84" i="1" s="1"/>
  <c r="U83" i="1"/>
  <c r="S83" i="1" s="1"/>
  <c r="U136" i="1"/>
  <c r="S136" i="1" s="1"/>
  <c r="U112" i="1"/>
  <c r="S112" i="1" s="1"/>
  <c r="U108" i="1"/>
  <c r="S108" i="1" s="1"/>
  <c r="U104" i="1"/>
  <c r="S104" i="1" s="1"/>
  <c r="U100" i="1"/>
  <c r="S100" i="1" s="1"/>
  <c r="U128" i="1"/>
  <c r="S128" i="1" s="1"/>
  <c r="U124" i="1"/>
  <c r="S124" i="1" s="1"/>
  <c r="U120" i="1"/>
  <c r="S120" i="1" s="1"/>
  <c r="U116" i="1"/>
  <c r="S116" i="1" s="1"/>
  <c r="U139" i="1"/>
  <c r="S139" i="1" s="1"/>
  <c r="U135" i="1"/>
  <c r="S135" i="1" s="1"/>
  <c r="U131" i="1"/>
  <c r="S131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0" i="1" l="1"/>
  <c r="N120" i="1" s="1"/>
  <c r="Z14" i="1"/>
  <c r="L152" i="1"/>
  <c r="L153" i="1"/>
  <c r="L154" i="1"/>
  <c r="L155" i="1"/>
  <c r="Q58" i="3" l="1"/>
  <c r="Q59" i="3"/>
  <c r="Q60" i="3"/>
  <c r="Q61" i="3"/>
  <c r="Q62" i="3"/>
  <c r="Q63" i="3"/>
  <c r="P64" i="3"/>
  <c r="Q64" i="3"/>
  <c r="P65" i="3"/>
  <c r="Q65" i="3"/>
  <c r="Q66" i="3"/>
  <c r="Q67" i="3"/>
  <c r="Q68" i="3"/>
  <c r="L43" i="3"/>
  <c r="L126" i="1"/>
  <c r="M126" i="1"/>
  <c r="N126" i="1" s="1"/>
  <c r="L127" i="1"/>
  <c r="M127" i="1"/>
  <c r="N127" i="1" s="1"/>
  <c r="L128" i="1"/>
  <c r="M128" i="1"/>
  <c r="N128" i="1" s="1"/>
  <c r="L130" i="1"/>
  <c r="M130" i="1"/>
  <c r="N130" i="1" s="1"/>
  <c r="L129" i="1"/>
  <c r="M129" i="1"/>
  <c r="N129" i="1" s="1"/>
  <c r="P66" i="3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L139" i="1"/>
  <c r="M139" i="1"/>
  <c r="L140" i="1"/>
  <c r="M140" i="1"/>
  <c r="N140" i="1" s="1"/>
  <c r="P67" i="3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7" i="1"/>
  <c r="M147" i="1"/>
  <c r="N147" i="1" s="1"/>
  <c r="L148" i="1"/>
  <c r="M148" i="1"/>
  <c r="N148" i="1" s="1"/>
  <c r="P68" i="3"/>
  <c r="L149" i="1"/>
  <c r="M149" i="1"/>
  <c r="N149" i="1" s="1"/>
  <c r="L150" i="1"/>
  <c r="M150" i="1"/>
  <c r="N150" i="1" s="1"/>
  <c r="L151" i="1"/>
  <c r="M151" i="1"/>
  <c r="N151" i="1" s="1"/>
  <c r="M152" i="1"/>
  <c r="N152" i="1" s="1"/>
  <c r="M153" i="1"/>
  <c r="N153" i="1" s="1"/>
  <c r="M154" i="1"/>
  <c r="N154" i="1" s="1"/>
  <c r="M155" i="1"/>
  <c r="N155" i="1" s="1"/>
  <c r="P138" i="1" l="1"/>
  <c r="L95" i="1"/>
  <c r="M95" i="1"/>
  <c r="N95" i="1" s="1"/>
  <c r="P58" i="3"/>
  <c r="L96" i="1"/>
  <c r="M96" i="1"/>
  <c r="N96" i="1" s="1"/>
  <c r="L97" i="1"/>
  <c r="M97" i="1"/>
  <c r="N97" i="1" s="1"/>
  <c r="L98" i="1"/>
  <c r="M98" i="1"/>
  <c r="N98" i="1" s="1"/>
  <c r="L99" i="1"/>
  <c r="M99" i="1"/>
  <c r="N99" i="1" s="1"/>
  <c r="L100" i="1"/>
  <c r="M100" i="1"/>
  <c r="P100" i="1" s="1"/>
  <c r="L101" i="1"/>
  <c r="M101" i="1"/>
  <c r="N101" i="1" s="1"/>
  <c r="L102" i="1"/>
  <c r="M102" i="1"/>
  <c r="N102" i="1" s="1"/>
  <c r="L103" i="1"/>
  <c r="M103" i="1"/>
  <c r="L104" i="1"/>
  <c r="M104" i="1"/>
  <c r="P59" i="3"/>
  <c r="L105" i="1"/>
  <c r="M105" i="1"/>
  <c r="N105" i="1" s="1"/>
  <c r="L106" i="1"/>
  <c r="M106" i="1"/>
  <c r="N106" i="1" s="1"/>
  <c r="L107" i="1"/>
  <c r="M107" i="1"/>
  <c r="N107" i="1" s="1"/>
  <c r="L108" i="1"/>
  <c r="M108" i="1"/>
  <c r="N108" i="1" s="1"/>
  <c r="L109" i="1"/>
  <c r="M109" i="1"/>
  <c r="N109" i="1" s="1"/>
  <c r="L112" i="1"/>
  <c r="M112" i="1"/>
  <c r="N112" i="1" s="1"/>
  <c r="L110" i="1"/>
  <c r="M110" i="1"/>
  <c r="N110" i="1" s="1"/>
  <c r="L111" i="1"/>
  <c r="M111" i="1"/>
  <c r="N111" i="1" s="1"/>
  <c r="L113" i="1"/>
  <c r="M113" i="1"/>
  <c r="N113" i="1" s="1"/>
  <c r="P62" i="3"/>
  <c r="L114" i="1"/>
  <c r="M114" i="1"/>
  <c r="N114" i="1" s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 s="1"/>
  <c r="L119" i="1"/>
  <c r="M119" i="1"/>
  <c r="N119" i="1" s="1"/>
  <c r="L120" i="1"/>
  <c r="L121" i="1"/>
  <c r="M121" i="1"/>
  <c r="P121" i="1" s="1"/>
  <c r="L122" i="1"/>
  <c r="M122" i="1"/>
  <c r="N122" i="1" s="1"/>
  <c r="L124" i="1"/>
  <c r="M124" i="1"/>
  <c r="N124" i="1" s="1"/>
  <c r="L123" i="1"/>
  <c r="M123" i="1"/>
  <c r="N123" i="1" s="1"/>
  <c r="L125" i="1"/>
  <c r="M125" i="1"/>
  <c r="N125" i="1" s="1"/>
  <c r="P63" i="3"/>
  <c r="P103" i="1" l="1"/>
  <c r="P60" i="3"/>
  <c r="P61" i="3"/>
  <c r="Q33" i="3" l="1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77" i="1" l="1"/>
  <c r="M77" i="1"/>
  <c r="N77" i="1" s="1"/>
  <c r="P49" i="3"/>
  <c r="L93" i="1"/>
  <c r="M93" i="1"/>
  <c r="N93" i="1" s="1"/>
  <c r="L63" i="1"/>
  <c r="M63" i="1"/>
  <c r="N63" i="1" s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6" i="3" l="1"/>
  <c r="L56" i="1"/>
  <c r="M56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M94" i="1"/>
  <c r="N94" i="1" s="1"/>
  <c r="L94" i="1"/>
  <c r="M2" i="3" l="1"/>
  <c r="M3" i="3" s="1"/>
  <c r="Q7" i="3"/>
  <c r="Q8" i="3"/>
  <c r="Q9" i="3"/>
  <c r="Q10" i="3"/>
  <c r="Q11" i="3"/>
  <c r="T14" i="1"/>
  <c r="T13" i="1"/>
  <c r="M39" i="1" l="1"/>
  <c r="N39" i="1" s="1"/>
  <c r="M65" i="1"/>
  <c r="L39" i="1"/>
  <c r="L65" i="1"/>
  <c r="P33" i="3"/>
  <c r="P34" i="3" l="1"/>
  <c r="V14" i="1" l="1"/>
  <c r="X14" i="1"/>
  <c r="Y14" i="1"/>
  <c r="P35" i="3"/>
  <c r="P36" i="3"/>
  <c r="P37" i="3"/>
  <c r="P38" i="3"/>
  <c r="P39" i="3"/>
  <c r="P40" i="3"/>
  <c r="P41" i="3"/>
  <c r="P42" i="3"/>
  <c r="P44" i="3"/>
  <c r="P45" i="3"/>
  <c r="P47" i="3"/>
  <c r="P48" i="3"/>
  <c r="P50" i="3"/>
  <c r="P51" i="3"/>
  <c r="P52" i="3"/>
  <c r="P56" i="3"/>
  <c r="P55" i="3"/>
  <c r="P57" i="3"/>
  <c r="U14" i="1" l="1"/>
  <c r="S14" i="1" s="1"/>
  <c r="P53" i="3"/>
  <c r="P54" i="3"/>
  <c r="P25" i="3"/>
  <c r="P30" i="3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P8" i="3"/>
  <c r="P11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P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N29" i="1" s="1"/>
  <c r="L30" i="1"/>
  <c r="M30" i="1"/>
  <c r="N30" i="1" s="1"/>
  <c r="L31" i="1"/>
  <c r="M31" i="1"/>
  <c r="N31" i="1" s="1"/>
  <c r="L32" i="1"/>
  <c r="M32" i="1"/>
  <c r="N32" i="1" s="1"/>
  <c r="L34" i="1"/>
  <c r="M34" i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N43" i="1" s="1"/>
  <c r="L44" i="1"/>
  <c r="M44" i="1"/>
  <c r="N44" i="1" s="1"/>
  <c r="L45" i="1"/>
  <c r="M45" i="1"/>
  <c r="N45" i="1" s="1"/>
  <c r="L46" i="1"/>
  <c r="M46" i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L53" i="1"/>
  <c r="M53" i="1"/>
  <c r="N53" i="1" s="1"/>
  <c r="L54" i="1"/>
  <c r="M54" i="1"/>
  <c r="N54" i="1" s="1"/>
  <c r="L55" i="1"/>
  <c r="M55" i="1"/>
  <c r="N55" i="1" s="1"/>
  <c r="L57" i="1"/>
  <c r="M57" i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N70" i="1" s="1"/>
  <c r="L71" i="1"/>
  <c r="M71" i="1"/>
  <c r="N71" i="1" s="1"/>
  <c r="L72" i="1"/>
  <c r="M72" i="1"/>
  <c r="N72" i="1" s="1"/>
  <c r="L73" i="1"/>
  <c r="M73" i="1"/>
  <c r="N73" i="1" s="1"/>
  <c r="L74" i="1"/>
  <c r="M74" i="1"/>
  <c r="N74" i="1" s="1"/>
  <c r="L75" i="1"/>
  <c r="M75" i="1"/>
  <c r="P75" i="1" s="1"/>
  <c r="L76" i="1"/>
  <c r="M76" i="1"/>
  <c r="N76" i="1" s="1"/>
  <c r="L78" i="1"/>
  <c r="M78" i="1"/>
  <c r="N78" i="1" s="1"/>
  <c r="L79" i="1"/>
  <c r="M79" i="1"/>
  <c r="N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L91" i="1"/>
  <c r="M91" i="1"/>
  <c r="N91" i="1" s="1"/>
  <c r="L90" i="1"/>
  <c r="M90" i="1"/>
  <c r="N90" i="1" s="1"/>
  <c r="L92" i="1"/>
  <c r="M92" i="1"/>
  <c r="N92" i="1" s="1"/>
  <c r="J4" i="1" l="1"/>
  <c r="O5" i="1"/>
  <c r="J8" i="1"/>
  <c r="N8" i="1"/>
  <c r="N5" i="1"/>
  <c r="J5" i="1"/>
  <c r="O8" i="1"/>
  <c r="M5" i="1"/>
  <c r="M8" i="1"/>
  <c r="J7" i="1"/>
  <c r="X13" i="1"/>
  <c r="J9" i="1" l="1"/>
  <c r="V13" i="1"/>
  <c r="P43" i="3" s="1"/>
  <c r="Y13" i="1"/>
  <c r="Z13" i="1"/>
  <c r="U13" i="1" l="1"/>
  <c r="S13" i="1" s="1"/>
  <c r="P32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<sst xmlns="http://schemas.openxmlformats.org/spreadsheetml/2006/main" count="2024" uniqueCount="573">
  <si>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</si>
  <si>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</si>
  <si>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</si>
  <si>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</si>
  <si>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</si>
  <si>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</si>
  <si>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</si>
  <si>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</si>
  <si>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</si>
  <si>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</si>
  <si>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</si>
  <si>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</si>
  <si>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</si>
  <si>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</si>
  <si>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</si>
  <si>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</si>
  <si>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</si>
  <si>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</si>
  <si>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</si>
  <si>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</si>
  <si>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</si>
  <si>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</si>
  <si>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</si>
  <si>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</si>
  <si>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</si>
  <si>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</si>
  <si>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</si>
  <si>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</si>
  <si>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</si>
  <si>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</si>
  <si>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</si>
  <si>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</si>
  <si>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</si>
  <si>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</si>
  <si>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</si>
  <si>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</si>
  <si>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</si>
  <si>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</si>
  <si>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</si>
  <si>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</si>
  <si>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</si>
  <si>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</si>
  <si>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</si>
  <si>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</si>
  <si>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</si>
  <si>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</si>
  <si>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</si>
  <si>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</si>
  <si>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</si>
  <si>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</si>
  <si>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</si>
  <si>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</si>
  <si>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</si>
  <si>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</si>
  <si>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</si>
  <si>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</si>
  <si>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</si>
  <si>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</si>
  <si>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</si>
  <si>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</si>
  <si>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</si>
  <si>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</si>
  <si>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</si>
  <si>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</si>
  <si>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</si>
  <si>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</si>
  <si>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</si>
  <si>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</si>
  <si>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</si>
  <si>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</si>
  <si>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</si>
  <si>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</si>
  <si>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</si>
  <si>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</si>
  <si>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</si>
  <si>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</si>
  <si>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</si>
  <si>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</si>
  <si>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</si>
  <si>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</si>
  <si>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</si>
  <si>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</si>
  <si>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</si>
  <si>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</si>
  <si>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</si>
  <si>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</si>
  <si>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</si>
  <si>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</si>
  <si>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</si>
  <si>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</si>
  <si>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</si>
  <si>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</si>
  <si>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</si>
  <si>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</si>
  <si>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</si>
  <si>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</si>
  <si>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</si>
  <si>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</si>
  <si>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</si>
  <si>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</si>
  <si>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</si>
  <si>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</si>
  <si>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</si>
  <si>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</si>
  <si>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</si>
  <si>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</si>
  <si>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</si>
  <si>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</si>
  <si>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</si>
  <si>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</si>
  <si>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</si>
  <si>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</si>
  <si>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</si>
  <si>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</si>
  <si>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</si>
  <si>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</si>
  <si>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</si>
  <si>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</si>
  <si>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</si>
  <si>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</si>
  <si>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</si>
  <si>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</si>
  <si>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</si>
  <si>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</si>
  <si>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</si>
  <si>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</si>
  <si>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</si>
  <si>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</si>
  <si>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</si>
  <si>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</si>
  <si>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</si>
  <si>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</si>
  <si>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</si>
  <si>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</si>
  <si>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</si>
  <si>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</si>
  <si>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</si>
  <si>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</si>
  <si>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</si>
  <si>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</si>
  <si>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</si>
  <si>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</si>
  <si>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</si>
  <si>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</si>
  <si>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</si>
  <si>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</si>
  <si>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</si>
  <si>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</si>
  <si>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</si>
  <si>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</si>
  <si>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204:233293</t>
  </si>
  <si>
    <t>204:232971</t>
  </si>
  <si>
    <t>204:136</t>
  </si>
  <si>
    <t>204:233289</t>
  </si>
  <si>
    <t>204:232990</t>
  </si>
  <si>
    <t>204:451</t>
  </si>
  <si>
    <t>204:232973</t>
  </si>
  <si>
    <t>204:444</t>
  </si>
  <si>
    <t>204:233312</t>
  </si>
  <si>
    <t>204:233319</t>
  </si>
  <si>
    <t>204:478</t>
  </si>
  <si>
    <t>204:232984</t>
  </si>
  <si>
    <t>204:233276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</si>
  <si>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</si>
  <si>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</si>
  <si>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</si>
  <si>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</si>
  <si>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</si>
  <si>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</si>
  <si>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</si>
  <si>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</si>
  <si>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204:233314</t>
  </si>
  <si>
    <t>204:233305</t>
  </si>
  <si>
    <t>204:138</t>
  </si>
  <si>
    <t>204:232993</t>
  </si>
  <si>
    <t>204:466</t>
  </si>
  <si>
    <t>204:442</t>
  </si>
  <si>
    <t>204:165</t>
  </si>
  <si>
    <t>204:233311</t>
  </si>
  <si>
    <t>204:154</t>
  </si>
  <si>
    <t>204:233010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</si>
  <si>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</si>
  <si>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</si>
  <si>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</si>
  <si>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</si>
  <si>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</si>
  <si>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</si>
  <si>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</si>
  <si>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</si>
  <si>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</si>
  <si>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</si>
  <si>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204:232942</t>
  </si>
  <si>
    <t>204:783</t>
  </si>
  <si>
    <t>204:517</t>
  </si>
  <si>
    <t>204:233249</t>
  </si>
  <si>
    <t>204:232966</t>
  </si>
  <si>
    <t>204:233274</t>
  </si>
  <si>
    <t>204:232953</t>
  </si>
  <si>
    <t>204:449</t>
  </si>
  <si>
    <t>204:491</t>
  </si>
  <si>
    <t>204:462</t>
  </si>
  <si>
    <t>204:233255</t>
  </si>
  <si>
    <t>204:232996</t>
  </si>
  <si>
    <t>204:233005</t>
  </si>
  <si>
    <t>1827-26</t>
  </si>
  <si>
    <t>1828-26</t>
  </si>
  <si>
    <t>1829-26</t>
  </si>
  <si>
    <t>1830-26</t>
  </si>
  <si>
    <t>1831-26</t>
  </si>
  <si>
    <t>1832-26</t>
  </si>
  <si>
    <t>1902-26</t>
  </si>
  <si>
    <t>204:232894</t>
  </si>
  <si>
    <t>204:233003</t>
  </si>
  <si>
    <t>204:233321</t>
  </si>
  <si>
    <t>204:232981</t>
  </si>
  <si>
    <t>204:233303</t>
  </si>
  <si>
    <t>204:233306</t>
  </si>
  <si>
    <t>220-26</t>
  </si>
  <si>
    <t>222-26</t>
  </si>
  <si>
    <t>223-26</t>
  </si>
  <si>
    <t>204:233301</t>
  </si>
  <si>
    <t>224-26</t>
  </si>
  <si>
    <t>225-26</t>
  </si>
  <si>
    <t>226-26</t>
  </si>
  <si>
    <t>204:216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</si>
  <si>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</si>
  <si>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</si>
  <si>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</si>
  <si>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</si>
  <si>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</si>
  <si>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</si>
  <si>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</si>
  <si>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</si>
  <si>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236-26</t>
  </si>
  <si>
    <t>237-26</t>
  </si>
  <si>
    <t>238-26</t>
  </si>
  <si>
    <t>239-26</t>
  </si>
  <si>
    <t>240-26</t>
  </si>
  <si>
    <t>204:176</t>
  </si>
  <si>
    <t>241-26</t>
  </si>
  <si>
    <t>242-26</t>
  </si>
  <si>
    <t>243-26</t>
  </si>
  <si>
    <t>204:233282</t>
  </si>
  <si>
    <t>204:233286</t>
  </si>
  <si>
    <t>rtdc.l.rtdc.4037:itc</t>
  </si>
  <si>
    <t>BARTLETT</t>
  </si>
  <si>
    <t>COOLAHAN</t>
  </si>
  <si>
    <t>REBOLETTI</t>
  </si>
  <si>
    <t>235-26</t>
  </si>
  <si>
    <t>DE LA ROSA</t>
  </si>
  <si>
    <t>1833-26</t>
  </si>
  <si>
    <t>rtdc.l.rtdc.4029:itc</t>
  </si>
  <si>
    <t>101-27</t>
  </si>
  <si>
    <t>105-27</t>
  </si>
  <si>
    <t>800-27</t>
  </si>
  <si>
    <t>111-27</t>
  </si>
  <si>
    <t>106-27</t>
  </si>
  <si>
    <t>902-27</t>
  </si>
  <si>
    <t>801-27</t>
  </si>
  <si>
    <t>115-27</t>
  </si>
  <si>
    <t>110-27</t>
  </si>
  <si>
    <t>802-27</t>
  </si>
  <si>
    <t>803-27</t>
  </si>
  <si>
    <t>119-27</t>
  </si>
  <si>
    <t>805-27</t>
  </si>
  <si>
    <t>116-27</t>
  </si>
  <si>
    <t>807-27</t>
  </si>
  <si>
    <t>127-27</t>
  </si>
  <si>
    <t>120-27</t>
  </si>
  <si>
    <t>129-27</t>
  </si>
  <si>
    <t>133-27</t>
  </si>
  <si>
    <t>810-27</t>
  </si>
  <si>
    <t>811-27</t>
  </si>
  <si>
    <t>128-27</t>
  </si>
  <si>
    <t>812-27</t>
  </si>
  <si>
    <t>130-27</t>
  </si>
  <si>
    <t>139-27</t>
  </si>
  <si>
    <t>143-27</t>
  </si>
  <si>
    <t>134-27</t>
  </si>
  <si>
    <t>138-27</t>
  </si>
  <si>
    <t>815-27</t>
  </si>
  <si>
    <t>151-27</t>
  </si>
  <si>
    <t>152-27</t>
  </si>
  <si>
    <t>156-27</t>
  </si>
  <si>
    <t>163-27</t>
  </si>
  <si>
    <t>rtdc.l.rtdc.4030:itc</t>
  </si>
  <si>
    <t>154-27</t>
  </si>
  <si>
    <t>158-27</t>
  </si>
  <si>
    <t>167-27</t>
  </si>
  <si>
    <t>173-27</t>
  </si>
  <si>
    <t>EQUIPMENT RESTRICTION</t>
  </si>
  <si>
    <t>164-27</t>
  </si>
  <si>
    <t>166-27</t>
  </si>
  <si>
    <t>175-27</t>
  </si>
  <si>
    <t>179-27</t>
  </si>
  <si>
    <t>185-27</t>
  </si>
  <si>
    <t>181-27</t>
  </si>
  <si>
    <t>174-27</t>
  </si>
  <si>
    <t>176-27</t>
  </si>
  <si>
    <t>824-27</t>
  </si>
  <si>
    <t>187-27</t>
  </si>
  <si>
    <t>180-27</t>
  </si>
  <si>
    <t>191-27</t>
  </si>
  <si>
    <t>825-27</t>
  </si>
  <si>
    <t>184-27</t>
  </si>
  <si>
    <t>827-27</t>
  </si>
  <si>
    <t>195-27</t>
  </si>
  <si>
    <t>188-27</t>
  </si>
  <si>
    <t>194-27</t>
  </si>
  <si>
    <t>828-27</t>
  </si>
  <si>
    <t>829-27</t>
  </si>
  <si>
    <t>205-27</t>
  </si>
  <si>
    <t>832-27</t>
  </si>
  <si>
    <t>833-27</t>
  </si>
  <si>
    <t>209-27</t>
  </si>
  <si>
    <t>213-27</t>
  </si>
  <si>
    <t>835-27</t>
  </si>
  <si>
    <t>rtdc.l.rtdc.4027:itc</t>
  </si>
  <si>
    <t>211-27</t>
  </si>
  <si>
    <t>215-27</t>
  </si>
  <si>
    <t>rtdc.l.rtdc.4040:itc</t>
  </si>
  <si>
    <t>217-27</t>
  </si>
  <si>
    <t>841-27</t>
  </si>
  <si>
    <t>221-27</t>
  </si>
  <si>
    <t>220-27</t>
  </si>
  <si>
    <t>223-27</t>
  </si>
  <si>
    <t>843-27</t>
  </si>
  <si>
    <t>225-27</t>
  </si>
  <si>
    <t>842-27</t>
  </si>
  <si>
    <t>rtdc.l.rtdc.4039:itc</t>
  </si>
  <si>
    <t>226-27</t>
  </si>
  <si>
    <t>227-27</t>
  </si>
  <si>
    <t>229-27</t>
  </si>
  <si>
    <t>847-27</t>
  </si>
  <si>
    <t>233-27</t>
  </si>
  <si>
    <t>237-27</t>
  </si>
  <si>
    <t>239-27</t>
  </si>
  <si>
    <t>241-27</t>
  </si>
  <si>
    <t>240-27</t>
  </si>
  <si>
    <t>102-27</t>
  </si>
  <si>
    <t>204:232648</t>
  </si>
  <si>
    <t>103-27</t>
  </si>
  <si>
    <t>204:757</t>
  </si>
  <si>
    <t>204:233280</t>
  </si>
  <si>
    <t>104-27</t>
  </si>
  <si>
    <t>204:232627</t>
  </si>
  <si>
    <t>204:770</t>
  </si>
  <si>
    <t>204:232654</t>
  </si>
  <si>
    <t>107-27</t>
  </si>
  <si>
    <t>204:59787</t>
  </si>
  <si>
    <t>108-27</t>
  </si>
  <si>
    <t>204:232979</t>
  </si>
  <si>
    <t>109-27</t>
  </si>
  <si>
    <t>204:178</t>
  </si>
  <si>
    <t>204:792</t>
  </si>
  <si>
    <t>204:233032</t>
  </si>
  <si>
    <t>112-27</t>
  </si>
  <si>
    <t>204:232891</t>
  </si>
  <si>
    <t>113-27</t>
  </si>
  <si>
    <t>204:233299</t>
  </si>
  <si>
    <t>114-27</t>
  </si>
  <si>
    <t>204:741</t>
  </si>
  <si>
    <t>204:236</t>
  </si>
  <si>
    <t>117-27</t>
  </si>
  <si>
    <t>118-27</t>
  </si>
  <si>
    <t>204:349</t>
  </si>
  <si>
    <t>121-27</t>
  </si>
  <si>
    <t>122-27</t>
  </si>
  <si>
    <t>204:3758</t>
  </si>
  <si>
    <t>123-27</t>
  </si>
  <si>
    <t>124-27</t>
  </si>
  <si>
    <t>125-27</t>
  </si>
  <si>
    <t>126-27</t>
  </si>
  <si>
    <t>204:387</t>
  </si>
  <si>
    <t>204:1501</t>
  </si>
  <si>
    <t>204:1175</t>
  </si>
  <si>
    <t>204:553</t>
  </si>
  <si>
    <t>204:232959</t>
  </si>
  <si>
    <t>131-27</t>
  </si>
  <si>
    <t>204:657</t>
  </si>
  <si>
    <t>132-27</t>
  </si>
  <si>
    <t>204:446</t>
  </si>
  <si>
    <t>204:233059</t>
  </si>
  <si>
    <t>204:232735</t>
  </si>
  <si>
    <t>204:232987</t>
  </si>
  <si>
    <t>135-27</t>
  </si>
  <si>
    <t>204:650</t>
  </si>
  <si>
    <t>136-27</t>
  </si>
  <si>
    <t>204:232945</t>
  </si>
  <si>
    <t>137-27</t>
  </si>
  <si>
    <t>204:233332</t>
  </si>
  <si>
    <t>204:232988</t>
  </si>
  <si>
    <t>204:185</t>
  </si>
  <si>
    <t>204:200608</t>
  </si>
  <si>
    <t>140-27</t>
  </si>
  <si>
    <t>204:156</t>
  </si>
  <si>
    <t>141-27</t>
  </si>
  <si>
    <t>204:313</t>
  </si>
  <si>
    <t>142-27</t>
  </si>
  <si>
    <t>204:232961</t>
  </si>
  <si>
    <t>204:675</t>
  </si>
  <si>
    <t>144-27</t>
  </si>
  <si>
    <t>204:153997</t>
  </si>
  <si>
    <t>204:232983</t>
  </si>
  <si>
    <t>145-27</t>
  </si>
  <si>
    <t>204:233272</t>
  </si>
  <si>
    <t>146-27</t>
  </si>
  <si>
    <t>147-27</t>
  </si>
  <si>
    <t>148-27</t>
  </si>
  <si>
    <t>204:232989</t>
  </si>
  <si>
    <t>149-27</t>
  </si>
  <si>
    <t>150-27</t>
  </si>
  <si>
    <t>204:497</t>
  </si>
  <si>
    <t>204:233181</t>
  </si>
  <si>
    <t>204:232872</t>
  </si>
  <si>
    <t>153-27</t>
  </si>
  <si>
    <t>204:232980</t>
  </si>
  <si>
    <t>155-27</t>
  </si>
  <si>
    <t>157-27</t>
  </si>
  <si>
    <t>159-27</t>
  </si>
  <si>
    <t>204:482</t>
  </si>
  <si>
    <t>160-27</t>
  </si>
  <si>
    <t>161-27</t>
  </si>
  <si>
    <t>162-27</t>
  </si>
  <si>
    <t>204:232967</t>
  </si>
  <si>
    <t>204:134</t>
  </si>
  <si>
    <t>165-27</t>
  </si>
  <si>
    <t>168-27</t>
  </si>
  <si>
    <t>204:232860</t>
  </si>
  <si>
    <t>169-27</t>
  </si>
  <si>
    <t>204:233376</t>
  </si>
  <si>
    <t>170-27</t>
  </si>
  <si>
    <t>204:233063</t>
  </si>
  <si>
    <t>171-27</t>
  </si>
  <si>
    <t>172-27</t>
  </si>
  <si>
    <t>204:486</t>
  </si>
  <si>
    <t>204:495</t>
  </si>
  <si>
    <t>204:1190</t>
  </si>
  <si>
    <t>204:232968</t>
  </si>
  <si>
    <t>177-27</t>
  </si>
  <si>
    <t>204:431</t>
  </si>
  <si>
    <t>178-27</t>
  </si>
  <si>
    <t>204:174</t>
  </si>
  <si>
    <t>204:233038</t>
  </si>
  <si>
    <t>204:233049</t>
  </si>
  <si>
    <t>182-27</t>
  </si>
  <si>
    <t>204:232890</t>
  </si>
  <si>
    <t>204:201</t>
  </si>
  <si>
    <t>183-27</t>
  </si>
  <si>
    <t>204:233419</t>
  </si>
  <si>
    <t>204:233062</t>
  </si>
  <si>
    <t>186-27</t>
  </si>
  <si>
    <t>189-27</t>
  </si>
  <si>
    <t>204:62347</t>
  </si>
  <si>
    <t>204:64700</t>
  </si>
  <si>
    <t>190-27</t>
  </si>
  <si>
    <t>192-27</t>
  </si>
  <si>
    <t>204:1177</t>
  </si>
  <si>
    <t>204:513</t>
  </si>
  <si>
    <t>204:233045</t>
  </si>
  <si>
    <t>196-27</t>
  </si>
  <si>
    <t>197-27</t>
  </si>
  <si>
    <t>204:233370</t>
  </si>
  <si>
    <t>198-27</t>
  </si>
  <si>
    <t>204:233046</t>
  </si>
  <si>
    <t>199-27</t>
  </si>
  <si>
    <t>200-27</t>
  </si>
  <si>
    <t>204:233074</t>
  </si>
  <si>
    <t>201-27</t>
  </si>
  <si>
    <t>204:233337</t>
  </si>
  <si>
    <t>202-27</t>
  </si>
  <si>
    <t>204:233013</t>
  </si>
  <si>
    <t>204-27</t>
  </si>
  <si>
    <t>204:133</t>
  </si>
  <si>
    <t>206-27</t>
  </si>
  <si>
    <t>207-27</t>
  </si>
  <si>
    <t>208-27</t>
  </si>
  <si>
    <t>204:153964</t>
  </si>
  <si>
    <t>204:979</t>
  </si>
  <si>
    <t>204:233097</t>
  </si>
  <si>
    <t>210-27</t>
  </si>
  <si>
    <t>204:233389</t>
  </si>
  <si>
    <t>212-27</t>
  </si>
  <si>
    <t>214-27</t>
  </si>
  <si>
    <t>204:233253</t>
  </si>
  <si>
    <t>204:233247</t>
  </si>
  <si>
    <t>218-27</t>
  </si>
  <si>
    <t>204:232925</t>
  </si>
  <si>
    <t>204:221</t>
  </si>
  <si>
    <t>219-27</t>
  </si>
  <si>
    <t>204:367</t>
  </si>
  <si>
    <t>222-27</t>
  </si>
  <si>
    <t>204:232934</t>
  </si>
  <si>
    <t>204:198</t>
  </si>
  <si>
    <t>224-27</t>
  </si>
  <si>
    <t>204:233257</t>
  </si>
  <si>
    <t>204:102875</t>
  </si>
  <si>
    <t>204:86353</t>
  </si>
  <si>
    <t>228-27</t>
  </si>
  <si>
    <t>204:232946</t>
  </si>
  <si>
    <t>204:528</t>
  </si>
  <si>
    <t>204:233107</t>
  </si>
  <si>
    <t>231-27</t>
  </si>
  <si>
    <t>204:233302</t>
  </si>
  <si>
    <t>232-27</t>
  </si>
  <si>
    <t>234-27</t>
  </si>
  <si>
    <t>204:205</t>
  </si>
  <si>
    <t>235-27</t>
  </si>
  <si>
    <t>236-27</t>
  </si>
  <si>
    <t>204:2301</t>
  </si>
  <si>
    <t>238-27</t>
  </si>
  <si>
    <t>204:338</t>
  </si>
  <si>
    <t>242-27</t>
  </si>
  <si>
    <t>204:232930</t>
  </si>
  <si>
    <t>204:218</t>
  </si>
  <si>
    <t>243-27</t>
  </si>
  <si>
    <t>204:233238</t>
  </si>
  <si>
    <t>244-27</t>
  </si>
  <si>
    <t>204:232917</t>
  </si>
  <si>
    <t>204:18792</t>
  </si>
  <si>
    <t>804-27</t>
  </si>
  <si>
    <t>806-27</t>
  </si>
  <si>
    <t>808-27</t>
  </si>
  <si>
    <t>809-27</t>
  </si>
  <si>
    <t>813-27</t>
  </si>
  <si>
    <t>816-27</t>
  </si>
  <si>
    <t>817-27</t>
  </si>
  <si>
    <t>818-27</t>
  </si>
  <si>
    <t>819-27</t>
  </si>
  <si>
    <t>820-27</t>
  </si>
  <si>
    <t>821-27</t>
  </si>
  <si>
    <t>822-27</t>
  </si>
  <si>
    <t>823-27</t>
  </si>
  <si>
    <t>826-27</t>
  </si>
  <si>
    <t>830-27</t>
  </si>
  <si>
    <t>831-27</t>
  </si>
  <si>
    <t>834-27</t>
  </si>
  <si>
    <t>836-27</t>
  </si>
  <si>
    <t>837-27</t>
  </si>
  <si>
    <t>838-27</t>
  </si>
  <si>
    <t>839-27</t>
  </si>
  <si>
    <t>840-27</t>
  </si>
  <si>
    <t>844-27</t>
  </si>
  <si>
    <t>845-27</t>
  </si>
  <si>
    <t>906-27</t>
  </si>
  <si>
    <t>908-27</t>
  </si>
  <si>
    <t>STAMBAUGH</t>
  </si>
  <si>
    <t>203-27</t>
  </si>
  <si>
    <t>MAELZER</t>
  </si>
  <si>
    <t>MOSES</t>
  </si>
  <si>
    <t>KILLION</t>
  </si>
  <si>
    <t>193-27</t>
  </si>
  <si>
    <t>SNYDER</t>
  </si>
  <si>
    <t>YANAI</t>
  </si>
  <si>
    <t>SHOOK</t>
  </si>
  <si>
    <t>ROCHA</t>
  </si>
  <si>
    <t>DAVIS</t>
  </si>
  <si>
    <t>SPECTOR</t>
  </si>
  <si>
    <t>rtdc.l.rtdc.4044:itc</t>
  </si>
  <si>
    <t>YOUNG</t>
  </si>
  <si>
    <t>216-27</t>
  </si>
  <si>
    <t>230-27</t>
  </si>
  <si>
    <t>Onboard in-route failure</t>
  </si>
  <si>
    <t>Onboard in-route failure caused departure delay</t>
  </si>
  <si>
    <t>Form C</t>
  </si>
  <si>
    <t>Incorrect execution of bulletin</t>
  </si>
  <si>
    <t>Premature downgrade at EC1981RH 191-1T 1N</t>
  </si>
  <si>
    <t>Cut out button not pressed at end of run</t>
  </si>
  <si>
    <t>Dispatcher error</t>
  </si>
  <si>
    <t>Wi-MAX outage</t>
  </si>
  <si>
    <t>Early Arrival</t>
  </si>
  <si>
    <t>Routing at 40th 4S</t>
  </si>
  <si>
    <t>Poor GPS signal at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</si>
</sst>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2" fontId="0" fillId="0" borderId="5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18" xfId="0" applyFill="1" applyBorder="1" applyAlignment="1">
      <alignment vertical="center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90">
        <f>Variables!A2</f>
        <v>42548</v>
      </c>
      <c r="J2" s="91"/>
      <c r="K2" s="50"/>
      <c r="L2" s="50"/>
      <c r="M2" s="92" t="s">
        <v>8</v>
      </c>
      <c r="N2" s="93"/>
      <c r="O2" s="94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95" t="s">
        <v>10</v>
      </c>
      <c r="J3" s="96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COUNT($N$13:$P$1858)</f>
        <v>141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COUNT($N$13:$N$1858)</f>
        <v>133</v>
      </c>
      <c r="K5" s="3"/>
      <c r="L5" s="3"/>
      <c r="M5" s="45">
        <f>AVERAGE($N$13:$N$858)</f>
        <v>49.777694236551923</v>
      </c>
      <c r="N5" s="5">
        <f>MIN($N$13:$N$858)</f>
        <v>33.633333327015862</v>
      </c>
      <c r="O5" s="6">
        <f>MAX($N$13:$N$858)</f>
        <v>314.36666667577811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COUNT($O$13:$O$858)</f>
        <v>0</v>
      </c>
      <c r="K6" s="3"/>
      <c r="L6" s="3"/>
      <c r="M6" s="45">
        <f>IFERROR(AVERAGE($O$13:$O$858),0)</f>
        <v>0</v>
      </c>
      <c r="N6" s="5">
        <f>MIN($O$13:$O$858)</f>
        <v>0</v>
      </c>
      <c r="O6" s="6">
        <f>MAX($O$13:$O$858)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COUNT($P$13:$P$858)</f>
        <v>8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COUNT($N$13:$O$858)</f>
        <v>133</v>
      </c>
      <c r="K8" s="3"/>
      <c r="L8" s="3"/>
      <c r="M8" s="45">
        <f>AVERAGE($N$13:$P$858)</f>
        <v>48.296335698278781</v>
      </c>
      <c r="N8" s="5">
        <f>MIN($N$13:$O$858)</f>
        <v>33.633333327015862</v>
      </c>
      <c r="O8" s="6">
        <f>MAX($N$13:$O$858)</f>
        <v>314.36666667577811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0.94326241134751776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9" t="str">
        <f>"Eagle P3 System Performance - "&amp;TEXT(Variables!A2,"yyyy-mm-dd")</f>
        <v>Eagle P3 System Performance - 2016-06-27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S11" s="99">
        <f>AVERAGE(S13:S99999)</f>
        <v>0.96759259259259267</v>
      </c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110</v>
      </c>
      <c r="T12" s="9" t="s">
        <v>111</v>
      </c>
      <c r="U12" s="9" t="s">
        <v>112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79" t="s">
        <v>252</v>
      </c>
      <c r="B13" s="43">
        <v>4029</v>
      </c>
      <c r="C13" s="43" t="s">
        <v>60</v>
      </c>
      <c r="D13" s="43" t="s">
        <v>192</v>
      </c>
      <c r="E13" s="25">
        <v>42548.130752314813</v>
      </c>
      <c r="F13" s="25">
        <v>42548.131701388891</v>
      </c>
      <c r="G13" s="31">
        <v>1</v>
      </c>
      <c r="H13" s="25" t="s">
        <v>150</v>
      </c>
      <c r="I13" s="25">
        <v>42548.161782407406</v>
      </c>
      <c r="J13" s="43">
        <v>1</v>
      </c>
      <c r="K13" s="43" t="str">
        <f>IF(ISEVEN(B13),(B13-1)&amp;"/"&amp;B13,B13&amp;"/"&amp;(B13+1))</f>
        <v>4029/4030</v>
      </c>
      <c r="L13" s="43" t="str">
        <f>VLOOKUP(A13,'Trips&amp;Operators'!$C$1:$E$10000,3,FALSE)</f>
        <v>CANFIELD</v>
      </c>
      <c r="M13" s="11">
        <f t="shared" ref="M13:M44" si="0">I13-F13</f>
        <v>3.0081018514465541E-2</v>
      </c>
      <c r="N13" s="12">
        <f t="shared" ref="N13:P75" si="1">24*60*SUM($M13:$M13)</f>
        <v>43.316666660830379</v>
      </c>
      <c r="O13" s="12"/>
      <c r="P13" s="12"/>
      <c r="Q13" s="44"/>
      <c r="R13" s="44"/>
      <c r="S13" s="70">
        <f>SUM(U13:U13)/12</f>
        <v>1</v>
      </c>
      <c r="T13" s="2" t="str">
        <f t="shared" ref="T13:T14" si="2">IF(ISEVEN(LEFT(A13,3)),"Southbound","NorthBound")</f>
        <v>NorthBound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14" si="3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https://search-rtdc-monitor-bjffxe2xuh6vdkpspy63sjmuny.us-east-1.es.amazonaws.com/_plugin/kibana/#/discover/Steve-Slow-Train-Analysis-(2080s-and-2083s)?_g=(refreshInterval:(display:Off,section:0,value:0),time:(from:'2016-06-27 03:07:17-0600',mode:absolute,to:'2016-06-27 03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" s="48" t="str">
        <f t="shared" ref="W13:W14" si="4">IF(AA13&lt;23,"Y","N")</f>
        <v>N</v>
      </c>
      <c r="X13" s="48" t="e">
        <f t="shared" ref="X13:X14" si="5">VALUE(LEFT(A13,3))-VALUE(LEFT(A12,3))</f>
        <v>#VALUE!</v>
      </c>
      <c r="Y13" s="48">
        <f t="shared" ref="Y13:Y14" si="6">RIGHT(D13,LEN(D13)-4)/10000</f>
        <v>7.8299999999999995E-2</v>
      </c>
      <c r="Z13" s="48">
        <f>RIGHT(H13,LEN(H13)-4)/10000</f>
        <v>23.3293</v>
      </c>
      <c r="AA13" s="48">
        <f t="shared" ref="AA13:AA14" si="7">ABS(Z13-Y13)</f>
        <v>23.251000000000001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79" t="s">
        <v>339</v>
      </c>
      <c r="B14" s="43">
        <v>4028</v>
      </c>
      <c r="C14" s="43" t="s">
        <v>60</v>
      </c>
      <c r="D14" s="43" t="s">
        <v>340</v>
      </c>
      <c r="E14" s="25">
        <v>42548.169710648152</v>
      </c>
      <c r="F14" s="25">
        <v>42548.170902777776</v>
      </c>
      <c r="G14" s="31">
        <v>1</v>
      </c>
      <c r="H14" s="25" t="s">
        <v>75</v>
      </c>
      <c r="I14" s="25">
        <v>42548.201550925929</v>
      </c>
      <c r="J14" s="43">
        <v>0</v>
      </c>
      <c r="K14" s="43" t="str">
        <f t="shared" ref="K14:K76" si="8">IF(ISEVEN(B14),(B14-1)&amp;"/"&amp;B14,B14&amp;"/"&amp;(B14+1))</f>
        <v>4027/4028</v>
      </c>
      <c r="L14" s="43" t="str">
        <f>VLOOKUP(A14,'Trips&amp;Operators'!$C$1:$E$10000,3,FALSE)</f>
        <v>CANFIELD</v>
      </c>
      <c r="M14" s="11">
        <f t="shared" si="0"/>
        <v>3.0648148152977228E-2</v>
      </c>
      <c r="N14" s="12">
        <f t="shared" si="1"/>
        <v>44.133333340287209</v>
      </c>
      <c r="O14" s="12"/>
      <c r="P14" s="12"/>
      <c r="Q14" s="44"/>
      <c r="R14" s="44"/>
      <c r="S14" s="70">
        <f t="shared" ref="S14" si="9">SUM(U14:U14)/12</f>
        <v>1</v>
      </c>
      <c r="T14" s="2" t="str">
        <f t="shared" si="2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3"/>
        <v>https://search-rtdc-monitor-bjffxe2xuh6vdkpspy63sjmuny.us-east-1.es.amazonaws.com/_plugin/kibana/#/discover/Steve-Slow-Train-Analysis-(2080s-and-2083s)?_g=(refreshInterval:(display:Off,section:0,value:0),time:(from:'2016-06-27 04:03:23-0600',mode:absolute,to:'2016-06-27 04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48" t="str">
        <f t="shared" si="4"/>
        <v>N</v>
      </c>
      <c r="X14" s="48">
        <f t="shared" si="5"/>
        <v>1</v>
      </c>
      <c r="Y14" s="48">
        <f t="shared" si="6"/>
        <v>23.264800000000001</v>
      </c>
      <c r="Z14" s="48">
        <f t="shared" ref="Z14" si="10">RIGHT(H14,LEN(H14)-4)/10000</f>
        <v>1.49E-2</v>
      </c>
      <c r="AA14" s="48">
        <f t="shared" si="7"/>
        <v>23.2499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79" t="s">
        <v>341</v>
      </c>
      <c r="B15" s="43">
        <v>4031</v>
      </c>
      <c r="C15" s="43" t="s">
        <v>60</v>
      </c>
      <c r="D15" s="43" t="s">
        <v>342</v>
      </c>
      <c r="E15" s="25">
        <v>42548.150682870371</v>
      </c>
      <c r="F15" s="25">
        <v>42548.152094907404</v>
      </c>
      <c r="G15" s="31">
        <v>2</v>
      </c>
      <c r="H15" s="25" t="s">
        <v>343</v>
      </c>
      <c r="I15" s="25">
        <v>42548.183321759258</v>
      </c>
      <c r="J15" s="43">
        <v>0</v>
      </c>
      <c r="K15" s="43" t="str">
        <f t="shared" si="8"/>
        <v>4031/4032</v>
      </c>
      <c r="L15" s="43" t="str">
        <f>VLOOKUP(A15,'Trips&amp;Operators'!$C$1:$E$10000,3,FALSE)</f>
        <v>STURGEON</v>
      </c>
      <c r="M15" s="11">
        <f t="shared" si="0"/>
        <v>3.1226851853716653E-2</v>
      </c>
      <c r="N15" s="12">
        <f t="shared" si="1"/>
        <v>44.96666666935198</v>
      </c>
      <c r="O15" s="12"/>
      <c r="P15" s="12"/>
      <c r="Q15" s="44"/>
      <c r="R15" s="44"/>
      <c r="S15" s="70">
        <f t="shared" ref="S15:S77" si="11">SUM(U15:U15)/12</f>
        <v>1</v>
      </c>
      <c r="T15" s="2" t="str">
        <f t="shared" ref="T15:T77" si="12">IF(ISEVEN(LEFT(A15,3)),"Southbound","NorthBound")</f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ref="V15:V77" si="13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https://search-rtdc-monitor-bjffxe2xuh6vdkpspy63sjmuny.us-east-1.es.amazonaws.com/_plugin/kibana/#/discover/Steve-Slow-Train-Analysis-(2080s-and-2083s)?_g=(refreshInterval:(display:Off,section:0,value:0),time:(from:'2016-06-27 03:35:59-0600',mode:absolute,to:'2016-06-27 04:24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48" t="str">
        <f t="shared" ref="W15:W77" si="14">IF(AA15&lt;23,"Y","N")</f>
        <v>N</v>
      </c>
      <c r="X15" s="48">
        <f t="shared" ref="X15:X77" si="15">VALUE(LEFT(A15,3))-VALUE(LEFT(A14,3))</f>
        <v>1</v>
      </c>
      <c r="Y15" s="48">
        <f t="shared" ref="Y15:Y77" si="16">RIGHT(D15,LEN(D15)-4)/10000</f>
        <v>7.5700000000000003E-2</v>
      </c>
      <c r="Z15" s="48">
        <f t="shared" ref="Z15:Z77" si="17">RIGHT(H15,LEN(H15)-4)/10000</f>
        <v>23.327999999999999</v>
      </c>
      <c r="AA15" s="48">
        <f t="shared" ref="AA15:AA77" si="18">ABS(Z15-Y15)</f>
        <v>23.252299999999998</v>
      </c>
      <c r="AB15" s="49" t="e">
        <f>VLOOKUP(A15,Enforcements!$C$7:$J$32,8,0)</f>
        <v>#N/A</v>
      </c>
      <c r="AC15" s="49" t="e">
        <f>VLOOKUP(A15,Enforcements!$C$7:$E$32,3,0)</f>
        <v>#N/A</v>
      </c>
    </row>
    <row r="16" spans="1:91" s="2" customFormat="1" x14ac:dyDescent="0.25">
      <c r="A16" s="79" t="s">
        <v>344</v>
      </c>
      <c r="B16" s="43">
        <v>4008</v>
      </c>
      <c r="C16" s="43" t="s">
        <v>60</v>
      </c>
      <c r="D16" s="43" t="s">
        <v>345</v>
      </c>
      <c r="E16" s="25">
        <v>42548.19127314815</v>
      </c>
      <c r="F16" s="25">
        <v>42548.19263888889</v>
      </c>
      <c r="G16" s="31">
        <v>1</v>
      </c>
      <c r="H16" s="25" t="s">
        <v>74</v>
      </c>
      <c r="I16" s="25">
        <v>42548.222696759258</v>
      </c>
      <c r="J16" s="43">
        <v>0</v>
      </c>
      <c r="K16" s="43" t="str">
        <f t="shared" si="8"/>
        <v>4007/4008</v>
      </c>
      <c r="L16" s="43" t="str">
        <f>VLOOKUP(A16,'Trips&amp;Operators'!$C$1:$E$10000,3,FALSE)</f>
        <v>STURGEON</v>
      </c>
      <c r="M16" s="11">
        <f t="shared" si="0"/>
        <v>3.0057870368182193E-2</v>
      </c>
      <c r="N16" s="12">
        <f t="shared" si="1"/>
        <v>43.283333330182359</v>
      </c>
      <c r="O16" s="12"/>
      <c r="P16" s="12"/>
      <c r="Q16" s="44"/>
      <c r="R16" s="44"/>
      <c r="S16" s="70">
        <f t="shared" si="11"/>
        <v>1</v>
      </c>
      <c r="T16" s="2" t="str">
        <f t="shared" si="12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04:34:26-0600',mode:absolute,to:'2016-06-27 05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" s="48" t="str">
        <f t="shared" si="14"/>
        <v>N</v>
      </c>
      <c r="X16" s="48">
        <f t="shared" si="15"/>
        <v>1</v>
      </c>
      <c r="Y16" s="48">
        <f t="shared" si="16"/>
        <v>23.262699999999999</v>
      </c>
      <c r="Z16" s="48">
        <f t="shared" si="17"/>
        <v>1.41E-2</v>
      </c>
      <c r="AA16" s="48">
        <f t="shared" si="18"/>
        <v>23.2486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79" t="s">
        <v>253</v>
      </c>
      <c r="B17" s="43">
        <v>4024</v>
      </c>
      <c r="C17" s="43" t="s">
        <v>60</v>
      </c>
      <c r="D17" s="43" t="s">
        <v>346</v>
      </c>
      <c r="E17" s="25">
        <v>42548.170983796299</v>
      </c>
      <c r="F17" s="25">
        <v>42548.172233796293</v>
      </c>
      <c r="G17" s="31">
        <v>1</v>
      </c>
      <c r="H17" s="25" t="s">
        <v>215</v>
      </c>
      <c r="I17" s="25">
        <v>42548.201944444445</v>
      </c>
      <c r="J17" s="43">
        <v>1</v>
      </c>
      <c r="K17" s="43" t="str">
        <f t="shared" si="8"/>
        <v>4023/4024</v>
      </c>
      <c r="L17" s="43" t="str">
        <f>VLOOKUP(A17,'Trips&amp;Operators'!$C$1:$E$10000,3,FALSE)</f>
        <v>ROCHA</v>
      </c>
      <c r="M17" s="11">
        <f t="shared" si="0"/>
        <v>2.9710648152104113E-2</v>
      </c>
      <c r="N17" s="12">
        <f t="shared" si="1"/>
        <v>42.783333339029923</v>
      </c>
      <c r="O17" s="12"/>
      <c r="P17" s="12"/>
      <c r="Q17" s="44"/>
      <c r="R17" s="44"/>
      <c r="S17" s="70">
        <f t="shared" si="11"/>
        <v>1</v>
      </c>
      <c r="T17" s="2" t="str">
        <f t="shared" si="12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04:05:13-0600',mode:absolute,to:'2016-06-27 04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7" s="48" t="str">
        <f t="shared" si="14"/>
        <v>N</v>
      </c>
      <c r="X17" s="48">
        <f t="shared" si="15"/>
        <v>1</v>
      </c>
      <c r="Y17" s="48">
        <f t="shared" si="16"/>
        <v>7.6999999999999999E-2</v>
      </c>
      <c r="Z17" s="48">
        <f t="shared" si="17"/>
        <v>23.330300000000001</v>
      </c>
      <c r="AA17" s="48">
        <f t="shared" si="18"/>
        <v>23.253299999999999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79" t="s">
        <v>256</v>
      </c>
      <c r="B18" s="43">
        <v>4013</v>
      </c>
      <c r="C18" s="43" t="s">
        <v>60</v>
      </c>
      <c r="D18" s="43" t="s">
        <v>347</v>
      </c>
      <c r="E18" s="25">
        <v>42548.207905092589</v>
      </c>
      <c r="F18" s="25">
        <v>42548.209374999999</v>
      </c>
      <c r="G18" s="31">
        <v>2</v>
      </c>
      <c r="H18" s="25" t="s">
        <v>85</v>
      </c>
      <c r="I18" s="25">
        <v>42548.245034722226</v>
      </c>
      <c r="J18" s="43">
        <v>1</v>
      </c>
      <c r="K18" s="43" t="str">
        <f t="shared" si="8"/>
        <v>4013/4014</v>
      </c>
      <c r="L18" s="43" t="str">
        <f>VLOOKUP(A18,'Trips&amp;Operators'!$C$1:$E$10000,3,FALSE)</f>
        <v>ROCHA</v>
      </c>
      <c r="M18" s="11">
        <f t="shared" si="0"/>
        <v>3.5659722227137536E-2</v>
      </c>
      <c r="N18" s="12">
        <f t="shared" si="1"/>
        <v>51.350000007078052</v>
      </c>
      <c r="O18" s="12"/>
      <c r="P18" s="12"/>
      <c r="Q18" s="44"/>
      <c r="R18" s="44"/>
      <c r="S18" s="70">
        <f t="shared" si="11"/>
        <v>1</v>
      </c>
      <c r="T18" s="2" t="str">
        <f t="shared" si="12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04:58:23-0600',mode:absolute,to:'2016-06-27 05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8" s="48" t="str">
        <f t="shared" si="14"/>
        <v>N</v>
      </c>
      <c r="X18" s="48">
        <f t="shared" si="15"/>
        <v>1</v>
      </c>
      <c r="Y18" s="48">
        <f t="shared" si="16"/>
        <v>23.2654</v>
      </c>
      <c r="Z18" s="48">
        <f t="shared" si="17"/>
        <v>4.6399999999999997E-2</v>
      </c>
      <c r="AA18" s="48">
        <f t="shared" si="18"/>
        <v>23.219000000000001</v>
      </c>
      <c r="AB18" s="49" t="e">
        <f>VLOOKUP(A18,Enforcements!$C$7:$J$32,8,0)</f>
        <v>#N/A</v>
      </c>
      <c r="AC18" s="49" t="e">
        <f>VLOOKUP(A18,Enforcements!$C$7:$E$32,3,0)</f>
        <v>#N/A</v>
      </c>
    </row>
    <row r="19" spans="1:29" s="2" customFormat="1" x14ac:dyDescent="0.25">
      <c r="A19" s="79" t="s">
        <v>348</v>
      </c>
      <c r="B19" s="43">
        <v>4038</v>
      </c>
      <c r="C19" s="43" t="s">
        <v>60</v>
      </c>
      <c r="D19" s="43" t="s">
        <v>200</v>
      </c>
      <c r="E19" s="25">
        <v>42548.184050925927</v>
      </c>
      <c r="F19" s="25">
        <v>42548.18482638889</v>
      </c>
      <c r="G19" s="31">
        <v>1</v>
      </c>
      <c r="H19" s="25" t="s">
        <v>349</v>
      </c>
      <c r="I19" s="25">
        <v>42548.196828703702</v>
      </c>
      <c r="J19" s="43">
        <v>0</v>
      </c>
      <c r="K19" s="43" t="str">
        <f t="shared" si="8"/>
        <v>4037/4038</v>
      </c>
      <c r="L19" s="43" t="str">
        <f>VLOOKUP(A19,'Trips&amp;Operators'!$C$1:$E$10000,3,FALSE)</f>
        <v>YANAI</v>
      </c>
      <c r="M19" s="11">
        <f t="shared" si="0"/>
        <v>1.2002314811979886E-2</v>
      </c>
      <c r="N19" s="12"/>
      <c r="O19" s="12"/>
      <c r="P19" s="12">
        <f t="shared" si="1"/>
        <v>17.283333329251036</v>
      </c>
      <c r="Q19" s="44"/>
      <c r="R19" s="44" t="s">
        <v>565</v>
      </c>
      <c r="S19" s="70">
        <f t="shared" si="11"/>
        <v>0.66666666666666663</v>
      </c>
      <c r="T19" s="2" t="str">
        <f t="shared" si="12"/>
        <v>NorthBound</v>
      </c>
      <c r="U19" s="2">
        <f>COUNTIFS(Variables!$M$2:$M$19,IF(T19="NorthBound","&gt;=","&lt;=")&amp;Y19,Variables!$M$2:$M$19,IF(T19="NorthBound","&lt;=","&gt;=")&amp;Z19)</f>
        <v>8</v>
      </c>
      <c r="V1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04:24:02-0600',mode:absolute,to:'2016-06-27 04:44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48" t="str">
        <f t="shared" si="14"/>
        <v>Y</v>
      </c>
      <c r="X19" s="48">
        <f t="shared" si="15"/>
        <v>1</v>
      </c>
      <c r="Y19" s="48">
        <f t="shared" si="16"/>
        <v>4.6199999999999998E-2</v>
      </c>
      <c r="Z19" s="48">
        <f t="shared" si="17"/>
        <v>5.9786999999999999</v>
      </c>
      <c r="AA19" s="48">
        <f t="shared" si="18"/>
        <v>5.9325000000000001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79" t="s">
        <v>350</v>
      </c>
      <c r="B20" s="43">
        <v>4037</v>
      </c>
      <c r="C20" s="43" t="s">
        <v>60</v>
      </c>
      <c r="D20" s="43" t="s">
        <v>351</v>
      </c>
      <c r="E20" s="25">
        <v>42548.225706018522</v>
      </c>
      <c r="F20" s="25">
        <v>42548.226909722223</v>
      </c>
      <c r="G20" s="31">
        <v>1</v>
      </c>
      <c r="H20" s="25" t="s">
        <v>67</v>
      </c>
      <c r="I20" s="25">
        <v>42548.251909722225</v>
      </c>
      <c r="J20" s="43">
        <v>0</v>
      </c>
      <c r="K20" s="43" t="str">
        <f t="shared" si="8"/>
        <v>4037/4038</v>
      </c>
      <c r="L20" s="43" t="str">
        <f>VLOOKUP(A20,'Trips&amp;Operators'!$C$1:$E$10000,3,FALSE)</f>
        <v>YANAI</v>
      </c>
      <c r="M20" s="11">
        <f t="shared" si="0"/>
        <v>2.5000000001455192E-2</v>
      </c>
      <c r="N20" s="12">
        <f t="shared" si="1"/>
        <v>36.000000002095476</v>
      </c>
      <c r="O20" s="12"/>
      <c r="P20" s="12"/>
      <c r="Q20" s="44"/>
      <c r="R20" s="44"/>
      <c r="S20" s="70">
        <f t="shared" si="11"/>
        <v>1</v>
      </c>
      <c r="T20" s="2" t="str">
        <f t="shared" si="12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05:24:01-0600',mode:absolute,to:'2016-06-27 06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" s="48" t="str">
        <f t="shared" si="14"/>
        <v>N</v>
      </c>
      <c r="X20" s="48">
        <f t="shared" si="15"/>
        <v>1</v>
      </c>
      <c r="Y20" s="48">
        <f t="shared" si="16"/>
        <v>23.297899999999998</v>
      </c>
      <c r="Z20" s="48">
        <f t="shared" si="17"/>
        <v>1.47E-2</v>
      </c>
      <c r="AA20" s="48">
        <f t="shared" si="18"/>
        <v>23.283199999999997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79" t="s">
        <v>352</v>
      </c>
      <c r="B21" s="43">
        <v>4025</v>
      </c>
      <c r="C21" s="43" t="s">
        <v>60</v>
      </c>
      <c r="D21" s="43" t="s">
        <v>85</v>
      </c>
      <c r="E21" s="25">
        <v>42548.198622685188</v>
      </c>
      <c r="F21" s="25">
        <v>42548.199432870373</v>
      </c>
      <c r="G21" s="31">
        <v>1</v>
      </c>
      <c r="H21" s="25" t="s">
        <v>171</v>
      </c>
      <c r="I21" s="25">
        <v>42548.227326388886</v>
      </c>
      <c r="J21" s="43">
        <v>0</v>
      </c>
      <c r="K21" s="43" t="str">
        <f t="shared" si="8"/>
        <v>4025/4026</v>
      </c>
      <c r="L21" s="43" t="str">
        <f>VLOOKUP(A21,'Trips&amp;Operators'!$C$1:$E$10000,3,FALSE)</f>
        <v>SPECTOR</v>
      </c>
      <c r="M21" s="11">
        <f t="shared" si="0"/>
        <v>2.7893518512428273E-2</v>
      </c>
      <c r="N21" s="12">
        <f t="shared" si="1"/>
        <v>40.166666657896712</v>
      </c>
      <c r="O21" s="12"/>
      <c r="P21" s="12"/>
      <c r="Q21" s="44"/>
      <c r="R21" s="44"/>
      <c r="S21" s="70">
        <f t="shared" si="11"/>
        <v>1</v>
      </c>
      <c r="T21" s="2" t="str">
        <f t="shared" si="12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04:45:01-0600',mode:absolute,to:'2016-06-27 05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1" s="48" t="str">
        <f t="shared" si="14"/>
        <v>N</v>
      </c>
      <c r="X21" s="48">
        <f t="shared" si="15"/>
        <v>1</v>
      </c>
      <c r="Y21" s="48">
        <f t="shared" si="16"/>
        <v>4.6399999999999997E-2</v>
      </c>
      <c r="Z21" s="48">
        <f t="shared" si="17"/>
        <v>23.331399999999999</v>
      </c>
      <c r="AA21" s="48">
        <f t="shared" si="18"/>
        <v>23.285</v>
      </c>
      <c r="AB21" s="49" t="e">
        <f>VLOOKUP(A21,Enforcements!$C$7:$J$32,8,0)</f>
        <v>#N/A</v>
      </c>
      <c r="AC21" s="49" t="e">
        <f>VLOOKUP(A21,Enforcements!$C$7:$E$32,3,0)</f>
        <v>#N/A</v>
      </c>
    </row>
    <row r="22" spans="1:29" s="2" customFormat="1" x14ac:dyDescent="0.25">
      <c r="A22" s="79" t="s">
        <v>260</v>
      </c>
      <c r="B22" s="43">
        <v>4026</v>
      </c>
      <c r="C22" s="43" t="s">
        <v>60</v>
      </c>
      <c r="D22" s="43" t="s">
        <v>212</v>
      </c>
      <c r="E22" s="25">
        <v>42548.233842592592</v>
      </c>
      <c r="F22" s="25">
        <v>42548.2346412037</v>
      </c>
      <c r="G22" s="31">
        <v>1</v>
      </c>
      <c r="H22" s="25" t="s">
        <v>353</v>
      </c>
      <c r="I22" s="25">
        <v>42548.263506944444</v>
      </c>
      <c r="J22" s="43">
        <v>1</v>
      </c>
      <c r="K22" s="43" t="str">
        <f t="shared" si="8"/>
        <v>4025/4026</v>
      </c>
      <c r="L22" s="43" t="str">
        <f>VLOOKUP(A22,'Trips&amp;Operators'!$C$1:$E$10000,3,FALSE)</f>
        <v>SPECTOR</v>
      </c>
      <c r="M22" s="11">
        <f t="shared" si="0"/>
        <v>2.8865740743640345E-2</v>
      </c>
      <c r="N22" s="12">
        <f t="shared" si="1"/>
        <v>41.566666670842096</v>
      </c>
      <c r="O22" s="12"/>
      <c r="P22" s="12"/>
      <c r="Q22" s="44"/>
      <c r="R22" s="44"/>
      <c r="S22" s="70">
        <f t="shared" si="11"/>
        <v>1</v>
      </c>
      <c r="T22" s="2" t="str">
        <f t="shared" si="12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05:35:44-0600',mode:absolute,to:'2016-06-27 06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2" s="48" t="str">
        <f t="shared" si="14"/>
        <v>N</v>
      </c>
      <c r="X22" s="48">
        <f t="shared" si="15"/>
        <v>1</v>
      </c>
      <c r="Y22" s="48">
        <f t="shared" si="16"/>
        <v>23.3003</v>
      </c>
      <c r="Z22" s="48">
        <f t="shared" si="17"/>
        <v>1.78E-2</v>
      </c>
      <c r="AA22" s="48">
        <f t="shared" si="18"/>
        <v>23.282499999999999</v>
      </c>
      <c r="AB22" s="49" t="e">
        <f>VLOOKUP(A22,Enforcements!$C$7:$J$32,8,0)</f>
        <v>#N/A</v>
      </c>
      <c r="AC22" s="49" t="e">
        <f>VLOOKUP(A22,Enforcements!$C$7:$E$32,3,0)</f>
        <v>#N/A</v>
      </c>
    </row>
    <row r="23" spans="1:29" s="2" customFormat="1" x14ac:dyDescent="0.25">
      <c r="A23" s="79" t="s">
        <v>255</v>
      </c>
      <c r="B23" s="43">
        <v>4029</v>
      </c>
      <c r="C23" s="43" t="s">
        <v>60</v>
      </c>
      <c r="D23" s="43" t="s">
        <v>354</v>
      </c>
      <c r="E23" s="25">
        <v>42548.204282407409</v>
      </c>
      <c r="F23" s="25">
        <v>42548.205682870372</v>
      </c>
      <c r="G23" s="31">
        <v>2</v>
      </c>
      <c r="H23" s="25" t="s">
        <v>355</v>
      </c>
      <c r="I23" s="25">
        <v>42548.235254629632</v>
      </c>
      <c r="J23" s="43">
        <v>2</v>
      </c>
      <c r="K23" s="43" t="str">
        <f t="shared" si="8"/>
        <v>4029/4030</v>
      </c>
      <c r="L23" s="43" t="str">
        <f>VLOOKUP(A23,'Trips&amp;Operators'!$C$1:$E$10000,3,FALSE)</f>
        <v>MAELZER</v>
      </c>
      <c r="M23" s="11">
        <f t="shared" si="0"/>
        <v>2.9571759259852115E-2</v>
      </c>
      <c r="N23" s="12">
        <f t="shared" si="1"/>
        <v>42.583333334187046</v>
      </c>
      <c r="O23" s="12"/>
      <c r="P23" s="12"/>
      <c r="Q23" s="44"/>
      <c r="R23" s="44"/>
      <c r="S23" s="70">
        <f t="shared" si="11"/>
        <v>1</v>
      </c>
      <c r="T23" s="2" t="str">
        <f t="shared" si="12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3" s="48" t="str">
        <f t="shared" si="14"/>
        <v>N</v>
      </c>
      <c r="X23" s="48">
        <f t="shared" si="15"/>
        <v>1</v>
      </c>
      <c r="Y23" s="48">
        <f t="shared" si="16"/>
        <v>7.9200000000000007E-2</v>
      </c>
      <c r="Z23" s="48">
        <f t="shared" si="17"/>
        <v>23.3032</v>
      </c>
      <c r="AA23" s="48">
        <f t="shared" si="18"/>
        <v>23.224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79" t="s">
        <v>356</v>
      </c>
      <c r="B24" s="43">
        <v>4030</v>
      </c>
      <c r="C24" s="43" t="s">
        <v>60</v>
      </c>
      <c r="D24" s="43" t="s">
        <v>357</v>
      </c>
      <c r="E24" s="25">
        <v>42548.244409722225</v>
      </c>
      <c r="F24" s="25">
        <v>42548.245879629627</v>
      </c>
      <c r="G24" s="31">
        <v>2</v>
      </c>
      <c r="H24" s="25" t="s">
        <v>152</v>
      </c>
      <c r="I24" s="25">
        <v>42548.273356481484</v>
      </c>
      <c r="J24" s="43">
        <v>0</v>
      </c>
      <c r="K24" s="43" t="str">
        <f t="shared" si="8"/>
        <v>4029/4030</v>
      </c>
      <c r="L24" s="43" t="str">
        <f>VLOOKUP(A24,'Trips&amp;Operators'!$C$1:$E$10000,3,FALSE)</f>
        <v>MAELZER</v>
      </c>
      <c r="M24" s="11">
        <f t="shared" si="0"/>
        <v>2.7476851857500151E-2</v>
      </c>
      <c r="N24" s="12">
        <f t="shared" si="1"/>
        <v>39.566666674800217</v>
      </c>
      <c r="O24" s="12"/>
      <c r="P24" s="12"/>
      <c r="Q24" s="44"/>
      <c r="R24" s="44"/>
      <c r="S24" s="70">
        <f t="shared" si="11"/>
        <v>1</v>
      </c>
      <c r="T24" s="2" t="str">
        <f t="shared" si="12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05:50:57-0600',mode:absolute,to:'2016-06-27 06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4" s="48" t="str">
        <f t="shared" si="14"/>
        <v>N</v>
      </c>
      <c r="X24" s="48">
        <f t="shared" si="15"/>
        <v>1</v>
      </c>
      <c r="Y24" s="48">
        <f t="shared" si="16"/>
        <v>23.289100000000001</v>
      </c>
      <c r="Z24" s="48">
        <f t="shared" si="17"/>
        <v>1.3599999999999999E-2</v>
      </c>
      <c r="AA24" s="48">
        <f t="shared" si="18"/>
        <v>23.275500000000001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79" t="s">
        <v>358</v>
      </c>
      <c r="B25" s="43">
        <v>4027</v>
      </c>
      <c r="C25" s="43" t="s">
        <v>60</v>
      </c>
      <c r="D25" s="43" t="s">
        <v>96</v>
      </c>
      <c r="E25" s="25">
        <v>42548.210821759261</v>
      </c>
      <c r="F25" s="25">
        <v>42548.212256944447</v>
      </c>
      <c r="G25" s="31">
        <v>2</v>
      </c>
      <c r="H25" s="25" t="s">
        <v>359</v>
      </c>
      <c r="I25" s="25">
        <v>42548.244513888887</v>
      </c>
      <c r="J25" s="43">
        <v>0</v>
      </c>
      <c r="K25" s="43" t="str">
        <f t="shared" si="8"/>
        <v>4027/4028</v>
      </c>
      <c r="L25" s="43" t="str">
        <f>VLOOKUP(A25,'Trips&amp;Operators'!$C$1:$E$10000,3,FALSE)</f>
        <v>CANFIELD</v>
      </c>
      <c r="M25" s="11">
        <f t="shared" si="0"/>
        <v>3.2256944439723156E-2</v>
      </c>
      <c r="N25" s="12">
        <f t="shared" si="1"/>
        <v>46.449999993201345</v>
      </c>
      <c r="O25" s="12"/>
      <c r="P25" s="12"/>
      <c r="Q25" s="44"/>
      <c r="R25" s="44"/>
      <c r="S25" s="70">
        <f t="shared" si="11"/>
        <v>1</v>
      </c>
      <c r="T25" s="2" t="str">
        <f t="shared" si="12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05:02:35-0600',mode:absolute,to:'2016-06-27 05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48" t="str">
        <f t="shared" si="14"/>
        <v>N</v>
      </c>
      <c r="X25" s="48">
        <f t="shared" si="15"/>
        <v>1</v>
      </c>
      <c r="Y25" s="48">
        <f t="shared" si="16"/>
        <v>4.4699999999999997E-2</v>
      </c>
      <c r="Z25" s="48">
        <f t="shared" si="17"/>
        <v>23.329899999999999</v>
      </c>
      <c r="AA25" s="48">
        <f t="shared" si="18"/>
        <v>23.2852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79" t="s">
        <v>360</v>
      </c>
      <c r="B26" s="43">
        <v>4028</v>
      </c>
      <c r="C26" s="43" t="s">
        <v>60</v>
      </c>
      <c r="D26" s="43" t="s">
        <v>154</v>
      </c>
      <c r="E26" s="25">
        <v>42548.252118055556</v>
      </c>
      <c r="F26" s="25">
        <v>42548.252962962964</v>
      </c>
      <c r="G26" s="31">
        <v>1</v>
      </c>
      <c r="H26" s="25" t="s">
        <v>139</v>
      </c>
      <c r="I26" s="25">
        <v>42548.285000000003</v>
      </c>
      <c r="J26" s="43">
        <v>0</v>
      </c>
      <c r="K26" s="43" t="str">
        <f t="shared" si="8"/>
        <v>4027/4028</v>
      </c>
      <c r="L26" s="43" t="str">
        <f>VLOOKUP(A26,'Trips&amp;Operators'!$C$1:$E$10000,3,FALSE)</f>
        <v>CANFIELD</v>
      </c>
      <c r="M26" s="11">
        <f t="shared" si="0"/>
        <v>3.2037037039117422E-2</v>
      </c>
      <c r="N26" s="12">
        <f t="shared" si="1"/>
        <v>46.133333336329088</v>
      </c>
      <c r="O26" s="12"/>
      <c r="P26" s="12"/>
      <c r="Q26" s="44"/>
      <c r="R26" s="44"/>
      <c r="S26" s="70">
        <f t="shared" si="11"/>
        <v>1</v>
      </c>
      <c r="T26" s="2" t="str">
        <f t="shared" si="12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06:02:03-0600',mode:absolute,to:'2016-06-27 06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48" t="str">
        <f t="shared" si="14"/>
        <v>N</v>
      </c>
      <c r="X26" s="48">
        <f t="shared" si="15"/>
        <v>1</v>
      </c>
      <c r="Y26" s="48">
        <f t="shared" si="16"/>
        <v>23.298999999999999</v>
      </c>
      <c r="Z26" s="48">
        <f t="shared" si="17"/>
        <v>1.43E-2</v>
      </c>
      <c r="AA26" s="48">
        <f t="shared" si="18"/>
        <v>23.284700000000001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79" t="s">
        <v>259</v>
      </c>
      <c r="B27" s="43">
        <v>4031</v>
      </c>
      <c r="C27" s="43" t="s">
        <v>60</v>
      </c>
      <c r="D27" s="43" t="s">
        <v>361</v>
      </c>
      <c r="E27" s="25">
        <v>42548.22619212963</v>
      </c>
      <c r="F27" s="25">
        <v>42548.227719907409</v>
      </c>
      <c r="G27" s="31">
        <v>2</v>
      </c>
      <c r="H27" s="25" t="s">
        <v>98</v>
      </c>
      <c r="I27" s="25">
        <v>42548.25577546296</v>
      </c>
      <c r="J27" s="43">
        <v>2</v>
      </c>
      <c r="K27" s="43" t="str">
        <f t="shared" si="8"/>
        <v>4031/4032</v>
      </c>
      <c r="L27" s="43" t="str">
        <f>VLOOKUP(A27,'Trips&amp;Operators'!$C$1:$E$10000,3,FALSE)</f>
        <v>MALAVE</v>
      </c>
      <c r="M27" s="11">
        <f t="shared" si="0"/>
        <v>2.8055555550963618E-2</v>
      </c>
      <c r="N27" s="12">
        <f t="shared" si="1"/>
        <v>40.39999999338761</v>
      </c>
      <c r="O27" s="12"/>
      <c r="P27" s="12"/>
      <c r="Q27" s="44"/>
      <c r="R27" s="44"/>
      <c r="S27" s="70">
        <f t="shared" si="11"/>
        <v>1</v>
      </c>
      <c r="T27" s="2" t="str">
        <f t="shared" si="12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7" s="48" t="str">
        <f t="shared" si="14"/>
        <v>N</v>
      </c>
      <c r="X27" s="48">
        <f t="shared" si="15"/>
        <v>1</v>
      </c>
      <c r="Y27" s="48">
        <f t="shared" si="16"/>
        <v>7.4099999999999999E-2</v>
      </c>
      <c r="Z27" s="48">
        <f t="shared" si="17"/>
        <v>23.329699999999999</v>
      </c>
      <c r="AA27" s="48">
        <f t="shared" si="18"/>
        <v>23.255599999999998</v>
      </c>
      <c r="AB27" s="49">
        <f>VLOOKUP(A27,Enforcements!$C$7:$J$32,8,0)</f>
        <v>230436</v>
      </c>
      <c r="AC27" s="49" t="str">
        <f>VLOOKUP(A27,Enforcements!$C$7:$E$32,3,0)</f>
        <v>PERMANENT SPEED RESTRICTION</v>
      </c>
    </row>
    <row r="28" spans="1:29" s="2" customFormat="1" x14ac:dyDescent="0.25">
      <c r="A28" s="79" t="s">
        <v>265</v>
      </c>
      <c r="B28" s="43">
        <v>4032</v>
      </c>
      <c r="C28" s="43" t="s">
        <v>60</v>
      </c>
      <c r="D28" s="43" t="s">
        <v>138</v>
      </c>
      <c r="E28" s="25">
        <v>42548.261099537034</v>
      </c>
      <c r="F28" s="25">
        <v>42548.266423611109</v>
      </c>
      <c r="G28" s="31">
        <v>7</v>
      </c>
      <c r="H28" s="25" t="s">
        <v>362</v>
      </c>
      <c r="I28" s="25">
        <v>42548.295104166667</v>
      </c>
      <c r="J28" s="43">
        <v>1</v>
      </c>
      <c r="K28" s="43" t="str">
        <f t="shared" si="8"/>
        <v>4031/4032</v>
      </c>
      <c r="L28" s="43" t="str">
        <f>VLOOKUP(A28,'Trips&amp;Operators'!$C$1:$E$10000,3,FALSE)</f>
        <v>MALAVE</v>
      </c>
      <c r="M28" s="11">
        <f t="shared" si="0"/>
        <v>2.8680555558821652E-2</v>
      </c>
      <c r="N28" s="12">
        <f t="shared" si="1"/>
        <v>41.300000004703179</v>
      </c>
      <c r="O28" s="12"/>
      <c r="P28" s="12"/>
      <c r="Q28" s="44"/>
      <c r="R28" s="44"/>
      <c r="S28" s="70">
        <f t="shared" si="11"/>
        <v>1</v>
      </c>
      <c r="T28" s="2" t="str">
        <f t="shared" si="12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06:14:59-0600',mode:absolute,to:'2016-06-27 07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8" s="48" t="str">
        <f t="shared" si="14"/>
        <v>N</v>
      </c>
      <c r="X28" s="48">
        <f t="shared" si="15"/>
        <v>1</v>
      </c>
      <c r="Y28" s="48">
        <f t="shared" si="16"/>
        <v>23.2974</v>
      </c>
      <c r="Z28" s="48">
        <f t="shared" si="17"/>
        <v>2.3599999999999999E-2</v>
      </c>
      <c r="AA28" s="48">
        <f t="shared" si="18"/>
        <v>23.273800000000001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79" t="s">
        <v>363</v>
      </c>
      <c r="B29" s="43">
        <v>4007</v>
      </c>
      <c r="C29" s="43" t="s">
        <v>60</v>
      </c>
      <c r="D29" s="43" t="s">
        <v>81</v>
      </c>
      <c r="E29" s="25">
        <v>42548.232870370368</v>
      </c>
      <c r="F29" s="25">
        <v>42548.234027777777</v>
      </c>
      <c r="G29" s="31">
        <v>1</v>
      </c>
      <c r="H29" s="25" t="s">
        <v>359</v>
      </c>
      <c r="I29" s="25">
        <v>42548.266527777778</v>
      </c>
      <c r="J29" s="43">
        <v>0</v>
      </c>
      <c r="K29" s="43" t="str">
        <f t="shared" si="8"/>
        <v>4007/4008</v>
      </c>
      <c r="L29" s="43" t="str">
        <f>VLOOKUP(A29,'Trips&amp;Operators'!$C$1:$E$10000,3,FALSE)</f>
        <v>KILLION</v>
      </c>
      <c r="M29" s="11">
        <f t="shared" si="0"/>
        <v>3.2500000001164153E-2</v>
      </c>
      <c r="N29" s="12">
        <f t="shared" si="1"/>
        <v>46.800000001676381</v>
      </c>
      <c r="O29" s="12"/>
      <c r="P29" s="12"/>
      <c r="Q29" s="44"/>
      <c r="R29" s="44"/>
      <c r="S29" s="70">
        <f t="shared" si="11"/>
        <v>1</v>
      </c>
      <c r="T29" s="2" t="str">
        <f t="shared" si="12"/>
        <v>NorthBound</v>
      </c>
      <c r="U29" s="2">
        <f>COUNTIFS(Variables!$M$2:$M$19,IF(T29="NorthBound","&gt;=","&lt;=")&amp;Y29,Variables!$M$2:$M$19,IF(T29="NorthBound","&lt;=","&gt;=")&amp;Z29)</f>
        <v>12</v>
      </c>
      <c r="V2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05:34:20-0600',mode:absolute,to:'2016-06-27 06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9" s="48" t="str">
        <f t="shared" si="14"/>
        <v>N</v>
      </c>
      <c r="X29" s="48">
        <f t="shared" si="15"/>
        <v>1</v>
      </c>
      <c r="Y29" s="48">
        <f t="shared" si="16"/>
        <v>4.58E-2</v>
      </c>
      <c r="Z29" s="48">
        <f t="shared" si="17"/>
        <v>23.329899999999999</v>
      </c>
      <c r="AA29" s="48">
        <f t="shared" si="18"/>
        <v>23.284099999999999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79" t="s">
        <v>364</v>
      </c>
      <c r="B30" s="43">
        <v>4008</v>
      </c>
      <c r="C30" s="43" t="s">
        <v>60</v>
      </c>
      <c r="D30" s="43" t="s">
        <v>109</v>
      </c>
      <c r="E30" s="25">
        <v>42548.272916666669</v>
      </c>
      <c r="F30" s="25">
        <v>42548.274189814816</v>
      </c>
      <c r="G30" s="31">
        <v>1</v>
      </c>
      <c r="H30" s="25" t="s">
        <v>365</v>
      </c>
      <c r="I30" s="25">
        <v>42548.306643518517</v>
      </c>
      <c r="J30" s="43">
        <v>0</v>
      </c>
      <c r="K30" s="43" t="str">
        <f t="shared" si="8"/>
        <v>4007/4008</v>
      </c>
      <c r="L30" s="43" t="str">
        <f>VLOOKUP(A30,'Trips&amp;Operators'!$C$1:$E$10000,3,FALSE)</f>
        <v>KILLION</v>
      </c>
      <c r="M30" s="11">
        <f t="shared" si="0"/>
        <v>3.2453703701321501E-2</v>
      </c>
      <c r="N30" s="12">
        <f t="shared" si="1"/>
        <v>46.733333329902962</v>
      </c>
      <c r="O30" s="12"/>
      <c r="P30" s="12"/>
      <c r="Q30" s="44"/>
      <c r="R30" s="44"/>
      <c r="S30" s="70">
        <f t="shared" si="11"/>
        <v>1</v>
      </c>
      <c r="T30" s="2" t="str">
        <f t="shared" si="12"/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06:32:00-0600',mode:absolute,to:'2016-06-27 07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0" s="48" t="str">
        <f t="shared" si="14"/>
        <v>N</v>
      </c>
      <c r="X30" s="48">
        <f t="shared" si="15"/>
        <v>1</v>
      </c>
      <c r="Y30" s="48">
        <f t="shared" si="16"/>
        <v>23.2986</v>
      </c>
      <c r="Z30" s="48">
        <f t="shared" si="17"/>
        <v>3.49E-2</v>
      </c>
      <c r="AA30" s="48">
        <f t="shared" si="18"/>
        <v>23.2637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79" t="s">
        <v>263</v>
      </c>
      <c r="B31" s="43">
        <v>4024</v>
      </c>
      <c r="C31" s="43" t="s">
        <v>60</v>
      </c>
      <c r="D31" s="43" t="s">
        <v>346</v>
      </c>
      <c r="E31" s="25">
        <v>42548.249027777776</v>
      </c>
      <c r="F31" s="25">
        <v>42548.249710648146</v>
      </c>
      <c r="G31" s="31">
        <v>0</v>
      </c>
      <c r="H31" s="25" t="s">
        <v>171</v>
      </c>
      <c r="I31" s="25">
        <v>42548.276712962965</v>
      </c>
      <c r="J31" s="43">
        <v>2</v>
      </c>
      <c r="K31" s="43" t="str">
        <f t="shared" si="8"/>
        <v>4023/4024</v>
      </c>
      <c r="L31" s="43" t="str">
        <f>VLOOKUP(A31,'Trips&amp;Operators'!$C$1:$E$10000,3,FALSE)</f>
        <v>ROCHA</v>
      </c>
      <c r="M31" s="11">
        <f t="shared" si="0"/>
        <v>2.7002314818673767E-2</v>
      </c>
      <c r="N31" s="12">
        <f t="shared" si="1"/>
        <v>38.883333338890225</v>
      </c>
      <c r="O31" s="12"/>
      <c r="P31" s="12"/>
      <c r="Q31" s="44"/>
      <c r="R31" s="44"/>
      <c r="S31" s="70">
        <f t="shared" si="11"/>
        <v>1</v>
      </c>
      <c r="T31" s="2" t="str">
        <f t="shared" si="12"/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1" s="48" t="str">
        <f t="shared" si="14"/>
        <v>N</v>
      </c>
      <c r="X31" s="48">
        <f t="shared" si="15"/>
        <v>1</v>
      </c>
      <c r="Y31" s="48">
        <f t="shared" si="16"/>
        <v>7.6999999999999999E-2</v>
      </c>
      <c r="Z31" s="48">
        <f t="shared" si="17"/>
        <v>23.331399999999999</v>
      </c>
      <c r="AA31" s="48">
        <f t="shared" si="18"/>
        <v>23.254399999999997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79" t="s">
        <v>268</v>
      </c>
      <c r="B32" s="43">
        <v>4023</v>
      </c>
      <c r="C32" s="43" t="s">
        <v>60</v>
      </c>
      <c r="D32" s="43" t="s">
        <v>174</v>
      </c>
      <c r="E32" s="25">
        <v>42548.288680555554</v>
      </c>
      <c r="F32" s="25">
        <v>42548.289664351854</v>
      </c>
      <c r="G32" s="31">
        <v>1</v>
      </c>
      <c r="H32" s="25" t="s">
        <v>179</v>
      </c>
      <c r="I32" s="25">
        <v>42548.31521990741</v>
      </c>
      <c r="J32" s="43">
        <v>1</v>
      </c>
      <c r="K32" s="43" t="str">
        <f t="shared" si="8"/>
        <v>4023/4024</v>
      </c>
      <c r="L32" s="43" t="str">
        <f>VLOOKUP(A32,'Trips&amp;Operators'!$C$1:$E$10000,3,FALSE)</f>
        <v>ROCHA</v>
      </c>
      <c r="M32" s="11">
        <f t="shared" si="0"/>
        <v>2.5555555555911269E-2</v>
      </c>
      <c r="N32" s="12">
        <f t="shared" si="1"/>
        <v>36.800000000512227</v>
      </c>
      <c r="O32" s="12"/>
      <c r="P32" s="12"/>
      <c r="Q32" s="44"/>
      <c r="R32" s="44"/>
      <c r="S32" s="70">
        <f t="shared" si="11"/>
        <v>1</v>
      </c>
      <c r="T32" s="2" t="str">
        <f t="shared" si="12"/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06:54:42-0600',mode:absolute,to:'2016-06-27 07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2" s="48" t="str">
        <f t="shared" si="14"/>
        <v>N</v>
      </c>
      <c r="X32" s="48">
        <f t="shared" si="15"/>
        <v>1</v>
      </c>
      <c r="Y32" s="48">
        <f t="shared" si="16"/>
        <v>23.299299999999999</v>
      </c>
      <c r="Z32" s="48">
        <f t="shared" si="17"/>
        <v>1.54E-2</v>
      </c>
      <c r="AA32" s="48">
        <f t="shared" si="18"/>
        <v>23.283899999999999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79" t="s">
        <v>366</v>
      </c>
      <c r="B33" s="43">
        <v>4038</v>
      </c>
      <c r="C33" s="43" t="s">
        <v>60</v>
      </c>
      <c r="D33" s="43" t="s">
        <v>104</v>
      </c>
      <c r="E33" s="25">
        <v>42548.257002314815</v>
      </c>
      <c r="F33" s="25">
        <v>42548.258020833331</v>
      </c>
      <c r="G33" s="31">
        <v>1</v>
      </c>
      <c r="H33" s="25" t="s">
        <v>220</v>
      </c>
      <c r="I33" s="25">
        <v>42548.285081018519</v>
      </c>
      <c r="J33" s="43">
        <v>0</v>
      </c>
      <c r="K33" s="43" t="str">
        <f t="shared" si="8"/>
        <v>4037/4038</v>
      </c>
      <c r="L33" s="43" t="str">
        <f>VLOOKUP(A33,'Trips&amp;Operators'!$C$1:$E$10000,3,FALSE)</f>
        <v>YANAI</v>
      </c>
      <c r="M33" s="11">
        <f t="shared" si="0"/>
        <v>2.7060185188020114E-2</v>
      </c>
      <c r="N33" s="12">
        <f t="shared" si="1"/>
        <v>38.966666670748964</v>
      </c>
      <c r="O33" s="12"/>
      <c r="P33" s="12"/>
      <c r="Q33" s="44"/>
      <c r="R33" s="44"/>
      <c r="S33" s="70">
        <f t="shared" si="11"/>
        <v>1</v>
      </c>
      <c r="T33" s="2" t="str">
        <f t="shared" si="12"/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06:09:05-0600',mode:absolute,to:'2016-06-27 06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3" s="48" t="str">
        <f t="shared" si="14"/>
        <v>N</v>
      </c>
      <c r="X33" s="48">
        <f t="shared" si="15"/>
        <v>1</v>
      </c>
      <c r="Y33" s="48">
        <f t="shared" si="16"/>
        <v>4.6699999999999998E-2</v>
      </c>
      <c r="Z33" s="48">
        <f t="shared" si="17"/>
        <v>23.330100000000002</v>
      </c>
      <c r="AA33" s="48">
        <f t="shared" si="18"/>
        <v>23.2834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79" t="s">
        <v>367</v>
      </c>
      <c r="B34" s="43">
        <v>4037</v>
      </c>
      <c r="C34" s="43" t="s">
        <v>60</v>
      </c>
      <c r="D34" s="43" t="s">
        <v>128</v>
      </c>
      <c r="E34" s="25">
        <v>42548.294571759259</v>
      </c>
      <c r="F34" s="25">
        <v>42548.295752314814</v>
      </c>
      <c r="G34" s="31">
        <v>1</v>
      </c>
      <c r="H34" s="25" t="s">
        <v>368</v>
      </c>
      <c r="I34" s="25">
        <v>42548.324525462966</v>
      </c>
      <c r="J34" s="43">
        <v>0</v>
      </c>
      <c r="K34" s="43" t="str">
        <f t="shared" si="8"/>
        <v>4037/4038</v>
      </c>
      <c r="L34" s="43" t="str">
        <f>VLOOKUP(A34,'Trips&amp;Operators'!$C$1:$E$10000,3,FALSE)</f>
        <v>YANAI</v>
      </c>
      <c r="M34" s="11">
        <f t="shared" si="0"/>
        <v>2.8773148151230998E-2</v>
      </c>
      <c r="N34" s="12">
        <f t="shared" si="1"/>
        <v>41.433333337772638</v>
      </c>
      <c r="O34" s="12"/>
      <c r="P34" s="12"/>
      <c r="Q34" s="44"/>
      <c r="R34" s="44"/>
      <c r="S34" s="70">
        <f t="shared" si="11"/>
        <v>1</v>
      </c>
      <c r="T34" s="2" t="str">
        <f t="shared" si="12"/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07:03:11-0600',mode:absolute,to:'2016-06-27 07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4" s="48" t="str">
        <f t="shared" si="14"/>
        <v>Y</v>
      </c>
      <c r="X34" s="48">
        <f t="shared" si="15"/>
        <v>1</v>
      </c>
      <c r="Y34" s="48">
        <f t="shared" si="16"/>
        <v>23.298200000000001</v>
      </c>
      <c r="Z34" s="48">
        <f t="shared" si="17"/>
        <v>0.37580000000000002</v>
      </c>
      <c r="AA34" s="48">
        <f t="shared" si="18"/>
        <v>22.9224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79" t="s">
        <v>369</v>
      </c>
      <c r="B35" s="43">
        <v>4025</v>
      </c>
      <c r="C35" s="43" t="s">
        <v>60</v>
      </c>
      <c r="D35" s="43" t="s">
        <v>140</v>
      </c>
      <c r="E35" s="25">
        <v>42548.266134259262</v>
      </c>
      <c r="F35" s="25">
        <v>42548.267175925925</v>
      </c>
      <c r="G35" s="31">
        <v>1</v>
      </c>
      <c r="H35" s="25" t="s">
        <v>95</v>
      </c>
      <c r="I35" s="25">
        <v>42548.297407407408</v>
      </c>
      <c r="J35" s="43">
        <v>0</v>
      </c>
      <c r="K35" s="43" t="str">
        <f t="shared" si="8"/>
        <v>4025/4026</v>
      </c>
      <c r="L35" s="43" t="str">
        <f>VLOOKUP(A35,'Trips&amp;Operators'!$C$1:$E$10000,3,FALSE)</f>
        <v>SPECTOR</v>
      </c>
      <c r="M35" s="11">
        <f t="shared" si="0"/>
        <v>3.0231481483497191E-2</v>
      </c>
      <c r="N35" s="12">
        <f t="shared" si="1"/>
        <v>43.533333336235955</v>
      </c>
      <c r="O35" s="12"/>
      <c r="P35" s="12"/>
      <c r="Q35" s="44"/>
      <c r="R35" s="44"/>
      <c r="S35" s="70">
        <f t="shared" si="11"/>
        <v>1</v>
      </c>
      <c r="T35" s="2" t="str">
        <f t="shared" si="12"/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06:22:14-0600',mode:absolute,to:'2016-06-27 07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5" s="48" t="str">
        <f t="shared" si="14"/>
        <v>N</v>
      </c>
      <c r="X35" s="48">
        <f t="shared" si="15"/>
        <v>1</v>
      </c>
      <c r="Y35" s="48">
        <f t="shared" si="16"/>
        <v>4.7500000000000001E-2</v>
      </c>
      <c r="Z35" s="48">
        <f t="shared" si="17"/>
        <v>23.329499999999999</v>
      </c>
      <c r="AA35" s="48">
        <f t="shared" si="18"/>
        <v>23.282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79" t="s">
        <v>370</v>
      </c>
      <c r="B36" s="43">
        <v>4026</v>
      </c>
      <c r="C36" s="43" t="s">
        <v>60</v>
      </c>
      <c r="D36" s="43" t="s">
        <v>149</v>
      </c>
      <c r="E36" s="25">
        <v>42548.305439814816</v>
      </c>
      <c r="F36" s="25">
        <v>42548.306446759256</v>
      </c>
      <c r="G36" s="31">
        <v>1</v>
      </c>
      <c r="H36" s="25" t="s">
        <v>108</v>
      </c>
      <c r="I36" s="25">
        <v>42548.339525462965</v>
      </c>
      <c r="J36" s="43">
        <v>0</v>
      </c>
      <c r="K36" s="43" t="str">
        <f t="shared" si="8"/>
        <v>4025/4026</v>
      </c>
      <c r="L36" s="43" t="str">
        <f>VLOOKUP(A36,'Trips&amp;Operators'!$C$1:$E$10000,3,FALSE)</f>
        <v>SPECTOR</v>
      </c>
      <c r="M36" s="11">
        <f t="shared" si="0"/>
        <v>3.3078703709179536E-2</v>
      </c>
      <c r="N36" s="12">
        <f t="shared" si="1"/>
        <v>47.633333341218531</v>
      </c>
      <c r="O36" s="12"/>
      <c r="P36" s="12"/>
      <c r="Q36" s="44"/>
      <c r="R36" s="44"/>
      <c r="S36" s="70">
        <f t="shared" si="11"/>
        <v>1</v>
      </c>
      <c r="T36" s="2" t="str">
        <f t="shared" si="12"/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07:18:50-0600',mode:absolute,to:'2016-06-27 08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6" s="48" t="str">
        <f t="shared" si="14"/>
        <v>N</v>
      </c>
      <c r="X36" s="48">
        <f t="shared" si="15"/>
        <v>1</v>
      </c>
      <c r="Y36" s="48">
        <f t="shared" si="16"/>
        <v>23.298500000000001</v>
      </c>
      <c r="Z36" s="48">
        <f t="shared" si="17"/>
        <v>1.4999999999999999E-2</v>
      </c>
      <c r="AA36" s="48">
        <f t="shared" si="18"/>
        <v>23.2835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79" t="s">
        <v>371</v>
      </c>
      <c r="B37" s="43">
        <v>4029</v>
      </c>
      <c r="C37" s="43" t="s">
        <v>60</v>
      </c>
      <c r="D37" s="43" t="s">
        <v>155</v>
      </c>
      <c r="E37" s="25">
        <v>42548.279328703706</v>
      </c>
      <c r="F37" s="25">
        <v>42548.280370370368</v>
      </c>
      <c r="G37" s="31">
        <v>1</v>
      </c>
      <c r="H37" s="25" t="s">
        <v>172</v>
      </c>
      <c r="I37" s="25">
        <v>42548.306863425925</v>
      </c>
      <c r="J37" s="43">
        <v>0</v>
      </c>
      <c r="K37" s="43" t="str">
        <f t="shared" si="8"/>
        <v>4029/4030</v>
      </c>
      <c r="L37" s="43" t="str">
        <f>VLOOKUP(A37,'Trips&amp;Operators'!$C$1:$E$10000,3,FALSE)</f>
        <v>MAELZER</v>
      </c>
      <c r="M37" s="11">
        <f t="shared" si="0"/>
        <v>2.6493055556784384E-2</v>
      </c>
      <c r="N37" s="12">
        <f t="shared" si="1"/>
        <v>38.150000001769513</v>
      </c>
      <c r="O37" s="12"/>
      <c r="P37" s="12"/>
      <c r="Q37" s="44"/>
      <c r="R37" s="44"/>
      <c r="S37" s="70">
        <f t="shared" si="11"/>
        <v>1</v>
      </c>
      <c r="T37" s="2" t="str">
        <f t="shared" si="12"/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06:41:14-0600',mode:absolute,to:'2016-06-27 07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7" s="48" t="str">
        <f t="shared" si="14"/>
        <v>N</v>
      </c>
      <c r="X37" s="48">
        <f t="shared" si="15"/>
        <v>1</v>
      </c>
      <c r="Y37" s="48">
        <f t="shared" si="16"/>
        <v>4.5100000000000001E-2</v>
      </c>
      <c r="Z37" s="48">
        <f t="shared" si="17"/>
        <v>23.330500000000001</v>
      </c>
      <c r="AA37" s="48">
        <f t="shared" si="18"/>
        <v>23.285399999999999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79" t="s">
        <v>372</v>
      </c>
      <c r="B38" s="43">
        <v>4030</v>
      </c>
      <c r="C38" s="43" t="s">
        <v>60</v>
      </c>
      <c r="D38" s="43" t="s">
        <v>71</v>
      </c>
      <c r="E38" s="25">
        <v>42548.308020833334</v>
      </c>
      <c r="F38" s="25">
        <v>42548.308831018519</v>
      </c>
      <c r="G38" s="31">
        <v>1</v>
      </c>
      <c r="H38" s="25" t="s">
        <v>373</v>
      </c>
      <c r="I38" s="25">
        <v>42548.350312499999</v>
      </c>
      <c r="J38" s="43">
        <v>0</v>
      </c>
      <c r="K38" s="43" t="str">
        <f t="shared" si="8"/>
        <v>4029/4030</v>
      </c>
      <c r="L38" s="43" t="str">
        <f>VLOOKUP(A38,'Trips&amp;Operators'!$C$1:$E$10000,3,FALSE)</f>
        <v>MAELZER</v>
      </c>
      <c r="M38" s="11">
        <f t="shared" si="0"/>
        <v>4.1481481479422655E-2</v>
      </c>
      <c r="N38" s="12">
        <f t="shared" si="1"/>
        <v>59.733333330368623</v>
      </c>
      <c r="O38" s="12"/>
      <c r="P38" s="12"/>
      <c r="Q38" s="44"/>
      <c r="R38" s="44"/>
      <c r="S38" s="70">
        <f t="shared" si="11"/>
        <v>1</v>
      </c>
      <c r="T38" s="2" t="str">
        <f t="shared" si="12"/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07:22:33-0600',mode:absolute,to:'2016-06-27 08:25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8" s="48" t="str">
        <f t="shared" si="14"/>
        <v>N</v>
      </c>
      <c r="X38" s="48">
        <f t="shared" si="15"/>
        <v>1</v>
      </c>
      <c r="Y38" s="48">
        <f t="shared" si="16"/>
        <v>23.297699999999999</v>
      </c>
      <c r="Z38" s="48">
        <f t="shared" si="17"/>
        <v>3.8699999999999998E-2</v>
      </c>
      <c r="AA38" s="48">
        <f t="shared" si="18"/>
        <v>23.259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80" t="s">
        <v>267</v>
      </c>
      <c r="B39" s="43">
        <v>4014</v>
      </c>
      <c r="C39" s="43" t="s">
        <v>60</v>
      </c>
      <c r="D39" s="43" t="s">
        <v>374</v>
      </c>
      <c r="E39" s="25">
        <v>42548.29215277778</v>
      </c>
      <c r="F39" s="25">
        <v>42548.293298611112</v>
      </c>
      <c r="G39" s="31">
        <v>1</v>
      </c>
      <c r="H39" s="25" t="s">
        <v>148</v>
      </c>
      <c r="I39" s="25">
        <v>42548.320902777778</v>
      </c>
      <c r="J39" s="43">
        <v>1</v>
      </c>
      <c r="K39" s="43" t="str">
        <f t="shared" si="8"/>
        <v>4013/4014</v>
      </c>
      <c r="L39" s="43" t="str">
        <f>VLOOKUP(A39,'Trips&amp;Operators'!$C$1:$E$10000,3,FALSE)</f>
        <v>CANFIELD</v>
      </c>
      <c r="M39" s="11">
        <f t="shared" si="0"/>
        <v>2.7604166665696539E-2</v>
      </c>
      <c r="N39" s="12">
        <f t="shared" si="1"/>
        <v>39.749999998603016</v>
      </c>
      <c r="O39" s="12"/>
      <c r="P39" s="12"/>
      <c r="Q39" s="44"/>
      <c r="R39" s="44"/>
      <c r="S39" s="70">
        <f t="shared" si="11"/>
        <v>1</v>
      </c>
      <c r="T39" s="2" t="str">
        <f t="shared" si="12"/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06:59:42-0600',mode:absolute,to:'2016-06-27 07:43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9" s="48" t="str">
        <f t="shared" si="14"/>
        <v>N</v>
      </c>
      <c r="X39" s="48">
        <f t="shared" si="15"/>
        <v>1</v>
      </c>
      <c r="Y39" s="48">
        <f t="shared" si="16"/>
        <v>0.15010000000000001</v>
      </c>
      <c r="Z39" s="48">
        <f t="shared" si="17"/>
        <v>23.33</v>
      </c>
      <c r="AA39" s="48">
        <f t="shared" si="18"/>
        <v>23.1799</v>
      </c>
      <c r="AB39" s="49">
        <f>VLOOKUP(A39,Enforcements!$C$7:$J$32,8,0)</f>
        <v>153800</v>
      </c>
      <c r="AC39" s="49" t="str">
        <f>VLOOKUP(A39,Enforcements!$C$7:$E$32,3,0)</f>
        <v>GRADE CROSSING</v>
      </c>
    </row>
    <row r="40" spans="1:29" s="2" customFormat="1" x14ac:dyDescent="0.25">
      <c r="A40" s="79" t="s">
        <v>273</v>
      </c>
      <c r="B40" s="43">
        <v>4013</v>
      </c>
      <c r="C40" s="43" t="s">
        <v>60</v>
      </c>
      <c r="D40" s="43" t="s">
        <v>351</v>
      </c>
      <c r="E40" s="25">
        <v>42548.325196759259</v>
      </c>
      <c r="F40" s="25">
        <v>42548.326157407406</v>
      </c>
      <c r="G40" s="31">
        <v>1</v>
      </c>
      <c r="H40" s="25" t="s">
        <v>375</v>
      </c>
      <c r="I40" s="25">
        <v>42548.357430555552</v>
      </c>
      <c r="J40" s="43">
        <v>1</v>
      </c>
      <c r="K40" s="43" t="str">
        <f t="shared" si="8"/>
        <v>4013/4014</v>
      </c>
      <c r="L40" s="43" t="str">
        <f>VLOOKUP(A40,'Trips&amp;Operators'!$C$1:$E$10000,3,FALSE)</f>
        <v>CANFIELD</v>
      </c>
      <c r="M40" s="11">
        <f t="shared" si="0"/>
        <v>3.1273148146283347E-2</v>
      </c>
      <c r="N40" s="12">
        <f t="shared" si="1"/>
        <v>45.03333333064802</v>
      </c>
      <c r="O40" s="12"/>
      <c r="P40" s="12"/>
      <c r="Q40" s="44"/>
      <c r="R40" s="44"/>
      <c r="S40" s="70">
        <f t="shared" si="11"/>
        <v>1</v>
      </c>
      <c r="T40" s="2" t="str">
        <f t="shared" si="12"/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07:47:17-0600',mode:absolute,to:'2016-06-27 08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0" s="48" t="str">
        <f t="shared" si="14"/>
        <v>N</v>
      </c>
      <c r="X40" s="48">
        <f t="shared" si="15"/>
        <v>1</v>
      </c>
      <c r="Y40" s="48">
        <f t="shared" si="16"/>
        <v>23.297899999999998</v>
      </c>
      <c r="Z40" s="48">
        <f t="shared" si="17"/>
        <v>0.11749999999999999</v>
      </c>
      <c r="AA40" s="48">
        <f t="shared" si="18"/>
        <v>23.180399999999999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79" t="s">
        <v>269</v>
      </c>
      <c r="B41" s="43">
        <v>4031</v>
      </c>
      <c r="C41" s="43" t="s">
        <v>60</v>
      </c>
      <c r="D41" s="43" t="s">
        <v>376</v>
      </c>
      <c r="E41" s="25">
        <v>42548.301388888889</v>
      </c>
      <c r="F41" s="25">
        <v>42548.302569444444</v>
      </c>
      <c r="G41" s="31">
        <v>1</v>
      </c>
      <c r="H41" s="25" t="s">
        <v>243</v>
      </c>
      <c r="I41" s="25">
        <v>42548.327905092592</v>
      </c>
      <c r="J41" s="43">
        <v>1</v>
      </c>
      <c r="K41" s="43" t="str">
        <f t="shared" si="8"/>
        <v>4031/4032</v>
      </c>
      <c r="L41" s="43" t="str">
        <f>VLOOKUP(A41,'Trips&amp;Operators'!$C$1:$E$10000,3,FALSE)</f>
        <v>MALAVE</v>
      </c>
      <c r="M41" s="11">
        <f t="shared" si="0"/>
        <v>2.5335648148029577E-2</v>
      </c>
      <c r="N41" s="12">
        <f t="shared" si="1"/>
        <v>36.483333333162591</v>
      </c>
      <c r="O41" s="12"/>
      <c r="P41" s="12"/>
      <c r="Q41" s="44"/>
      <c r="R41" s="44"/>
      <c r="S41" s="70">
        <f t="shared" si="11"/>
        <v>1</v>
      </c>
      <c r="T41" s="2" t="str">
        <f t="shared" si="12"/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07:13:00-0600',mode:absolute,to:'2016-06-27 07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1" s="48" t="str">
        <f t="shared" si="14"/>
        <v>N</v>
      </c>
      <c r="X41" s="48">
        <f t="shared" si="15"/>
        <v>1</v>
      </c>
      <c r="Y41" s="48">
        <f t="shared" si="16"/>
        <v>5.5300000000000002E-2</v>
      </c>
      <c r="Z41" s="48">
        <f t="shared" si="17"/>
        <v>23.328600000000002</v>
      </c>
      <c r="AA41" s="48">
        <f t="shared" si="18"/>
        <v>23.273300000000003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79" t="s">
        <v>275</v>
      </c>
      <c r="B42" s="43">
        <v>4032</v>
      </c>
      <c r="C42" s="43" t="s">
        <v>60</v>
      </c>
      <c r="D42" s="43" t="s">
        <v>377</v>
      </c>
      <c r="E42" s="25">
        <v>42548.336793981478</v>
      </c>
      <c r="F42" s="25">
        <v>42548.337488425925</v>
      </c>
      <c r="G42" s="31">
        <v>1</v>
      </c>
      <c r="H42" s="25" t="s">
        <v>139</v>
      </c>
      <c r="I42" s="25">
        <v>42548.36824074074</v>
      </c>
      <c r="J42" s="43">
        <v>1</v>
      </c>
      <c r="K42" s="43" t="str">
        <f t="shared" si="8"/>
        <v>4031/4032</v>
      </c>
      <c r="L42" s="43" t="str">
        <f>VLOOKUP(A42,'Trips&amp;Operators'!$C$1:$E$10000,3,FALSE)</f>
        <v>MALAVE</v>
      </c>
      <c r="M42" s="11">
        <f t="shared" si="0"/>
        <v>3.0752314814890269E-2</v>
      </c>
      <c r="N42" s="12">
        <f t="shared" si="1"/>
        <v>44.283333333441988</v>
      </c>
      <c r="O42" s="12"/>
      <c r="P42" s="12"/>
      <c r="Q42" s="44"/>
      <c r="R42" s="44"/>
      <c r="S42" s="70">
        <f t="shared" si="11"/>
        <v>1</v>
      </c>
      <c r="T42" s="2" t="str">
        <f t="shared" si="12"/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08:03:59-0600',mode:absolute,to:'2016-06-27 08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2" s="48" t="str">
        <f t="shared" si="14"/>
        <v>N</v>
      </c>
      <c r="X42" s="48">
        <f t="shared" si="15"/>
        <v>1</v>
      </c>
      <c r="Y42" s="48">
        <f t="shared" si="16"/>
        <v>23.2959</v>
      </c>
      <c r="Z42" s="48">
        <f t="shared" si="17"/>
        <v>1.43E-2</v>
      </c>
      <c r="AA42" s="48">
        <f t="shared" si="18"/>
        <v>23.281600000000001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79" t="s">
        <v>378</v>
      </c>
      <c r="B43" s="43">
        <v>4007</v>
      </c>
      <c r="C43" s="43" t="s">
        <v>60</v>
      </c>
      <c r="D43" s="43" t="s">
        <v>379</v>
      </c>
      <c r="E43" s="25">
        <v>42548.307916666665</v>
      </c>
      <c r="F43" s="25">
        <v>42548.308923611112</v>
      </c>
      <c r="G43" s="31">
        <v>1</v>
      </c>
      <c r="H43" s="25" t="s">
        <v>190</v>
      </c>
      <c r="I43" s="25">
        <v>42548.338784722226</v>
      </c>
      <c r="J43" s="43">
        <v>0</v>
      </c>
      <c r="K43" s="43" t="str">
        <f t="shared" si="8"/>
        <v>4007/4008</v>
      </c>
      <c r="L43" s="43" t="str">
        <f>VLOOKUP(A43,'Trips&amp;Operators'!$C$1:$E$10000,3,FALSE)</f>
        <v>KILLION</v>
      </c>
      <c r="M43" s="11">
        <f t="shared" si="0"/>
        <v>2.9861111113859806E-2</v>
      </c>
      <c r="N43" s="12">
        <f t="shared" si="1"/>
        <v>43.000000003958121</v>
      </c>
      <c r="O43" s="12"/>
      <c r="P43" s="12"/>
      <c r="Q43" s="44"/>
      <c r="R43" s="44"/>
      <c r="S43" s="70">
        <f t="shared" si="11"/>
        <v>1</v>
      </c>
      <c r="T43" s="2" t="str">
        <f t="shared" si="12"/>
        <v>NorthBound</v>
      </c>
      <c r="U43" s="2">
        <f>COUNTIFS(Variables!$M$2:$M$19,IF(T43="NorthBound","&gt;=","&lt;=")&amp;Y43,Variables!$M$2:$M$19,IF(T43="NorthBound","&lt;=","&gt;=")&amp;Z43)</f>
        <v>12</v>
      </c>
      <c r="V4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07:22:24-0600',mode:absolute,to:'2016-06-27 08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3" s="48" t="str">
        <f t="shared" si="14"/>
        <v>N</v>
      </c>
      <c r="X43" s="48">
        <f t="shared" si="15"/>
        <v>1</v>
      </c>
      <c r="Y43" s="48">
        <f t="shared" si="16"/>
        <v>6.5699999999999995E-2</v>
      </c>
      <c r="Z43" s="48">
        <f t="shared" si="17"/>
        <v>23.3278</v>
      </c>
      <c r="AA43" s="48">
        <f t="shared" si="18"/>
        <v>23.2621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79" t="s">
        <v>380</v>
      </c>
      <c r="B44" s="43">
        <v>4008</v>
      </c>
      <c r="C44" s="43" t="s">
        <v>60</v>
      </c>
      <c r="D44" s="43" t="s">
        <v>197</v>
      </c>
      <c r="E44" s="25">
        <v>42548.344988425924</v>
      </c>
      <c r="F44" s="25">
        <v>42548.346006944441</v>
      </c>
      <c r="G44" s="31">
        <v>1</v>
      </c>
      <c r="H44" s="25" t="s">
        <v>179</v>
      </c>
      <c r="I44" s="25">
        <v>42548.379814814813</v>
      </c>
      <c r="J44" s="43">
        <v>0</v>
      </c>
      <c r="K44" s="43" t="str">
        <f t="shared" si="8"/>
        <v>4007/4008</v>
      </c>
      <c r="L44" s="43" t="str">
        <f>VLOOKUP(A44,'Trips&amp;Operators'!$C$1:$E$10000,3,FALSE)</f>
        <v>KILLION</v>
      </c>
      <c r="M44" s="11">
        <f t="shared" si="0"/>
        <v>3.3807870371674653E-2</v>
      </c>
      <c r="N44" s="12">
        <f t="shared" si="1"/>
        <v>48.683333335211501</v>
      </c>
      <c r="O44" s="12"/>
      <c r="P44" s="12"/>
      <c r="Q44" s="44"/>
      <c r="R44" s="44"/>
      <c r="S44" s="70">
        <f t="shared" si="11"/>
        <v>1</v>
      </c>
      <c r="T44" s="2" t="str">
        <f t="shared" si="12"/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08:15:47-0600',mode:absolute,to:'2016-06-27 09:07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4" s="48" t="str">
        <f t="shared" si="14"/>
        <v>N</v>
      </c>
      <c r="X44" s="48">
        <f t="shared" si="15"/>
        <v>1</v>
      </c>
      <c r="Y44" s="48">
        <f t="shared" si="16"/>
        <v>23.295300000000001</v>
      </c>
      <c r="Z44" s="48">
        <f t="shared" si="17"/>
        <v>1.54E-2</v>
      </c>
      <c r="AA44" s="48">
        <f t="shared" si="18"/>
        <v>23.279900000000001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79" t="s">
        <v>270</v>
      </c>
      <c r="B45" s="43">
        <v>4024</v>
      </c>
      <c r="C45" s="43" t="s">
        <v>60</v>
      </c>
      <c r="D45" s="43" t="s">
        <v>200</v>
      </c>
      <c r="E45" s="25">
        <v>42548.321527777778</v>
      </c>
      <c r="F45" s="25">
        <v>42548.31753472222</v>
      </c>
      <c r="G45" s="31">
        <v>1</v>
      </c>
      <c r="H45" s="25" t="s">
        <v>382</v>
      </c>
      <c r="I45" s="25">
        <v>42548.347986111112</v>
      </c>
      <c r="J45" s="43">
        <v>2</v>
      </c>
      <c r="K45" s="43" t="str">
        <f t="shared" si="8"/>
        <v>4023/4024</v>
      </c>
      <c r="L45" s="43" t="str">
        <f>VLOOKUP(A45,'Trips&amp;Operators'!$C$1:$E$10000,3,FALSE)</f>
        <v>ROCHA</v>
      </c>
      <c r="M45" s="11">
        <f t="shared" ref="M45:M75" si="19">I45-F45</f>
        <v>3.0451388891378883E-2</v>
      </c>
      <c r="N45" s="12">
        <f t="shared" si="1"/>
        <v>43.850000003585592</v>
      </c>
      <c r="O45" s="12"/>
      <c r="P45" s="11"/>
      <c r="Q45" s="44"/>
      <c r="R45" s="44"/>
      <c r="S45" s="70">
        <f t="shared" si="11"/>
        <v>1</v>
      </c>
      <c r="T45" s="2" t="str">
        <f t="shared" si="12"/>
        <v>NorthBound</v>
      </c>
      <c r="U45" s="2">
        <f>COUNTIFS(Variables!$M$2:$M$19,IF(T45="NorthBound","&gt;=","&lt;=")&amp;Y45,Variables!$M$2:$M$19,IF(T45="NorthBound","&lt;=","&gt;=")&amp;Z45)</f>
        <v>12</v>
      </c>
      <c r="V4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5" s="48" t="str">
        <f t="shared" si="14"/>
        <v>N</v>
      </c>
      <c r="X45" s="48">
        <f t="shared" si="15"/>
        <v>1</v>
      </c>
      <c r="Y45" s="48">
        <f t="shared" si="16"/>
        <v>4.6199999999999998E-2</v>
      </c>
      <c r="Z45" s="48">
        <f t="shared" si="17"/>
        <v>23.305900000000001</v>
      </c>
      <c r="AA45" s="48">
        <f t="shared" si="18"/>
        <v>23.259700000000002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79" t="s">
        <v>278</v>
      </c>
      <c r="B46" s="43">
        <v>4023</v>
      </c>
      <c r="C46" s="43" t="s">
        <v>60</v>
      </c>
      <c r="D46" s="43" t="s">
        <v>383</v>
      </c>
      <c r="E46" s="25">
        <v>42548.360833333332</v>
      </c>
      <c r="F46" s="25">
        <v>42548.361689814818</v>
      </c>
      <c r="G46" s="31">
        <v>1</v>
      </c>
      <c r="H46" s="25" t="s">
        <v>384</v>
      </c>
      <c r="I46" s="25">
        <v>42548.392002314817</v>
      </c>
      <c r="J46" s="43">
        <v>5</v>
      </c>
      <c r="K46" s="43" t="str">
        <f t="shared" si="8"/>
        <v>4023/4024</v>
      </c>
      <c r="L46" s="43" t="str">
        <f>VLOOKUP(A46,'Trips&amp;Operators'!$C$1:$E$10000,3,FALSE)</f>
        <v>ROCHA</v>
      </c>
      <c r="M46" s="11">
        <f t="shared" si="19"/>
        <v>3.0312499999126885E-2</v>
      </c>
      <c r="N46" s="12">
        <f t="shared" si="1"/>
        <v>43.649999998742715</v>
      </c>
      <c r="O46" s="12"/>
      <c r="P46" s="12"/>
      <c r="Q46" s="44"/>
      <c r="R46" s="44"/>
      <c r="S46" s="70">
        <f t="shared" si="11"/>
        <v>1</v>
      </c>
      <c r="T46" s="2" t="str">
        <f t="shared" si="12"/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6" s="48" t="str">
        <f t="shared" si="14"/>
        <v>N</v>
      </c>
      <c r="X46" s="48">
        <f t="shared" si="15"/>
        <v>1</v>
      </c>
      <c r="Y46" s="48">
        <f t="shared" si="16"/>
        <v>23.273499999999999</v>
      </c>
      <c r="Z46" s="48">
        <v>0.01</v>
      </c>
      <c r="AA46" s="48">
        <f t="shared" si="18"/>
        <v>23.263499999999997</v>
      </c>
      <c r="AB46" s="49">
        <f>VLOOKUP(A46,Enforcements!$C$7:$J$32,8,0)</f>
        <v>63068</v>
      </c>
      <c r="AC46" s="49" t="str">
        <f>VLOOKUP(A46,Enforcements!$C$7:$E$32,3,0)</f>
        <v>GRADE CROSSING</v>
      </c>
    </row>
    <row r="47" spans="1:29" s="2" customFormat="1" x14ac:dyDescent="0.25">
      <c r="A47" s="79" t="s">
        <v>385</v>
      </c>
      <c r="B47" s="43">
        <v>4038</v>
      </c>
      <c r="C47" s="43" t="s">
        <v>60</v>
      </c>
      <c r="D47" s="43" t="s">
        <v>386</v>
      </c>
      <c r="E47" s="25">
        <v>42548.330358796295</v>
      </c>
      <c r="F47" s="25">
        <v>42548.331504629627</v>
      </c>
      <c r="G47" s="31">
        <v>1</v>
      </c>
      <c r="H47" s="25" t="s">
        <v>196</v>
      </c>
      <c r="I47" s="25">
        <v>42548.360879629632</v>
      </c>
      <c r="J47" s="43">
        <v>0</v>
      </c>
      <c r="K47" s="43" t="str">
        <f t="shared" si="8"/>
        <v>4037/4038</v>
      </c>
      <c r="L47" s="43" t="str">
        <f>VLOOKUP(A47,'Trips&amp;Operators'!$C$1:$E$10000,3,FALSE)</f>
        <v>YANAI</v>
      </c>
      <c r="M47" s="11">
        <f t="shared" si="19"/>
        <v>2.9375000005529728E-2</v>
      </c>
      <c r="N47" s="12">
        <f t="shared" si="1"/>
        <v>42.300000007962808</v>
      </c>
      <c r="O47" s="12"/>
      <c r="P47" s="12"/>
      <c r="Q47" s="44"/>
      <c r="R47" s="44"/>
      <c r="S47" s="70">
        <f t="shared" si="11"/>
        <v>1</v>
      </c>
      <c r="T47" s="2" t="str">
        <f t="shared" si="12"/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07:54:43-0600',mode:absolute,to:'2016-06-27 08:40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7" s="48" t="str">
        <f t="shared" si="14"/>
        <v>N</v>
      </c>
      <c r="X47" s="48">
        <f t="shared" si="15"/>
        <v>1</v>
      </c>
      <c r="Y47" s="48">
        <f t="shared" si="16"/>
        <v>6.5000000000000002E-2</v>
      </c>
      <c r="Z47" s="48">
        <f t="shared" si="17"/>
        <v>23.327400000000001</v>
      </c>
      <c r="AA47" s="48">
        <f t="shared" si="18"/>
        <v>23.2624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79" t="s">
        <v>387</v>
      </c>
      <c r="B48" s="43">
        <v>4037</v>
      </c>
      <c r="C48" s="43" t="s">
        <v>60</v>
      </c>
      <c r="D48" s="43" t="s">
        <v>388</v>
      </c>
      <c r="E48" s="25">
        <v>42548.368009259262</v>
      </c>
      <c r="F48" s="25">
        <v>42548.369085648148</v>
      </c>
      <c r="G48" s="31">
        <v>1</v>
      </c>
      <c r="H48" s="25" t="s">
        <v>61</v>
      </c>
      <c r="I48" s="25">
        <v>42548.398101851853</v>
      </c>
      <c r="J48" s="43">
        <v>0</v>
      </c>
      <c r="K48" s="43" t="str">
        <f t="shared" si="8"/>
        <v>4037/4038</v>
      </c>
      <c r="L48" s="43" t="str">
        <f>VLOOKUP(A48,'Trips&amp;Operators'!$C$1:$E$10000,3,FALSE)</f>
        <v>YANAI</v>
      </c>
      <c r="M48" s="11">
        <f t="shared" si="19"/>
        <v>2.9016203705396038E-2</v>
      </c>
      <c r="N48" s="12">
        <f t="shared" si="1"/>
        <v>41.783333335770294</v>
      </c>
      <c r="O48" s="12"/>
      <c r="P48" s="12"/>
      <c r="Q48" s="44"/>
      <c r="R48" s="44"/>
      <c r="S48" s="70">
        <f t="shared" si="11"/>
        <v>1</v>
      </c>
      <c r="T48" s="2" t="str">
        <f t="shared" si="12"/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08:48:56-0600',mode:absolute,to:'2016-06-27 09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8" s="48" t="str">
        <f t="shared" si="14"/>
        <v>N</v>
      </c>
      <c r="X48" s="48">
        <f t="shared" si="15"/>
        <v>1</v>
      </c>
      <c r="Y48" s="48">
        <f t="shared" si="16"/>
        <v>23.294499999999999</v>
      </c>
      <c r="Z48" s="48">
        <f t="shared" si="17"/>
        <v>1.4500000000000001E-2</v>
      </c>
      <c r="AA48" s="48">
        <f t="shared" si="18"/>
        <v>23.279999999999998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79" t="s">
        <v>389</v>
      </c>
      <c r="B49" s="43">
        <v>4025</v>
      </c>
      <c r="C49" s="43" t="s">
        <v>60</v>
      </c>
      <c r="D49" s="43" t="s">
        <v>129</v>
      </c>
      <c r="E49" s="25">
        <v>42548.341898148145</v>
      </c>
      <c r="F49" s="25">
        <v>42548.342870370368</v>
      </c>
      <c r="G49" s="31">
        <v>1</v>
      </c>
      <c r="H49" s="25" t="s">
        <v>390</v>
      </c>
      <c r="I49" s="25">
        <v>42548.370555555557</v>
      </c>
      <c r="J49" s="43">
        <v>0</v>
      </c>
      <c r="K49" s="43" t="str">
        <f t="shared" si="8"/>
        <v>4025/4026</v>
      </c>
      <c r="L49" s="43" t="str">
        <f>VLOOKUP(A49,'Trips&amp;Operators'!$C$1:$E$10000,3,FALSE)</f>
        <v>SPECTOR</v>
      </c>
      <c r="M49" s="11">
        <f t="shared" si="19"/>
        <v>2.768518518860219E-2</v>
      </c>
      <c r="N49" s="12">
        <f t="shared" si="1"/>
        <v>39.866666671587154</v>
      </c>
      <c r="O49" s="12"/>
      <c r="P49" s="12"/>
      <c r="Q49" s="44"/>
      <c r="R49" s="44"/>
      <c r="S49" s="70">
        <f t="shared" si="11"/>
        <v>1</v>
      </c>
      <c r="T49" s="2" t="str">
        <f t="shared" si="12"/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08:11:20-0600',mode:absolute,to:'2016-06-27 08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9" s="48" t="str">
        <f t="shared" si="14"/>
        <v>N</v>
      </c>
      <c r="X49" s="48">
        <f t="shared" si="15"/>
        <v>1</v>
      </c>
      <c r="Y49" s="48">
        <f t="shared" si="16"/>
        <v>4.7300000000000002E-2</v>
      </c>
      <c r="Z49" s="48">
        <f t="shared" si="17"/>
        <v>23.333200000000001</v>
      </c>
      <c r="AA49" s="48">
        <f t="shared" si="18"/>
        <v>23.285900000000002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79" t="s">
        <v>279</v>
      </c>
      <c r="B50" s="43">
        <v>4026</v>
      </c>
      <c r="C50" s="43" t="s">
        <v>60</v>
      </c>
      <c r="D50" s="43" t="s">
        <v>391</v>
      </c>
      <c r="E50" s="25">
        <v>42548.376643518517</v>
      </c>
      <c r="F50" s="25">
        <v>42548.377569444441</v>
      </c>
      <c r="G50" s="31">
        <v>1</v>
      </c>
      <c r="H50" s="25" t="s">
        <v>392</v>
      </c>
      <c r="I50" s="25">
        <v>42548.40996527778</v>
      </c>
      <c r="J50" s="43">
        <v>0</v>
      </c>
      <c r="K50" s="43" t="str">
        <f t="shared" si="8"/>
        <v>4025/4026</v>
      </c>
      <c r="L50" s="43" t="str">
        <f>VLOOKUP(A50,'Trips&amp;Operators'!$C$1:$E$10000,3,FALSE)</f>
        <v>SPECTOR</v>
      </c>
      <c r="M50" s="11">
        <f t="shared" si="19"/>
        <v>3.2395833339251112E-2</v>
      </c>
      <c r="N50" s="12">
        <f t="shared" si="1"/>
        <v>46.650000008521602</v>
      </c>
      <c r="O50" s="12"/>
      <c r="P50" s="12"/>
      <c r="Q50" s="44"/>
      <c r="R50" s="44"/>
      <c r="S50" s="70">
        <f t="shared" si="11"/>
        <v>1</v>
      </c>
      <c r="T50" s="2" t="str">
        <f t="shared" si="12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09:01:22-0600',mode:absolute,to:'2016-06-27 09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0" s="48" t="str">
        <f t="shared" si="14"/>
        <v>N</v>
      </c>
      <c r="X50" s="48">
        <f t="shared" si="15"/>
        <v>1</v>
      </c>
      <c r="Y50" s="48">
        <f t="shared" si="16"/>
        <v>23.2988</v>
      </c>
      <c r="Z50" s="48">
        <f t="shared" si="17"/>
        <v>1.8499999999999999E-2</v>
      </c>
      <c r="AA50" s="48">
        <f t="shared" si="18"/>
        <v>23.2803</v>
      </c>
      <c r="AB50" s="49" t="e">
        <f>VLOOKUP(A50,Enforcements!$C$7:$J$32,8,0)</f>
        <v>#N/A</v>
      </c>
      <c r="AC50" s="49" t="e">
        <f>VLOOKUP(A50,Enforcements!$C$7:$E$32,3,0)</f>
        <v>#N/A</v>
      </c>
    </row>
    <row r="51" spans="1:29" s="2" customFormat="1" x14ac:dyDescent="0.25">
      <c r="A51" s="79" t="s">
        <v>276</v>
      </c>
      <c r="B51" s="43">
        <v>4029</v>
      </c>
      <c r="C51" s="43" t="s">
        <v>60</v>
      </c>
      <c r="D51" s="43" t="s">
        <v>379</v>
      </c>
      <c r="E51" s="25">
        <v>42548.353703703702</v>
      </c>
      <c r="F51" s="25">
        <v>42548.354722222219</v>
      </c>
      <c r="G51" s="31">
        <v>1</v>
      </c>
      <c r="H51" s="25" t="s">
        <v>393</v>
      </c>
      <c r="I51" s="25">
        <v>42548.383946759262</v>
      </c>
      <c r="J51" s="43">
        <v>1</v>
      </c>
      <c r="K51" s="43" t="str">
        <f t="shared" si="8"/>
        <v>4029/4030</v>
      </c>
      <c r="L51" s="43" t="str">
        <f>VLOOKUP(A51,'Trips&amp;Operators'!$C$1:$E$10000,3,FALSE)</f>
        <v>MAELZER</v>
      </c>
      <c r="M51" s="11">
        <f t="shared" si="19"/>
        <v>2.9224537043774035E-2</v>
      </c>
      <c r="N51" s="12"/>
      <c r="O51" s="12"/>
      <c r="P51" s="12">
        <f t="shared" si="1"/>
        <v>42.08333334303461</v>
      </c>
      <c r="Q51" s="44"/>
      <c r="R51" s="44" t="s">
        <v>566</v>
      </c>
      <c r="S51" s="70">
        <f t="shared" si="11"/>
        <v>1</v>
      </c>
      <c r="T51" s="2" t="str">
        <f t="shared" si="12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08:28:20-0600',mode:absolute,to:'2016-06-27 09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1" s="48" t="str">
        <f t="shared" si="14"/>
        <v>Y</v>
      </c>
      <c r="X51" s="48">
        <f t="shared" si="15"/>
        <v>1</v>
      </c>
      <c r="Y51" s="48">
        <f t="shared" si="16"/>
        <v>6.5699999999999995E-2</v>
      </c>
      <c r="Z51" s="48">
        <f t="shared" si="17"/>
        <v>20.0608</v>
      </c>
      <c r="AA51" s="48">
        <f t="shared" si="18"/>
        <v>19.995100000000001</v>
      </c>
      <c r="AB51" s="49" t="e">
        <f>VLOOKUP(A51,Enforcements!$C$7:$J$32,8,0)</f>
        <v>#N/A</v>
      </c>
      <c r="AC51" s="49" t="e">
        <f>VLOOKUP(A51,Enforcements!$C$7:$E$32,3,0)</f>
        <v>#N/A</v>
      </c>
    </row>
    <row r="52" spans="1:29" s="2" customFormat="1" x14ac:dyDescent="0.25">
      <c r="A52" s="79" t="s">
        <v>394</v>
      </c>
      <c r="B52" s="43">
        <v>4030</v>
      </c>
      <c r="C52" s="43" t="s">
        <v>60</v>
      </c>
      <c r="D52" s="43" t="s">
        <v>149</v>
      </c>
      <c r="E52" s="25">
        <v>42548.390555555554</v>
      </c>
      <c r="F52" s="25">
        <v>42548.391423611109</v>
      </c>
      <c r="G52" s="31">
        <v>1</v>
      </c>
      <c r="H52" s="25" t="s">
        <v>395</v>
      </c>
      <c r="I52" s="25">
        <v>42548.419456018521</v>
      </c>
      <c r="J52" s="43">
        <v>0</v>
      </c>
      <c r="K52" s="43" t="str">
        <f t="shared" si="8"/>
        <v>4029/4030</v>
      </c>
      <c r="L52" s="43" t="str">
        <f>VLOOKUP(A52,'Trips&amp;Operators'!$C$1:$E$10000,3,FALSE)</f>
        <v>MAELZER</v>
      </c>
      <c r="M52" s="11">
        <f t="shared" si="19"/>
        <v>2.8032407411956228E-2</v>
      </c>
      <c r="N52" s="12">
        <f t="shared" si="1"/>
        <v>40.366666673216969</v>
      </c>
      <c r="O52" s="12"/>
      <c r="P52" s="12"/>
      <c r="Q52" s="44"/>
      <c r="R52" s="44"/>
      <c r="S52" s="70">
        <f t="shared" si="11"/>
        <v>1</v>
      </c>
      <c r="T52" s="2" t="str">
        <f t="shared" si="12"/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09:21:24-0600',mode:absolute,to:'2016-06-27 10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2" s="48" t="str">
        <f t="shared" si="14"/>
        <v>N</v>
      </c>
      <c r="X52" s="48">
        <f t="shared" si="15"/>
        <v>1</v>
      </c>
      <c r="Y52" s="48">
        <f t="shared" si="16"/>
        <v>23.298500000000001</v>
      </c>
      <c r="Z52" s="48">
        <f t="shared" si="17"/>
        <v>1.5599999999999999E-2</v>
      </c>
      <c r="AA52" s="48">
        <f t="shared" si="18"/>
        <v>23.282900000000001</v>
      </c>
      <c r="AB52" s="49" t="e">
        <f>VLOOKUP(A52,Enforcements!$C$7:$J$32,8,0)</f>
        <v>#N/A</v>
      </c>
      <c r="AC52" s="49" t="e">
        <f>VLOOKUP(A52,Enforcements!$C$7:$E$32,3,0)</f>
        <v>#N/A</v>
      </c>
    </row>
    <row r="53" spans="1:29" s="2" customFormat="1" x14ac:dyDescent="0.25">
      <c r="A53" s="79" t="s">
        <v>396</v>
      </c>
      <c r="B53" s="43">
        <v>4027</v>
      </c>
      <c r="C53" s="43" t="s">
        <v>60</v>
      </c>
      <c r="D53" s="43" t="s">
        <v>397</v>
      </c>
      <c r="E53" s="25">
        <v>42548.361157407409</v>
      </c>
      <c r="F53" s="25">
        <v>42548.362222222226</v>
      </c>
      <c r="G53" s="31">
        <v>1</v>
      </c>
      <c r="H53" s="25" t="s">
        <v>102</v>
      </c>
      <c r="I53" s="25">
        <v>42548.391793981478</v>
      </c>
      <c r="J53" s="43">
        <v>0</v>
      </c>
      <c r="K53" s="43" t="str">
        <f t="shared" si="8"/>
        <v>4027/4028</v>
      </c>
      <c r="L53" s="43" t="str">
        <f>VLOOKUP(A53,'Trips&amp;Operators'!$C$1:$E$10000,3,FALSE)</f>
        <v>CANFIELD</v>
      </c>
      <c r="M53" s="11">
        <f t="shared" si="19"/>
        <v>2.9571759252576157E-2</v>
      </c>
      <c r="N53" s="12">
        <f t="shared" si="1"/>
        <v>42.583333323709667</v>
      </c>
      <c r="O53" s="12"/>
      <c r="P53" s="12"/>
      <c r="Q53" s="44"/>
      <c r="R53" s="44"/>
      <c r="S53" s="70">
        <f t="shared" si="11"/>
        <v>1</v>
      </c>
      <c r="T53" s="2" t="str">
        <f t="shared" si="12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08:39:04-0600',mode:absolute,to:'2016-06-27 09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3" s="48" t="str">
        <f t="shared" si="14"/>
        <v>N</v>
      </c>
      <c r="X53" s="48">
        <f t="shared" si="15"/>
        <v>1</v>
      </c>
      <c r="Y53" s="48">
        <f t="shared" si="16"/>
        <v>3.1300000000000001E-2</v>
      </c>
      <c r="Z53" s="48">
        <f t="shared" si="17"/>
        <v>23.3291</v>
      </c>
      <c r="AA53" s="48">
        <f t="shared" si="18"/>
        <v>23.297799999999999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79" t="s">
        <v>398</v>
      </c>
      <c r="B54" s="43">
        <v>4028</v>
      </c>
      <c r="C54" s="43" t="s">
        <v>60</v>
      </c>
      <c r="D54" s="43" t="s">
        <v>399</v>
      </c>
      <c r="E54" s="25">
        <v>42548.399583333332</v>
      </c>
      <c r="F54" s="25">
        <v>42548.400370370371</v>
      </c>
      <c r="G54" s="31">
        <v>1</v>
      </c>
      <c r="H54" s="25" t="s">
        <v>74</v>
      </c>
      <c r="I54" s="25">
        <v>42548.429918981485</v>
      </c>
      <c r="J54" s="43">
        <v>0</v>
      </c>
      <c r="K54" s="43" t="str">
        <f t="shared" si="8"/>
        <v>4027/4028</v>
      </c>
      <c r="L54" s="43" t="str">
        <f>VLOOKUP(A54,'Trips&amp;Operators'!$C$1:$E$10000,3,FALSE)</f>
        <v>CANFIELD</v>
      </c>
      <c r="M54" s="11">
        <f t="shared" si="19"/>
        <v>2.9548611113568768E-2</v>
      </c>
      <c r="N54" s="12">
        <f t="shared" si="1"/>
        <v>42.550000003539026</v>
      </c>
      <c r="O54" s="12"/>
      <c r="P54" s="12"/>
      <c r="Q54" s="44"/>
      <c r="R54" s="44"/>
      <c r="S54" s="70">
        <f t="shared" si="11"/>
        <v>1</v>
      </c>
      <c r="T54" s="2" t="str">
        <f t="shared" si="12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09:34:24-0600',mode:absolute,to:'2016-06-27 10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4" s="48" t="str">
        <f t="shared" si="14"/>
        <v>N</v>
      </c>
      <c r="X54" s="48">
        <f t="shared" si="15"/>
        <v>1</v>
      </c>
      <c r="Y54" s="48">
        <f t="shared" si="16"/>
        <v>23.296099999999999</v>
      </c>
      <c r="Z54" s="48">
        <f t="shared" si="17"/>
        <v>1.41E-2</v>
      </c>
      <c r="AA54" s="48">
        <f t="shared" si="18"/>
        <v>23.282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79" t="s">
        <v>277</v>
      </c>
      <c r="B55" s="43">
        <v>4031</v>
      </c>
      <c r="C55" s="43" t="s">
        <v>60</v>
      </c>
      <c r="D55" s="43" t="s">
        <v>400</v>
      </c>
      <c r="E55" s="25">
        <v>42548.374652777777</v>
      </c>
      <c r="F55" s="25">
        <v>42548.375543981485</v>
      </c>
      <c r="G55" s="31">
        <v>1</v>
      </c>
      <c r="H55" s="25" t="s">
        <v>98</v>
      </c>
      <c r="I55" s="25">
        <v>42548.40079861111</v>
      </c>
      <c r="J55" s="43">
        <v>1</v>
      </c>
      <c r="K55" s="43" t="str">
        <f t="shared" si="8"/>
        <v>4031/4032</v>
      </c>
      <c r="L55" s="43" t="str">
        <f>VLOOKUP(A55,'Trips&amp;Operators'!$C$1:$E$10000,3,FALSE)</f>
        <v>MALAVE</v>
      </c>
      <c r="M55" s="11">
        <f t="shared" si="19"/>
        <v>2.5254629625123926E-2</v>
      </c>
      <c r="N55" s="12">
        <f t="shared" si="1"/>
        <v>36.366666660178453</v>
      </c>
      <c r="O55" s="12"/>
      <c r="P55" s="12"/>
      <c r="Q55" s="44"/>
      <c r="R55" s="44"/>
      <c r="S55" s="70">
        <f t="shared" si="11"/>
        <v>1</v>
      </c>
      <c r="T55" s="2" t="str">
        <f t="shared" si="12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08:58:30-0600',mode:absolute,to:'2016-06-27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5" s="48" t="str">
        <f t="shared" si="14"/>
        <v>N</v>
      </c>
      <c r="X55" s="48">
        <f t="shared" si="15"/>
        <v>1</v>
      </c>
      <c r="Y55" s="48">
        <f t="shared" si="16"/>
        <v>6.7500000000000004E-2</v>
      </c>
      <c r="Z55" s="48">
        <f t="shared" si="17"/>
        <v>23.329699999999999</v>
      </c>
      <c r="AA55" s="48">
        <f t="shared" si="18"/>
        <v>23.2622</v>
      </c>
      <c r="AB55" s="49">
        <f>VLOOKUP(A55,Enforcements!$C$7:$J$32,8,0)</f>
        <v>63068</v>
      </c>
      <c r="AC55" s="49" t="str">
        <f>VLOOKUP(A55,Enforcements!$C$7:$E$32,3,0)</f>
        <v>GRADE CROSSING</v>
      </c>
    </row>
    <row r="56" spans="1:29" s="2" customFormat="1" x14ac:dyDescent="0.25">
      <c r="A56" s="80" t="s">
        <v>401</v>
      </c>
      <c r="B56" s="43">
        <v>4032</v>
      </c>
      <c r="C56" s="43" t="s">
        <v>60</v>
      </c>
      <c r="D56" s="43" t="s">
        <v>402</v>
      </c>
      <c r="E56" s="25">
        <v>42548.421203703707</v>
      </c>
      <c r="F56" s="25">
        <v>42548.421805555554</v>
      </c>
      <c r="G56" s="31">
        <v>0</v>
      </c>
      <c r="H56" s="25" t="s">
        <v>97</v>
      </c>
      <c r="I56" s="25">
        <v>42548.441076388888</v>
      </c>
      <c r="J56" s="43">
        <v>0</v>
      </c>
      <c r="K56" s="43" t="str">
        <f t="shared" si="8"/>
        <v>4031/4032</v>
      </c>
      <c r="L56" s="43" t="str">
        <f>VLOOKUP(A56,'Trips&amp;Operators'!$C$1:$E$10000,3,FALSE)</f>
        <v>MALAVE</v>
      </c>
      <c r="M56" s="11">
        <f t="shared" si="19"/>
        <v>1.9270833334303461E-2</v>
      </c>
      <c r="N56" s="12"/>
      <c r="O56" s="12"/>
      <c r="P56" s="12">
        <f>24*60*SUM($M56:$M57)</f>
        <v>39.983333334093913</v>
      </c>
      <c r="Q56" s="44"/>
      <c r="R56" s="44" t="s">
        <v>572</v>
      </c>
      <c r="S56" s="70">
        <f t="shared" si="11"/>
        <v>1</v>
      </c>
      <c r="T56" s="2" t="str">
        <f t="shared" si="12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10:05:32-0600',mode:absolute,to:'2016-06-27 10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6" s="48" t="str">
        <f t="shared" si="14"/>
        <v>Y</v>
      </c>
      <c r="X56" s="48">
        <f t="shared" si="15"/>
        <v>1</v>
      </c>
      <c r="Y56" s="48">
        <f t="shared" si="16"/>
        <v>15.399699999999999</v>
      </c>
      <c r="Z56" s="48">
        <f t="shared" si="17"/>
        <v>1.5800000000000002E-2</v>
      </c>
      <c r="AA56" s="48">
        <f t="shared" si="18"/>
        <v>15.383899999999999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79" t="s">
        <v>401</v>
      </c>
      <c r="B57" s="43">
        <v>4032</v>
      </c>
      <c r="C57" s="43" t="s">
        <v>60</v>
      </c>
      <c r="D57" s="43" t="s">
        <v>403</v>
      </c>
      <c r="E57" s="25">
        <v>42548.41269675926</v>
      </c>
      <c r="F57" s="25">
        <v>42548.413263888891</v>
      </c>
      <c r="G57" s="31">
        <v>0</v>
      </c>
      <c r="H57" s="25" t="s">
        <v>97</v>
      </c>
      <c r="I57" s="25">
        <v>42548.421759259261</v>
      </c>
      <c r="J57" s="43">
        <v>0</v>
      </c>
      <c r="K57" s="43" t="str">
        <f t="shared" si="8"/>
        <v>4031/4032</v>
      </c>
      <c r="L57" s="43" t="str">
        <f>VLOOKUP(A57,'Trips&amp;Operators'!$C$1:$E$10000,3,FALSE)</f>
        <v>MALAVE</v>
      </c>
      <c r="M57" s="11">
        <f t="shared" si="19"/>
        <v>8.4953703699284233E-3</v>
      </c>
      <c r="N57" s="12"/>
      <c r="O57" s="12"/>
      <c r="P57" s="12"/>
      <c r="Q57" s="44"/>
      <c r="R57" s="44"/>
      <c r="S57" s="70">
        <f t="shared" si="11"/>
        <v>1</v>
      </c>
      <c r="T57" s="2" t="str">
        <f t="shared" si="12"/>
        <v>Southbound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09:53:17-0600',mode:absolute,to:'2016-06-27 10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7" s="48" t="str">
        <f t="shared" si="14"/>
        <v>N</v>
      </c>
      <c r="X57" s="48">
        <f t="shared" si="15"/>
        <v>0</v>
      </c>
      <c r="Y57" s="48">
        <f t="shared" si="16"/>
        <v>23.298300000000001</v>
      </c>
      <c r="Z57" s="48">
        <f t="shared" si="17"/>
        <v>1.5800000000000002E-2</v>
      </c>
      <c r="AA57" s="48">
        <f t="shared" si="18"/>
        <v>23.282500000000002</v>
      </c>
      <c r="AB57" s="49" t="e">
        <f>VLOOKUP(A57,Enforcements!$C$7:$J$32,8,0)</f>
        <v>#N/A</v>
      </c>
      <c r="AC57" s="49" t="e">
        <f>VLOOKUP(A57,Enforcements!$C$7:$E$32,3,0)</f>
        <v>#N/A</v>
      </c>
    </row>
    <row r="58" spans="1:29" s="2" customFormat="1" x14ac:dyDescent="0.25">
      <c r="A58" s="79" t="s">
        <v>404</v>
      </c>
      <c r="B58" s="43">
        <v>4007</v>
      </c>
      <c r="C58" s="43" t="s">
        <v>60</v>
      </c>
      <c r="D58" s="43" t="s">
        <v>175</v>
      </c>
      <c r="E58" s="25">
        <v>42548.381435185183</v>
      </c>
      <c r="F58" s="25">
        <v>42548.382407407407</v>
      </c>
      <c r="G58" s="31">
        <v>1</v>
      </c>
      <c r="H58" s="25" t="s">
        <v>405</v>
      </c>
      <c r="I58" s="25">
        <v>42548.411840277775</v>
      </c>
      <c r="J58" s="43">
        <v>0</v>
      </c>
      <c r="K58" s="43" t="str">
        <f t="shared" si="8"/>
        <v>4007/4008</v>
      </c>
      <c r="L58" s="43" t="str">
        <f>VLOOKUP(A58,'Trips&amp;Operators'!$C$1:$E$10000,3,FALSE)</f>
        <v>KILLION</v>
      </c>
      <c r="M58" s="11">
        <f t="shared" si="19"/>
        <v>2.9432870367600117E-2</v>
      </c>
      <c r="N58" s="12">
        <f t="shared" si="1"/>
        <v>42.383333329344168</v>
      </c>
      <c r="O58" s="12"/>
      <c r="P58" s="12"/>
      <c r="Q58" s="44"/>
      <c r="R58" s="44"/>
      <c r="S58" s="70">
        <f t="shared" si="11"/>
        <v>1</v>
      </c>
      <c r="T58" s="2" t="str">
        <f t="shared" si="12"/>
        <v>NorthBound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09:08:16-0600',mode:absolute,to:'2016-06-27 09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8" s="48" t="str">
        <f t="shared" si="14"/>
        <v>N</v>
      </c>
      <c r="X58" s="48">
        <f t="shared" si="15"/>
        <v>1</v>
      </c>
      <c r="Y58" s="48">
        <f t="shared" si="16"/>
        <v>4.6600000000000003E-2</v>
      </c>
      <c r="Z58" s="48">
        <f t="shared" si="17"/>
        <v>23.327200000000001</v>
      </c>
      <c r="AA58" s="48">
        <f t="shared" si="18"/>
        <v>23.2806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79" t="s">
        <v>406</v>
      </c>
      <c r="B59" s="43">
        <v>4008</v>
      </c>
      <c r="C59" s="43" t="s">
        <v>60</v>
      </c>
      <c r="D59" s="43" t="s">
        <v>377</v>
      </c>
      <c r="E59" s="25">
        <v>42548.413831018515</v>
      </c>
      <c r="F59" s="25">
        <v>42548.414606481485</v>
      </c>
      <c r="G59" s="31">
        <v>1</v>
      </c>
      <c r="H59" s="25" t="s">
        <v>89</v>
      </c>
      <c r="I59" s="25">
        <v>42548.452222222222</v>
      </c>
      <c r="J59" s="43">
        <v>0</v>
      </c>
      <c r="K59" s="43" t="str">
        <f t="shared" si="8"/>
        <v>4007/4008</v>
      </c>
      <c r="L59" s="43" t="str">
        <f>VLOOKUP(A59,'Trips&amp;Operators'!$C$1:$E$10000,3,FALSE)</f>
        <v>KILLION</v>
      </c>
      <c r="M59" s="11">
        <f t="shared" si="19"/>
        <v>3.7615740737237502E-2</v>
      </c>
      <c r="N59" s="12">
        <f t="shared" si="1"/>
        <v>54.166666661622003</v>
      </c>
      <c r="O59" s="12"/>
      <c r="P59" s="12"/>
      <c r="Q59" s="44"/>
      <c r="R59" s="44"/>
      <c r="S59" s="70">
        <f t="shared" si="11"/>
        <v>1</v>
      </c>
      <c r="T59" s="2" t="str">
        <f t="shared" si="12"/>
        <v>Southbound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09:54:55-0600',mode:absolute,to:'2016-06-27 10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9" s="48" t="str">
        <f t="shared" si="14"/>
        <v>N</v>
      </c>
      <c r="X59" s="48">
        <f t="shared" si="15"/>
        <v>1</v>
      </c>
      <c r="Y59" s="48">
        <f t="shared" si="16"/>
        <v>23.2959</v>
      </c>
      <c r="Z59" s="48">
        <f t="shared" si="17"/>
        <v>1.61E-2</v>
      </c>
      <c r="AA59" s="48">
        <f t="shared" si="18"/>
        <v>23.279799999999998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79" t="s">
        <v>407</v>
      </c>
      <c r="B60" s="43">
        <v>4024</v>
      </c>
      <c r="C60" s="43" t="s">
        <v>60</v>
      </c>
      <c r="D60" s="43" t="s">
        <v>155</v>
      </c>
      <c r="E60" s="25">
        <v>42548.392789351848</v>
      </c>
      <c r="F60" s="25">
        <v>42548.393761574072</v>
      </c>
      <c r="G60" s="31">
        <v>1</v>
      </c>
      <c r="H60" s="25" t="s">
        <v>216</v>
      </c>
      <c r="I60" s="25">
        <v>42548.420937499999</v>
      </c>
      <c r="J60" s="43">
        <v>0</v>
      </c>
      <c r="K60" s="43" t="str">
        <f t="shared" si="8"/>
        <v>4023/4024</v>
      </c>
      <c r="L60" s="43" t="str">
        <f>VLOOKUP(A60,'Trips&amp;Operators'!$C$1:$E$10000,3,FALSE)</f>
        <v>ROCHA</v>
      </c>
      <c r="M60" s="11">
        <f t="shared" si="19"/>
        <v>2.7175925926712807E-2</v>
      </c>
      <c r="N60" s="12">
        <f t="shared" si="1"/>
        <v>39.133333334466442</v>
      </c>
      <c r="O60" s="12"/>
      <c r="P60" s="12"/>
      <c r="Q60" s="44"/>
      <c r="R60" s="44"/>
      <c r="S60" s="70">
        <f t="shared" si="11"/>
        <v>1</v>
      </c>
      <c r="T60" s="2" t="str">
        <f t="shared" si="12"/>
        <v>NorthBound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09:24:37-0600',mode:absolute,to:'2016-06-27 10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0" s="48" t="str">
        <f t="shared" si="14"/>
        <v>N</v>
      </c>
      <c r="X60" s="48">
        <f t="shared" si="15"/>
        <v>1</v>
      </c>
      <c r="Y60" s="48">
        <f t="shared" si="16"/>
        <v>4.5100000000000001E-2</v>
      </c>
      <c r="Z60" s="48">
        <f t="shared" si="17"/>
        <v>23.3306</v>
      </c>
      <c r="AA60" s="48">
        <f t="shared" si="18"/>
        <v>23.285499999999999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79" t="s">
        <v>408</v>
      </c>
      <c r="B61" s="43">
        <v>4023</v>
      </c>
      <c r="C61" s="43" t="s">
        <v>60</v>
      </c>
      <c r="D61" s="43" t="s">
        <v>409</v>
      </c>
      <c r="E61" s="25">
        <v>42548.424039351848</v>
      </c>
      <c r="F61" s="25">
        <v>42548.425370370373</v>
      </c>
      <c r="G61" s="31">
        <v>1</v>
      </c>
      <c r="H61" s="25" t="s">
        <v>75</v>
      </c>
      <c r="I61" s="25">
        <v>42548.460231481484</v>
      </c>
      <c r="J61" s="43">
        <v>0</v>
      </c>
      <c r="K61" s="43" t="str">
        <f t="shared" si="8"/>
        <v>4023/4024</v>
      </c>
      <c r="L61" s="43" t="str">
        <f>VLOOKUP(A61,'Trips&amp;Operators'!$C$1:$E$10000,3,FALSE)</f>
        <v>ROCHA</v>
      </c>
      <c r="M61" s="11">
        <f t="shared" si="19"/>
        <v>3.4861111111240461E-2</v>
      </c>
      <c r="N61" s="12">
        <f t="shared" si="1"/>
        <v>50.200000000186265</v>
      </c>
      <c r="O61" s="12"/>
      <c r="P61" s="12"/>
      <c r="Q61" s="44"/>
      <c r="R61" s="44"/>
      <c r="S61" s="70">
        <f t="shared" si="11"/>
        <v>1</v>
      </c>
      <c r="T61" s="2" t="str">
        <f t="shared" si="12"/>
        <v>Southbound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10:09:37-0600',mode:absolute,to:'2016-06-27 11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1" s="48" t="str">
        <f t="shared" si="14"/>
        <v>N</v>
      </c>
      <c r="X61" s="48">
        <f t="shared" si="15"/>
        <v>1</v>
      </c>
      <c r="Y61" s="48">
        <f t="shared" si="16"/>
        <v>23.2989</v>
      </c>
      <c r="Z61" s="48">
        <f t="shared" si="17"/>
        <v>1.49E-2</v>
      </c>
      <c r="AA61" s="48">
        <f t="shared" si="18"/>
        <v>23.283999999999999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79" t="s">
        <v>410</v>
      </c>
      <c r="B62" s="43">
        <v>4038</v>
      </c>
      <c r="C62" s="43" t="s">
        <v>60</v>
      </c>
      <c r="D62" s="43" t="s">
        <v>69</v>
      </c>
      <c r="E62" s="25">
        <v>42548.404282407406</v>
      </c>
      <c r="F62" s="25">
        <v>42548.405185185184</v>
      </c>
      <c r="G62" s="31">
        <v>1</v>
      </c>
      <c r="H62" s="25" t="s">
        <v>98</v>
      </c>
      <c r="I62" s="25">
        <v>42548.431817129633</v>
      </c>
      <c r="J62" s="43">
        <v>0</v>
      </c>
      <c r="K62" s="43" t="str">
        <f t="shared" si="8"/>
        <v>4037/4038</v>
      </c>
      <c r="L62" s="43" t="str">
        <f>VLOOKUP(A62,'Trips&amp;Operators'!$C$1:$E$10000,3,FALSE)</f>
        <v>YANAI</v>
      </c>
      <c r="M62" s="11">
        <f t="shared" si="19"/>
        <v>2.6631944449036382E-2</v>
      </c>
      <c r="N62" s="12">
        <f t="shared" si="1"/>
        <v>38.35000000661239</v>
      </c>
      <c r="O62" s="12"/>
      <c r="P62" s="12"/>
      <c r="Q62" s="44"/>
      <c r="R62" s="44"/>
      <c r="S62" s="70">
        <f t="shared" si="11"/>
        <v>1</v>
      </c>
      <c r="T62" s="2" t="str">
        <f t="shared" si="12"/>
        <v>NorthBound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09:41:10-0600',mode:absolute,to:'2016-06-27 10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2" s="48" t="str">
        <f t="shared" si="14"/>
        <v>N</v>
      </c>
      <c r="X62" s="48">
        <f t="shared" si="15"/>
        <v>1</v>
      </c>
      <c r="Y62" s="48">
        <f t="shared" si="16"/>
        <v>4.5999999999999999E-2</v>
      </c>
      <c r="Z62" s="48">
        <f t="shared" si="17"/>
        <v>23.329699999999999</v>
      </c>
      <c r="AA62" s="48">
        <f t="shared" si="18"/>
        <v>23.2837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79" t="s">
        <v>411</v>
      </c>
      <c r="B63" s="43">
        <v>4037</v>
      </c>
      <c r="C63" s="43" t="s">
        <v>60</v>
      </c>
      <c r="D63" s="43" t="s">
        <v>84</v>
      </c>
      <c r="E63" s="25">
        <v>42548.440520833334</v>
      </c>
      <c r="F63" s="25">
        <v>42548.441770833335</v>
      </c>
      <c r="G63" s="31">
        <v>1</v>
      </c>
      <c r="H63" s="25" t="s">
        <v>179</v>
      </c>
      <c r="I63" s="25">
        <v>42548.470983796295</v>
      </c>
      <c r="J63" s="43">
        <v>0</v>
      </c>
      <c r="K63" s="43" t="str">
        <f t="shared" si="8"/>
        <v>4037/4038</v>
      </c>
      <c r="L63" s="43" t="str">
        <f>VLOOKUP(A63,'Trips&amp;Operators'!$C$1:$E$10000,3,FALSE)</f>
        <v>YANAI</v>
      </c>
      <c r="M63" s="11">
        <f t="shared" si="19"/>
        <v>2.9212962959718425E-2</v>
      </c>
      <c r="N63" s="12">
        <f t="shared" si="1"/>
        <v>42.066666661994532</v>
      </c>
      <c r="O63" s="12"/>
      <c r="P63" s="12"/>
      <c r="Q63" s="44"/>
      <c r="R63" s="44"/>
      <c r="S63" s="70">
        <f t="shared" si="11"/>
        <v>1</v>
      </c>
      <c r="T63" s="2" t="str">
        <f t="shared" si="12"/>
        <v>Southbound</v>
      </c>
      <c r="U63" s="2">
        <f>COUNTIFS(Variables!$M$2:$M$19,IF(T63="NorthBound","&gt;=","&lt;=")&amp;Y63,Variables!$M$2:$M$19,IF(T63="NorthBound","&lt;=","&gt;=")&amp;Z63)</f>
        <v>12</v>
      </c>
      <c r="V6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10:33:21-0600',mode:absolute,to:'2016-06-27 11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3" s="48" t="str">
        <f t="shared" si="14"/>
        <v>N</v>
      </c>
      <c r="X63" s="48">
        <f t="shared" si="15"/>
        <v>1</v>
      </c>
      <c r="Y63" s="48">
        <f t="shared" si="16"/>
        <v>23.297499999999999</v>
      </c>
      <c r="Z63" s="48">
        <f t="shared" si="17"/>
        <v>1.54E-2</v>
      </c>
      <c r="AA63" s="48">
        <f t="shared" si="18"/>
        <v>23.2821</v>
      </c>
      <c r="AB63" s="49" t="e">
        <f>VLOOKUP(A63,Enforcements!$C$7:$J$32,8,0)</f>
        <v>#N/A</v>
      </c>
      <c r="AC63" s="49" t="e">
        <f>VLOOKUP(A63,Enforcements!$C$7:$E$32,3,0)</f>
        <v>#N/A</v>
      </c>
    </row>
    <row r="64" spans="1:29" s="2" customFormat="1" x14ac:dyDescent="0.25">
      <c r="A64" s="79" t="s">
        <v>281</v>
      </c>
      <c r="B64" s="43">
        <v>4025</v>
      </c>
      <c r="C64" s="43" t="s">
        <v>60</v>
      </c>
      <c r="D64" s="43" t="s">
        <v>412</v>
      </c>
      <c r="E64" s="25">
        <v>42548.413865740738</v>
      </c>
      <c r="F64" s="25">
        <v>42548.415173611109</v>
      </c>
      <c r="G64" s="31">
        <v>1</v>
      </c>
      <c r="H64" s="25" t="s">
        <v>413</v>
      </c>
      <c r="I64" s="25">
        <v>42548.443020833336</v>
      </c>
      <c r="J64" s="43">
        <v>1</v>
      </c>
      <c r="K64" s="43" t="str">
        <f t="shared" si="8"/>
        <v>4025/4026</v>
      </c>
      <c r="L64" s="43" t="str">
        <f>VLOOKUP(A64,'Trips&amp;Operators'!$C$1:$E$10000,3,FALSE)</f>
        <v>SPECTOR</v>
      </c>
      <c r="M64" s="11">
        <f t="shared" si="19"/>
        <v>2.7847222227137536E-2</v>
      </c>
      <c r="N64" s="12">
        <f t="shared" si="1"/>
        <v>40.100000007078052</v>
      </c>
      <c r="O64" s="12"/>
      <c r="P64" s="12"/>
      <c r="Q64" s="44"/>
      <c r="R64" s="44"/>
      <c r="S64" s="70">
        <f t="shared" si="11"/>
        <v>1</v>
      </c>
      <c r="T64" s="2" t="str">
        <f t="shared" si="12"/>
        <v>NorthBound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09:54:58-0600',mode:absolute,to:'2016-06-27 10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4" s="48" t="str">
        <f t="shared" si="14"/>
        <v>N</v>
      </c>
      <c r="X64" s="48">
        <f t="shared" si="15"/>
        <v>1</v>
      </c>
      <c r="Y64" s="48">
        <f t="shared" si="16"/>
        <v>4.9700000000000001E-2</v>
      </c>
      <c r="Z64" s="48">
        <f t="shared" si="17"/>
        <v>23.318100000000001</v>
      </c>
      <c r="AA64" s="48">
        <f t="shared" si="18"/>
        <v>23.2684</v>
      </c>
      <c r="AB64" s="49" t="e">
        <f>VLOOKUP(A64,Enforcements!$C$7:$J$32,8,0)</f>
        <v>#N/A</v>
      </c>
      <c r="AC64" s="49" t="e">
        <f>VLOOKUP(A64,Enforcements!$C$7:$E$32,3,0)</f>
        <v>#N/A</v>
      </c>
    </row>
    <row r="65" spans="1:29" s="2" customFormat="1" x14ac:dyDescent="0.25">
      <c r="A65" s="80" t="s">
        <v>282</v>
      </c>
      <c r="B65" s="43">
        <v>4026</v>
      </c>
      <c r="C65" s="43" t="s">
        <v>60</v>
      </c>
      <c r="D65" s="43" t="s">
        <v>414</v>
      </c>
      <c r="E65" s="25">
        <v>42548.450243055559</v>
      </c>
      <c r="F65" s="25">
        <v>42548.451053240744</v>
      </c>
      <c r="G65" s="31">
        <v>1</v>
      </c>
      <c r="H65" s="25" t="s">
        <v>202</v>
      </c>
      <c r="I65" s="25">
        <v>42548.486030092594</v>
      </c>
      <c r="J65" s="43">
        <v>6</v>
      </c>
      <c r="K65" s="43" t="str">
        <f t="shared" si="8"/>
        <v>4025/4026</v>
      </c>
      <c r="L65" s="43" t="str">
        <f>VLOOKUP(A65,'Trips&amp;Operators'!$C$1:$E$10000,3,FALSE)</f>
        <v>SPECTOR</v>
      </c>
      <c r="M65" s="11">
        <f t="shared" si="19"/>
        <v>3.4976851849933155E-2</v>
      </c>
      <c r="N65" s="12">
        <f t="shared" si="1"/>
        <v>50.366666663903743</v>
      </c>
      <c r="O65" s="12"/>
      <c r="P65" s="12"/>
      <c r="Q65" s="44"/>
      <c r="R65" s="44" t="s">
        <v>567</v>
      </c>
      <c r="S65" s="70">
        <f t="shared" si="11"/>
        <v>1</v>
      </c>
      <c r="T65" s="2" t="str">
        <f t="shared" si="12"/>
        <v>Southbound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5" s="48" t="str">
        <f t="shared" si="14"/>
        <v>N</v>
      </c>
      <c r="X65" s="48">
        <f t="shared" si="15"/>
        <v>1</v>
      </c>
      <c r="Y65" s="48">
        <f t="shared" si="16"/>
        <v>23.287199999999999</v>
      </c>
      <c r="Z65" s="48">
        <v>0.01</v>
      </c>
      <c r="AA65" s="48">
        <f t="shared" si="18"/>
        <v>23.277199999999997</v>
      </c>
      <c r="AB65" s="49">
        <f>VLOOKUP(A65,Enforcements!$C$7:$J$32,8,0)</f>
        <v>58301</v>
      </c>
      <c r="AC65" s="49" t="str">
        <f>VLOOKUP(A65,Enforcements!$C$7:$E$32,3,0)</f>
        <v>GRADE CROSSING</v>
      </c>
    </row>
    <row r="66" spans="1:29" s="2" customFormat="1" x14ac:dyDescent="0.25">
      <c r="A66" s="79" t="s">
        <v>415</v>
      </c>
      <c r="B66" s="43">
        <v>4029</v>
      </c>
      <c r="C66" s="43" t="s">
        <v>60</v>
      </c>
      <c r="D66" s="43" t="s">
        <v>85</v>
      </c>
      <c r="E66" s="25">
        <v>42548.423726851855</v>
      </c>
      <c r="F66" s="25">
        <v>42548.425150462965</v>
      </c>
      <c r="G66" s="31">
        <v>2</v>
      </c>
      <c r="H66" s="25" t="s">
        <v>359</v>
      </c>
      <c r="I66" s="25">
        <v>42548.452152777776</v>
      </c>
      <c r="J66" s="43">
        <v>0</v>
      </c>
      <c r="K66" s="43" t="str">
        <f t="shared" si="8"/>
        <v>4029/4030</v>
      </c>
      <c r="L66" s="43" t="str">
        <f>VLOOKUP(A66,'Trips&amp;Operators'!$C$1:$E$10000,3,FALSE)</f>
        <v>ACKERMAN</v>
      </c>
      <c r="M66" s="11">
        <f t="shared" si="19"/>
        <v>2.700231481139781E-2</v>
      </c>
      <c r="N66" s="12">
        <f t="shared" si="1"/>
        <v>38.883333328412846</v>
      </c>
      <c r="O66" s="12"/>
      <c r="P66" s="12"/>
      <c r="Q66" s="44"/>
      <c r="R66" s="44"/>
      <c r="S66" s="70">
        <f t="shared" si="11"/>
        <v>1</v>
      </c>
      <c r="T66" s="2" t="str">
        <f t="shared" si="12"/>
        <v>NorthBound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10:09:10-0600',mode:absolute,to:'2016-06-27 10:52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6" s="48" t="str">
        <f t="shared" si="14"/>
        <v>N</v>
      </c>
      <c r="X66" s="48">
        <f t="shared" si="15"/>
        <v>1</v>
      </c>
      <c r="Y66" s="48">
        <f t="shared" si="16"/>
        <v>4.6399999999999997E-2</v>
      </c>
      <c r="Z66" s="48">
        <f t="shared" si="17"/>
        <v>23.329899999999999</v>
      </c>
      <c r="AA66" s="48">
        <f t="shared" si="18"/>
        <v>23.2835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79" t="s">
        <v>286</v>
      </c>
      <c r="B67" s="43">
        <v>4030</v>
      </c>
      <c r="C67" s="43" t="s">
        <v>60</v>
      </c>
      <c r="D67" s="43" t="s">
        <v>416</v>
      </c>
      <c r="E67" s="25">
        <v>42548.459201388891</v>
      </c>
      <c r="F67" s="25">
        <v>42548.460555555554</v>
      </c>
      <c r="G67" s="31">
        <v>1</v>
      </c>
      <c r="H67" s="25" t="s">
        <v>395</v>
      </c>
      <c r="I67" s="25">
        <v>42548.494629629633</v>
      </c>
      <c r="J67" s="43">
        <v>1</v>
      </c>
      <c r="K67" s="43" t="str">
        <f t="shared" si="8"/>
        <v>4029/4030</v>
      </c>
      <c r="L67" s="43" t="str">
        <f>VLOOKUP(A67,'Trips&amp;Operators'!$C$1:$E$10000,3,FALSE)</f>
        <v>ACKERMAN</v>
      </c>
      <c r="M67" s="11">
        <f t="shared" si="19"/>
        <v>3.4074074079398997E-2</v>
      </c>
      <c r="N67" s="12">
        <f t="shared" si="1"/>
        <v>49.066666674334556</v>
      </c>
      <c r="O67" s="12"/>
      <c r="P67" s="12"/>
      <c r="Q67" s="44"/>
      <c r="R67" s="44"/>
      <c r="S67" s="70">
        <f t="shared" si="11"/>
        <v>1</v>
      </c>
      <c r="T67" s="2" t="str">
        <f t="shared" si="12"/>
        <v>Southbound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11:00:15-0600',mode:absolute,to:'2016-06-27 11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7" s="48" t="str">
        <f t="shared" si="14"/>
        <v>N</v>
      </c>
      <c r="X67" s="48">
        <f t="shared" si="15"/>
        <v>1</v>
      </c>
      <c r="Y67" s="48">
        <f t="shared" si="16"/>
        <v>23.297999999999998</v>
      </c>
      <c r="Z67" s="48">
        <f t="shared" si="17"/>
        <v>1.5599999999999999E-2</v>
      </c>
      <c r="AA67" s="48">
        <f t="shared" si="18"/>
        <v>23.282399999999999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79" t="s">
        <v>417</v>
      </c>
      <c r="B68" s="43">
        <v>4027</v>
      </c>
      <c r="C68" s="43" t="s">
        <v>60</v>
      </c>
      <c r="D68" s="43" t="s">
        <v>78</v>
      </c>
      <c r="E68" s="25">
        <v>42548.431898148148</v>
      </c>
      <c r="F68" s="25">
        <v>42548.433645833335</v>
      </c>
      <c r="G68" s="31">
        <v>2</v>
      </c>
      <c r="H68" s="25" t="s">
        <v>95</v>
      </c>
      <c r="I68" s="25">
        <v>42548.463240740741</v>
      </c>
      <c r="J68" s="43">
        <v>0</v>
      </c>
      <c r="K68" s="43" t="str">
        <f t="shared" si="8"/>
        <v>4027/4028</v>
      </c>
      <c r="L68" s="43" t="str">
        <f>VLOOKUP(A68,'Trips&amp;Operators'!$C$1:$E$10000,3,FALSE)</f>
        <v>MAELZER</v>
      </c>
      <c r="M68" s="11">
        <f t="shared" si="19"/>
        <v>2.9594907406135462E-2</v>
      </c>
      <c r="N68" s="12">
        <f t="shared" si="1"/>
        <v>42.616666664835066</v>
      </c>
      <c r="O68" s="12"/>
      <c r="P68" s="12"/>
      <c r="Q68" s="44"/>
      <c r="R68" s="44"/>
      <c r="S68" s="70">
        <f t="shared" si="11"/>
        <v>1</v>
      </c>
      <c r="T68" s="2" t="str">
        <f t="shared" si="12"/>
        <v>NorthBound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10:20:56-0600',mode:absolute,to:'2016-06-27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8" s="48" t="str">
        <f t="shared" si="14"/>
        <v>N</v>
      </c>
      <c r="X68" s="48">
        <f t="shared" si="15"/>
        <v>1</v>
      </c>
      <c r="Y68" s="48">
        <f t="shared" si="16"/>
        <v>4.53E-2</v>
      </c>
      <c r="Z68" s="48">
        <f t="shared" si="17"/>
        <v>23.329499999999999</v>
      </c>
      <c r="AA68" s="48">
        <f t="shared" si="18"/>
        <v>23.284199999999998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79" t="s">
        <v>283</v>
      </c>
      <c r="B69" s="43">
        <v>4028</v>
      </c>
      <c r="C69" s="43" t="s">
        <v>60</v>
      </c>
      <c r="D69" s="43" t="s">
        <v>181</v>
      </c>
      <c r="E69" s="25">
        <v>42548.469918981478</v>
      </c>
      <c r="F69" s="25">
        <v>42548.470925925925</v>
      </c>
      <c r="G69" s="31">
        <v>1</v>
      </c>
      <c r="H69" s="25" t="s">
        <v>108</v>
      </c>
      <c r="I69" s="25">
        <v>42548.508668981478</v>
      </c>
      <c r="J69" s="43">
        <v>1</v>
      </c>
      <c r="K69" s="43" t="str">
        <f t="shared" si="8"/>
        <v>4027/4028</v>
      </c>
      <c r="L69" s="43" t="str">
        <f>VLOOKUP(A69,'Trips&amp;Operators'!$C$1:$E$10000,3,FALSE)</f>
        <v>MAELZER</v>
      </c>
      <c r="M69" s="11">
        <f t="shared" si="19"/>
        <v>3.7743055552709848E-2</v>
      </c>
      <c r="N69" s="12">
        <f t="shared" si="1"/>
        <v>54.349999995902181</v>
      </c>
      <c r="O69" s="12"/>
      <c r="P69" s="12"/>
      <c r="Q69" s="44"/>
      <c r="R69" s="44"/>
      <c r="S69" s="70">
        <f t="shared" si="11"/>
        <v>1</v>
      </c>
      <c r="T69" s="2" t="str">
        <f t="shared" si="12"/>
        <v>Southbound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11:15:41-0600',mode:absolute,to:'2016-06-27 12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9" s="48" t="str">
        <f t="shared" si="14"/>
        <v>N</v>
      </c>
      <c r="X69" s="48">
        <f t="shared" si="15"/>
        <v>1</v>
      </c>
      <c r="Y69" s="48">
        <f t="shared" si="16"/>
        <v>23.299099999999999</v>
      </c>
      <c r="Z69" s="48">
        <f t="shared" si="17"/>
        <v>1.4999999999999999E-2</v>
      </c>
      <c r="AA69" s="48">
        <f t="shared" si="18"/>
        <v>23.284099999999999</v>
      </c>
      <c r="AB69" s="49" t="e">
        <f>VLOOKUP(A69,Enforcements!$C$7:$J$32,8,0)</f>
        <v>#N/A</v>
      </c>
      <c r="AC69" s="49" t="e">
        <f>VLOOKUP(A69,Enforcements!$C$7:$E$32,3,0)</f>
        <v>#N/A</v>
      </c>
    </row>
    <row r="70" spans="1:29" s="2" customFormat="1" x14ac:dyDescent="0.25">
      <c r="A70" s="79" t="s">
        <v>418</v>
      </c>
      <c r="B70" s="43">
        <v>4031</v>
      </c>
      <c r="C70" s="43" t="s">
        <v>60</v>
      </c>
      <c r="D70" s="43" t="s">
        <v>146</v>
      </c>
      <c r="E70" s="25">
        <v>42548.442812499998</v>
      </c>
      <c r="F70" s="25">
        <v>42548.443912037037</v>
      </c>
      <c r="G70" s="31">
        <v>1</v>
      </c>
      <c r="H70" s="25" t="s">
        <v>242</v>
      </c>
      <c r="I70" s="25">
        <v>42548.47283564815</v>
      </c>
      <c r="J70" s="43">
        <v>0</v>
      </c>
      <c r="K70" s="43" t="str">
        <f t="shared" si="8"/>
        <v>4031/4032</v>
      </c>
      <c r="L70" s="43" t="str">
        <f>VLOOKUP(A70,'Trips&amp;Operators'!$C$1:$E$10000,3,FALSE)</f>
        <v>HELVIE</v>
      </c>
      <c r="M70" s="11">
        <f t="shared" si="19"/>
        <v>2.8923611112986691E-2</v>
      </c>
      <c r="N70" s="12">
        <f t="shared" si="1"/>
        <v>41.650000002700835</v>
      </c>
      <c r="O70" s="12"/>
      <c r="P70" s="12"/>
      <c r="Q70" s="44"/>
      <c r="R70" s="44"/>
      <c r="S70" s="70">
        <f t="shared" si="11"/>
        <v>1</v>
      </c>
      <c r="T70" s="2" t="str">
        <f t="shared" si="12"/>
        <v>NorthBound</v>
      </c>
      <c r="U70" s="2">
        <f>COUNTIFS(Variables!$M$2:$M$19,IF(T70="NorthBound","&gt;=","&lt;=")&amp;Y70,Variables!$M$2:$M$19,IF(T70="NorthBound","&lt;=","&gt;=")&amp;Z70)</f>
        <v>12</v>
      </c>
      <c r="V70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10:36:39-0600',mode:absolute,to:'2016-06-27 11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48" t="str">
        <f t="shared" si="14"/>
        <v>N</v>
      </c>
      <c r="X70" s="48">
        <f t="shared" si="15"/>
        <v>1</v>
      </c>
      <c r="Y70" s="48">
        <f t="shared" si="16"/>
        <v>4.7699999999999999E-2</v>
      </c>
      <c r="Z70" s="48">
        <f t="shared" si="17"/>
        <v>23.328199999999999</v>
      </c>
      <c r="AA70" s="48">
        <f t="shared" si="18"/>
        <v>23.2805</v>
      </c>
      <c r="AB70" s="49" t="e">
        <f>VLOOKUP(A70,Enforcements!$C$7:$J$32,8,0)</f>
        <v>#N/A</v>
      </c>
      <c r="AC70" s="49" t="e">
        <f>VLOOKUP(A70,Enforcements!$C$7:$E$32,3,0)</f>
        <v>#N/A</v>
      </c>
    </row>
    <row r="71" spans="1:29" s="2" customFormat="1" x14ac:dyDescent="0.25">
      <c r="A71" s="79" t="s">
        <v>287</v>
      </c>
      <c r="B71" s="43">
        <v>4032</v>
      </c>
      <c r="C71" s="43" t="s">
        <v>60</v>
      </c>
      <c r="D71" s="43" t="s">
        <v>151</v>
      </c>
      <c r="E71" s="25">
        <v>42548.480995370373</v>
      </c>
      <c r="F71" s="25">
        <v>42548.482106481482</v>
      </c>
      <c r="G71" s="31">
        <v>1</v>
      </c>
      <c r="H71" s="25" t="s">
        <v>179</v>
      </c>
      <c r="I71" s="25">
        <v>42548.517395833333</v>
      </c>
      <c r="J71" s="43">
        <v>2</v>
      </c>
      <c r="K71" s="43" t="str">
        <f t="shared" si="8"/>
        <v>4031/4032</v>
      </c>
      <c r="L71" s="43" t="str">
        <f>VLOOKUP(A71,'Trips&amp;Operators'!$C$1:$E$10000,3,FALSE)</f>
        <v>HELVIE</v>
      </c>
      <c r="M71" s="11">
        <f t="shared" si="19"/>
        <v>3.5289351850224193E-2</v>
      </c>
      <c r="N71" s="12">
        <f t="shared" si="1"/>
        <v>50.816666664322838</v>
      </c>
      <c r="O71" s="12"/>
      <c r="P71" s="12"/>
      <c r="Q71" s="44"/>
      <c r="R71" s="44"/>
      <c r="S71" s="70">
        <f t="shared" si="11"/>
        <v>1</v>
      </c>
      <c r="T71" s="2" t="str">
        <f t="shared" si="12"/>
        <v>Southbound</v>
      </c>
      <c r="U71" s="2">
        <f>COUNTIFS(Variables!$M$2:$M$19,IF(T71="NorthBound","&gt;=","&lt;=")&amp;Y71,Variables!$M$2:$M$19,IF(T71="NorthBound","&lt;=","&gt;=")&amp;Z71)</f>
        <v>12</v>
      </c>
      <c r="V71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48" t="str">
        <f t="shared" si="14"/>
        <v>N</v>
      </c>
      <c r="X71" s="48">
        <f t="shared" si="15"/>
        <v>1</v>
      </c>
      <c r="Y71" s="48">
        <f t="shared" si="16"/>
        <v>23.2971</v>
      </c>
      <c r="Z71" s="48">
        <f t="shared" si="17"/>
        <v>1.54E-2</v>
      </c>
      <c r="AA71" s="48">
        <f t="shared" si="18"/>
        <v>23.281700000000001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x14ac:dyDescent="0.25">
      <c r="A72" s="79" t="s">
        <v>419</v>
      </c>
      <c r="B72" s="43">
        <v>4007</v>
      </c>
      <c r="C72" s="43" t="s">
        <v>60</v>
      </c>
      <c r="D72" s="43" t="s">
        <v>420</v>
      </c>
      <c r="E72" s="25">
        <v>42548.454363425924</v>
      </c>
      <c r="F72" s="25">
        <v>42548.455509259256</v>
      </c>
      <c r="G72" s="31">
        <v>1</v>
      </c>
      <c r="H72" s="25" t="s">
        <v>95</v>
      </c>
      <c r="I72" s="25">
        <v>42548.484247685185</v>
      </c>
      <c r="J72" s="43">
        <v>0</v>
      </c>
      <c r="K72" s="43" t="str">
        <f t="shared" si="8"/>
        <v>4007/4008</v>
      </c>
      <c r="L72" s="43" t="str">
        <f>VLOOKUP(A72,'Trips&amp;Operators'!$C$1:$E$10000,3,FALSE)</f>
        <v>MALAVE</v>
      </c>
      <c r="M72" s="11">
        <f t="shared" si="19"/>
        <v>2.8738425928167999E-2</v>
      </c>
      <c r="N72" s="12">
        <f t="shared" si="1"/>
        <v>41.383333336561918</v>
      </c>
      <c r="O72" s="12"/>
      <c r="P72" s="12"/>
      <c r="Q72" s="44"/>
      <c r="R72" s="44"/>
      <c r="S72" s="70">
        <f t="shared" si="11"/>
        <v>1</v>
      </c>
      <c r="T72" s="2" t="str">
        <f t="shared" si="12"/>
        <v>NorthBound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10:53:17-0600',mode:absolute,to:'2016-06-27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2" s="48" t="str">
        <f t="shared" si="14"/>
        <v>N</v>
      </c>
      <c r="X72" s="48">
        <f t="shared" si="15"/>
        <v>1</v>
      </c>
      <c r="Y72" s="48">
        <f t="shared" si="16"/>
        <v>4.82E-2</v>
      </c>
      <c r="Z72" s="48">
        <f t="shared" si="17"/>
        <v>23.329499999999999</v>
      </c>
      <c r="AA72" s="48">
        <f t="shared" si="18"/>
        <v>23.281299999999998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x14ac:dyDescent="0.25">
      <c r="A73" s="79" t="s">
        <v>421</v>
      </c>
      <c r="B73" s="43">
        <v>4008</v>
      </c>
      <c r="C73" s="43" t="s">
        <v>60</v>
      </c>
      <c r="D73" s="43" t="s">
        <v>214</v>
      </c>
      <c r="E73" s="25">
        <v>42548.49590277778</v>
      </c>
      <c r="F73" s="25">
        <v>42548.496944444443</v>
      </c>
      <c r="G73" s="31">
        <v>1</v>
      </c>
      <c r="H73" s="25" t="s">
        <v>108</v>
      </c>
      <c r="I73" s="25">
        <v>42548.527905092589</v>
      </c>
      <c r="J73" s="43">
        <v>0</v>
      </c>
      <c r="K73" s="43" t="str">
        <f t="shared" si="8"/>
        <v>4007/4008</v>
      </c>
      <c r="L73" s="43" t="str">
        <f>VLOOKUP(A73,'Trips&amp;Operators'!$C$1:$E$10000,3,FALSE)</f>
        <v>MALAVE</v>
      </c>
      <c r="M73" s="11">
        <f t="shared" si="19"/>
        <v>3.0960648145992309E-2</v>
      </c>
      <c r="N73" s="12">
        <f t="shared" si="1"/>
        <v>44.583333330228925</v>
      </c>
      <c r="O73" s="12"/>
      <c r="P73" s="12"/>
      <c r="Q73" s="44"/>
      <c r="R73" s="44"/>
      <c r="S73" s="70">
        <f t="shared" si="11"/>
        <v>1</v>
      </c>
      <c r="T73" s="2" t="str">
        <f t="shared" si="12"/>
        <v>Southbound</v>
      </c>
      <c r="U73" s="2">
        <f>COUNTIFS(Variables!$M$2:$M$19,IF(T73="NorthBound","&gt;=","&lt;=")&amp;Y73,Variables!$M$2:$M$19,IF(T73="NorthBound","&lt;=","&gt;=")&amp;Z73)</f>
        <v>12</v>
      </c>
      <c r="V73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11:53:06-0600',mode:absolute,to:'2016-06-27 12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3" s="48" t="str">
        <f t="shared" si="14"/>
        <v>N</v>
      </c>
      <c r="X73" s="48">
        <f t="shared" si="15"/>
        <v>1</v>
      </c>
      <c r="Y73" s="48">
        <f t="shared" si="16"/>
        <v>23.298100000000002</v>
      </c>
      <c r="Z73" s="48">
        <f t="shared" si="17"/>
        <v>1.4999999999999999E-2</v>
      </c>
      <c r="AA73" s="48">
        <f t="shared" si="18"/>
        <v>23.283100000000001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79" t="s">
        <v>422</v>
      </c>
      <c r="B74" s="43">
        <v>4024</v>
      </c>
      <c r="C74" s="43" t="s">
        <v>60</v>
      </c>
      <c r="D74" s="43" t="s">
        <v>175</v>
      </c>
      <c r="E74" s="25">
        <v>42548.465497685182</v>
      </c>
      <c r="F74" s="25">
        <v>42548.466805555552</v>
      </c>
      <c r="G74" s="31">
        <v>1</v>
      </c>
      <c r="H74" s="25" t="s">
        <v>102</v>
      </c>
      <c r="I74" s="25">
        <v>42548.496261574073</v>
      </c>
      <c r="J74" s="43">
        <v>0</v>
      </c>
      <c r="K74" s="43" t="str">
        <f t="shared" si="8"/>
        <v>4023/4024</v>
      </c>
      <c r="L74" s="43" t="str">
        <f>VLOOKUP(A74,'Trips&amp;Operators'!$C$1:$E$10000,3,FALSE)</f>
        <v>STAMBAUGH</v>
      </c>
      <c r="M74" s="11">
        <f t="shared" si="19"/>
        <v>2.9456018521159422E-2</v>
      </c>
      <c r="N74" s="12">
        <f t="shared" si="1"/>
        <v>42.416666670469567</v>
      </c>
      <c r="O74" s="12"/>
      <c r="P74" s="12"/>
      <c r="Q74" s="44"/>
      <c r="R74" s="44"/>
      <c r="S74" s="70">
        <f t="shared" si="11"/>
        <v>1</v>
      </c>
      <c r="T74" s="2" t="str">
        <f t="shared" si="12"/>
        <v>NorthBound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11:09:19-0600',mode:absolute,to:'2016-06-27 11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4" s="48" t="str">
        <f t="shared" si="14"/>
        <v>N</v>
      </c>
      <c r="X74" s="48">
        <f t="shared" si="15"/>
        <v>1</v>
      </c>
      <c r="Y74" s="48">
        <f t="shared" si="16"/>
        <v>4.6600000000000003E-2</v>
      </c>
      <c r="Z74" s="48">
        <f t="shared" si="17"/>
        <v>23.3291</v>
      </c>
      <c r="AA74" s="48">
        <f t="shared" si="18"/>
        <v>23.282499999999999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79" t="s">
        <v>423</v>
      </c>
      <c r="B75" s="43">
        <v>4023</v>
      </c>
      <c r="C75" s="43" t="s">
        <v>60</v>
      </c>
      <c r="D75" s="43" t="s">
        <v>424</v>
      </c>
      <c r="E75" s="25">
        <v>42548.50309027778</v>
      </c>
      <c r="F75" s="25">
        <v>42548.504050925927</v>
      </c>
      <c r="G75" s="31">
        <v>3</v>
      </c>
      <c r="H75" s="25" t="s">
        <v>147</v>
      </c>
      <c r="I75" s="25">
        <v>42548.505543981482</v>
      </c>
      <c r="J75" s="43">
        <v>0</v>
      </c>
      <c r="K75" s="43" t="str">
        <f t="shared" si="8"/>
        <v>4023/4024</v>
      </c>
      <c r="L75" s="43" t="str">
        <f>VLOOKUP(A75,'Trips&amp;Operators'!$C$1:$E$10000,3,FALSE)</f>
        <v>STAMBAUGH</v>
      </c>
      <c r="M75" s="11">
        <f t="shared" si="19"/>
        <v>1.4930555553291924E-3</v>
      </c>
      <c r="N75" s="12"/>
      <c r="O75" s="12"/>
      <c r="P75" s="12">
        <f t="shared" si="1"/>
        <v>2.1499999996740371</v>
      </c>
      <c r="Q75" s="44"/>
      <c r="R75" s="44" t="s">
        <v>562</v>
      </c>
      <c r="S75" s="70">
        <f t="shared" si="11"/>
        <v>0</v>
      </c>
      <c r="T75" s="2" t="str">
        <f t="shared" si="12"/>
        <v>Southbound</v>
      </c>
      <c r="U75" s="2">
        <f>COUNTIFS(Variables!$M$2:$M$19,IF(T75="NorthBound","&gt;=","&lt;=")&amp;Y75,Variables!$M$2:$M$19,IF(T75="NorthBound","&lt;=","&gt;=")&amp;Z75)</f>
        <v>0</v>
      </c>
      <c r="V75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12:03:27-0600',mode:absolute,to:'2016-06-27 12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5" s="48" t="str">
        <f t="shared" si="14"/>
        <v>Y</v>
      </c>
      <c r="X75" s="48">
        <f t="shared" si="15"/>
        <v>1</v>
      </c>
      <c r="Y75" s="48">
        <f t="shared" si="16"/>
        <v>23.296700000000001</v>
      </c>
      <c r="Z75" s="48">
        <f t="shared" si="17"/>
        <v>23.296900000000001</v>
      </c>
      <c r="AA75" s="48">
        <f t="shared" si="18"/>
        <v>1.9999999999953388E-4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ht="16.5" customHeight="1" x14ac:dyDescent="0.25">
      <c r="A76" s="79" t="s">
        <v>284</v>
      </c>
      <c r="B76" s="43">
        <v>4038</v>
      </c>
      <c r="C76" s="43" t="s">
        <v>60</v>
      </c>
      <c r="D76" s="43" t="s">
        <v>176</v>
      </c>
      <c r="E76" s="25">
        <v>42548.475752314815</v>
      </c>
      <c r="F76" s="25">
        <v>42548.477361111109</v>
      </c>
      <c r="G76" s="31">
        <v>2</v>
      </c>
      <c r="H76" s="25" t="s">
        <v>213</v>
      </c>
      <c r="I76" s="25">
        <v>42548.507986111108</v>
      </c>
      <c r="J76" s="43">
        <v>2</v>
      </c>
      <c r="K76" s="43" t="str">
        <f t="shared" si="8"/>
        <v>4037/4038</v>
      </c>
      <c r="L76" s="43" t="str">
        <f>VLOOKUP(A76,'Trips&amp;Operators'!$C$1:$E$10000,3,FALSE)</f>
        <v>MOSES</v>
      </c>
      <c r="M76" s="11">
        <f t="shared" ref="M76:M107" si="20">I76-F76</f>
        <v>3.0624999999417923E-2</v>
      </c>
      <c r="N76" s="12">
        <f t="shared" ref="N76:P137" si="21">24*60*SUM($M76:$M76)</f>
        <v>44.09999999916181</v>
      </c>
      <c r="O76" s="12"/>
      <c r="P76" s="12"/>
      <c r="Q76" s="44"/>
      <c r="R76" s="44"/>
      <c r="S76" s="70">
        <f t="shared" si="11"/>
        <v>1</v>
      </c>
      <c r="T76" s="2" t="str">
        <f t="shared" si="12"/>
        <v>NorthBound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6" s="48" t="str">
        <f t="shared" si="14"/>
        <v>N</v>
      </c>
      <c r="X76" s="48">
        <f t="shared" si="15"/>
        <v>1</v>
      </c>
      <c r="Y76" s="48">
        <f t="shared" si="16"/>
        <v>4.4200000000000003E-2</v>
      </c>
      <c r="Z76" s="48">
        <f t="shared" si="17"/>
        <v>23.332100000000001</v>
      </c>
      <c r="AA76" s="48">
        <f t="shared" si="18"/>
        <v>23.2879</v>
      </c>
      <c r="AB76" s="49">
        <f>VLOOKUP(A76,Enforcements!$C$7:$J$32,8,0)</f>
        <v>58117</v>
      </c>
      <c r="AC76" s="49" t="str">
        <f>VLOOKUP(A76,Enforcements!$C$7:$E$32,3,0)</f>
        <v>GRADE CROSSING</v>
      </c>
    </row>
    <row r="77" spans="1:29" s="2" customFormat="1" ht="16.5" customHeight="1" x14ac:dyDescent="0.25">
      <c r="A77" s="80" t="s">
        <v>291</v>
      </c>
      <c r="B77" s="43">
        <v>4037</v>
      </c>
      <c r="C77" s="43" t="s">
        <v>60</v>
      </c>
      <c r="D77" s="43" t="s">
        <v>202</v>
      </c>
      <c r="E77" s="25">
        <v>42548.513333333336</v>
      </c>
      <c r="F77" s="25">
        <v>42548.514699074076</v>
      </c>
      <c r="G77" s="25">
        <v>1</v>
      </c>
      <c r="H77" s="25" t="s">
        <v>425</v>
      </c>
      <c r="I77" s="25">
        <v>42548.545937499999</v>
      </c>
      <c r="J77" s="43">
        <v>1</v>
      </c>
      <c r="K77" s="43" t="str">
        <f t="shared" ref="K77:K140" si="22">IF(ISEVEN(B77),(B77-1)&amp;"/"&amp;B77,B77&amp;"/"&amp;(B77+1))</f>
        <v>4037/4038</v>
      </c>
      <c r="L77" s="43" t="str">
        <f>VLOOKUP(A77,'Trips&amp;Operators'!$C$1:$E$10000,3,FALSE)</f>
        <v>MOSES</v>
      </c>
      <c r="M77" s="11">
        <f t="shared" si="20"/>
        <v>3.1238425923220348E-2</v>
      </c>
      <c r="N77" s="12">
        <f t="shared" si="21"/>
        <v>44.983333329437301</v>
      </c>
      <c r="O77" s="12"/>
      <c r="P77" s="12"/>
      <c r="Q77" s="44"/>
      <c r="R77" s="44"/>
      <c r="S77" s="70">
        <f t="shared" si="11"/>
        <v>1</v>
      </c>
      <c r="T77" s="2" t="str">
        <f t="shared" si="12"/>
        <v>Southbound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si="13"/>
        <v>https://search-rtdc-monitor-bjffxe2xuh6vdkpspy63sjmuny.us-east-1.es.amazonaws.com/_plugin/kibana/#/discover/Steve-Slow-Train-Analysis-(2080s-and-2083s)?_g=(refreshInterval:(display:Off,section:0,value:0),time:(from:'2016-06-27 12:18:12-0600',mode:absolute,to:'2016-06-27 13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7" s="48" t="str">
        <f t="shared" si="14"/>
        <v>N</v>
      </c>
      <c r="X77" s="48">
        <f t="shared" si="15"/>
        <v>1</v>
      </c>
      <c r="Y77" s="48">
        <f t="shared" si="16"/>
        <v>23.299600000000002</v>
      </c>
      <c r="Z77" s="48">
        <f t="shared" si="17"/>
        <v>1.34E-2</v>
      </c>
      <c r="AA77" s="48">
        <f t="shared" si="18"/>
        <v>23.286200000000001</v>
      </c>
      <c r="AB77" s="49">
        <f>VLOOKUP(A77,Enforcements!$C$7:$J$32,8,0)</f>
        <v>58301</v>
      </c>
      <c r="AC77" s="49" t="str">
        <f>VLOOKUP(A77,Enforcements!$C$7:$E$32,3,0)</f>
        <v>GRADE CROSSING</v>
      </c>
    </row>
    <row r="78" spans="1:29" s="2" customFormat="1" x14ac:dyDescent="0.25">
      <c r="A78" s="79" t="s">
        <v>426</v>
      </c>
      <c r="B78" s="43">
        <v>4025</v>
      </c>
      <c r="C78" s="43" t="s">
        <v>60</v>
      </c>
      <c r="D78" s="43" t="s">
        <v>381</v>
      </c>
      <c r="E78" s="25">
        <v>42548.487974537034</v>
      </c>
      <c r="F78" s="25">
        <v>42548.489062499997</v>
      </c>
      <c r="G78" s="31">
        <v>1</v>
      </c>
      <c r="H78" s="25" t="s">
        <v>390</v>
      </c>
      <c r="I78" s="25">
        <v>42548.517060185186</v>
      </c>
      <c r="J78" s="43">
        <v>0</v>
      </c>
      <c r="K78" s="43" t="str">
        <f t="shared" si="22"/>
        <v>4025/4026</v>
      </c>
      <c r="L78" s="43" t="str">
        <f>VLOOKUP(A78,'Trips&amp;Operators'!$C$1:$E$10000,3,FALSE)</f>
        <v>LOCKLEAR</v>
      </c>
      <c r="M78" s="11">
        <f t="shared" si="20"/>
        <v>2.7997685188893229E-2</v>
      </c>
      <c r="N78" s="12">
        <f t="shared" si="21"/>
        <v>40.316666672006249</v>
      </c>
      <c r="O78" s="12"/>
      <c r="P78" s="12"/>
      <c r="Q78" s="44"/>
      <c r="R78" s="44"/>
      <c r="S78" s="70">
        <f t="shared" ref="S78:S141" si="23">SUM(U78:U78)/12</f>
        <v>1</v>
      </c>
      <c r="T78" s="2" t="str">
        <f t="shared" ref="T78:T141" si="24">IF(ISEVEN(LEFT(A78,3)),"Southbound","NorthBound")</f>
        <v>NorthBound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ref="V78:V141" si="25"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https://search-rtdc-monitor-bjffxe2xuh6vdkpspy63sjmuny.us-east-1.es.amazonaws.com/_plugin/kibana/#/discover/Steve-Slow-Train-Analysis-(2080s-and-2083s)?_g=(refreshInterval:(display:Off,section:0,value:0),time:(from:'2016-06-27 11:41:41-0600',mode:absolute,to:'2016-06-27 12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8" s="48" t="str">
        <f t="shared" ref="W78:W141" si="26">IF(AA78&lt;23,"Y","N")</f>
        <v>N</v>
      </c>
      <c r="X78" s="48">
        <f t="shared" ref="X78:X141" si="27">VALUE(LEFT(A78,3))-VALUE(LEFT(A77,3))</f>
        <v>1</v>
      </c>
      <c r="Y78" s="48">
        <f t="shared" ref="Y78:Y141" si="28">RIGHT(D78,LEN(D78)-4)/10000</f>
        <v>4.4600000000000001E-2</v>
      </c>
      <c r="Z78" s="48">
        <f t="shared" ref="Z78:Z141" si="29">RIGHT(H78,LEN(H78)-4)/10000</f>
        <v>23.333200000000001</v>
      </c>
      <c r="AA78" s="48">
        <f t="shared" ref="AA78:AA141" si="30">ABS(Z78-Y78)</f>
        <v>23.288600000000002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x14ac:dyDescent="0.25">
      <c r="A79" s="79" t="s">
        <v>292</v>
      </c>
      <c r="B79" s="43">
        <v>4026</v>
      </c>
      <c r="C79" s="43" t="s">
        <v>60</v>
      </c>
      <c r="D79" s="43" t="s">
        <v>203</v>
      </c>
      <c r="E79" s="25">
        <v>42548.526469907411</v>
      </c>
      <c r="F79" s="25">
        <v>42548.527638888889</v>
      </c>
      <c r="G79" s="31">
        <v>1</v>
      </c>
      <c r="H79" s="25" t="s">
        <v>97</v>
      </c>
      <c r="I79" s="25">
        <v>42548.558912037035</v>
      </c>
      <c r="J79" s="43">
        <v>1</v>
      </c>
      <c r="K79" s="43" t="str">
        <f t="shared" si="22"/>
        <v>4025/4026</v>
      </c>
      <c r="L79" s="43" t="str">
        <f>VLOOKUP(A79,'Trips&amp;Operators'!$C$1:$E$10000,3,FALSE)</f>
        <v>LOCKLEAR</v>
      </c>
      <c r="M79" s="11">
        <f t="shared" si="20"/>
        <v>3.1273148146283347E-2</v>
      </c>
      <c r="N79" s="12">
        <f t="shared" si="21"/>
        <v>45.03333333064802</v>
      </c>
      <c r="O79" s="12"/>
      <c r="P79" s="12"/>
      <c r="Q79" s="44"/>
      <c r="R79" s="44"/>
      <c r="S79" s="70">
        <f t="shared" si="23"/>
        <v>1</v>
      </c>
      <c r="T79" s="2" t="str">
        <f t="shared" si="24"/>
        <v>Southbound</v>
      </c>
      <c r="U79" s="2">
        <f>COUNTIFS(Variables!$M$2:$M$19,IF(T79="NorthBound","&gt;=","&lt;=")&amp;Y79,Variables!$M$2:$M$19,IF(T79="NorthBound","&lt;=","&gt;=")&amp;Z79)</f>
        <v>12</v>
      </c>
      <c r="V7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12:37:07-0600',mode:absolute,to:'2016-06-27 13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9" s="48" t="str">
        <f t="shared" si="26"/>
        <v>N</v>
      </c>
      <c r="X79" s="48">
        <f t="shared" si="27"/>
        <v>1</v>
      </c>
      <c r="Y79" s="48">
        <f t="shared" si="28"/>
        <v>23.3005</v>
      </c>
      <c r="Z79" s="48">
        <f t="shared" si="29"/>
        <v>1.5800000000000002E-2</v>
      </c>
      <c r="AA79" s="48">
        <f t="shared" si="30"/>
        <v>23.284700000000001</v>
      </c>
      <c r="AB79" s="49">
        <f>VLOOKUP(A79,Enforcements!$C$7:$J$32,8,0)</f>
        <v>63309</v>
      </c>
      <c r="AC79" s="49" t="str">
        <f>VLOOKUP(A79,Enforcements!$C$7:$E$32,3,0)</f>
        <v>GRADE CROSSING</v>
      </c>
    </row>
    <row r="80" spans="1:29" s="2" customFormat="1" x14ac:dyDescent="0.25">
      <c r="A80" s="79" t="s">
        <v>288</v>
      </c>
      <c r="B80" s="43">
        <v>4029</v>
      </c>
      <c r="C80" s="43" t="s">
        <v>60</v>
      </c>
      <c r="D80" s="43" t="s">
        <v>69</v>
      </c>
      <c r="E80" s="25">
        <v>42548.496053240742</v>
      </c>
      <c r="F80" s="25">
        <v>42548.497013888889</v>
      </c>
      <c r="G80" s="31">
        <v>1</v>
      </c>
      <c r="H80" s="25" t="s">
        <v>180</v>
      </c>
      <c r="I80" s="25">
        <v>42548.526469907411</v>
      </c>
      <c r="J80" s="43">
        <v>1</v>
      </c>
      <c r="K80" s="43" t="str">
        <f t="shared" si="22"/>
        <v>4029/4030</v>
      </c>
      <c r="L80" s="43" t="str">
        <f>VLOOKUP(A80,'Trips&amp;Operators'!$C$1:$E$10000,3,FALSE)</f>
        <v>ACKERMAN</v>
      </c>
      <c r="M80" s="11">
        <f t="shared" si="20"/>
        <v>2.9456018521159422E-2</v>
      </c>
      <c r="N80" s="12">
        <f t="shared" si="21"/>
        <v>42.416666670469567</v>
      </c>
      <c r="O80" s="12"/>
      <c r="P80" s="12"/>
      <c r="Q80" s="44"/>
      <c r="R80" s="44"/>
      <c r="S80" s="70">
        <f t="shared" si="23"/>
        <v>1</v>
      </c>
      <c r="T80" s="2" t="str">
        <f t="shared" si="24"/>
        <v>NorthBound</v>
      </c>
      <c r="U80" s="2">
        <f>COUNTIFS(Variables!$M$2:$M$19,IF(T80="NorthBound","&gt;=","&lt;=")&amp;Y80,Variables!$M$2:$M$19,IF(T80="NorthBound","&lt;=","&gt;=")&amp;Z80)</f>
        <v>12</v>
      </c>
      <c r="V8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11:53:19-0600',mode:absolute,to:'2016-06-27 12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0" s="48" t="str">
        <f t="shared" si="26"/>
        <v>N</v>
      </c>
      <c r="X80" s="48">
        <f t="shared" si="27"/>
        <v>1</v>
      </c>
      <c r="Y80" s="48">
        <f t="shared" si="28"/>
        <v>4.5999999999999999E-2</v>
      </c>
      <c r="Z80" s="48">
        <f t="shared" si="29"/>
        <v>23.300999999999998</v>
      </c>
      <c r="AA80" s="48">
        <f t="shared" si="30"/>
        <v>23.254999999999999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79" t="s">
        <v>427</v>
      </c>
      <c r="B81" s="43">
        <v>4030</v>
      </c>
      <c r="C81" s="43" t="s">
        <v>60</v>
      </c>
      <c r="D81" s="43" t="s">
        <v>428</v>
      </c>
      <c r="E81" s="25">
        <v>42548.533750000002</v>
      </c>
      <c r="F81" s="25">
        <v>42548.534988425927</v>
      </c>
      <c r="G81" s="31">
        <v>1</v>
      </c>
      <c r="H81" s="25" t="s">
        <v>62</v>
      </c>
      <c r="I81" s="25">
        <v>42548.569849537038</v>
      </c>
      <c r="J81" s="43">
        <v>0</v>
      </c>
      <c r="K81" s="43" t="str">
        <f t="shared" si="22"/>
        <v>4029/4030</v>
      </c>
      <c r="L81" s="43" t="str">
        <f>VLOOKUP(A81,'Trips&amp;Operators'!$C$1:$E$10000,3,FALSE)</f>
        <v>ACKERMAN</v>
      </c>
      <c r="M81" s="11">
        <f t="shared" si="20"/>
        <v>3.4861111111240461E-2</v>
      </c>
      <c r="N81" s="12">
        <f t="shared" si="21"/>
        <v>50.200000000186265</v>
      </c>
      <c r="O81" s="12"/>
      <c r="P81" s="12"/>
      <c r="Q81" s="44"/>
      <c r="R81" s="44"/>
      <c r="S81" s="70">
        <f t="shared" si="23"/>
        <v>1</v>
      </c>
      <c r="T81" s="2" t="str">
        <f t="shared" si="24"/>
        <v>Southbound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12:47:36-0600',mode:absolute,to:'2016-06-27 13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1" s="48" t="str">
        <f t="shared" si="26"/>
        <v>N</v>
      </c>
      <c r="X81" s="48">
        <f t="shared" si="27"/>
        <v>1</v>
      </c>
      <c r="Y81" s="48">
        <f t="shared" si="28"/>
        <v>23.286000000000001</v>
      </c>
      <c r="Z81" s="48">
        <f t="shared" si="29"/>
        <v>1.52E-2</v>
      </c>
      <c r="AA81" s="48">
        <f t="shared" si="30"/>
        <v>23.270800000000001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64" customFormat="1" x14ac:dyDescent="0.25">
      <c r="A82" s="79" t="s">
        <v>429</v>
      </c>
      <c r="B82" s="43">
        <v>4027</v>
      </c>
      <c r="C82" s="43" t="s">
        <v>60</v>
      </c>
      <c r="D82" s="43" t="s">
        <v>103</v>
      </c>
      <c r="E82" s="25">
        <v>42548.514050925929</v>
      </c>
      <c r="F82" s="25">
        <v>42548.515011574076</v>
      </c>
      <c r="G82" s="31">
        <v>1</v>
      </c>
      <c r="H82" s="25" t="s">
        <v>430</v>
      </c>
      <c r="I82" s="25">
        <v>42548.543171296296</v>
      </c>
      <c r="J82" s="43">
        <v>0</v>
      </c>
      <c r="K82" s="43" t="str">
        <f t="shared" si="22"/>
        <v>4027/4028</v>
      </c>
      <c r="L82" s="43" t="str">
        <f>VLOOKUP(A82,'Trips&amp;Operators'!$C$1:$E$10000,3,FALSE)</f>
        <v>SHOOK</v>
      </c>
      <c r="M82" s="11">
        <f t="shared" si="20"/>
        <v>2.8159722220152617E-2</v>
      </c>
      <c r="N82" s="12">
        <f t="shared" si="21"/>
        <v>40.549999997019768</v>
      </c>
      <c r="O82" s="12"/>
      <c r="P82" s="12"/>
      <c r="Q82" s="44"/>
      <c r="R82" s="44"/>
      <c r="S82" s="70">
        <f t="shared" si="23"/>
        <v>1</v>
      </c>
      <c r="T82" s="2" t="str">
        <f t="shared" si="24"/>
        <v>NorthBound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12:19:14-0600',mode:absolute,to:'2016-06-27 13:03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2" s="48" t="str">
        <f t="shared" si="26"/>
        <v>N</v>
      </c>
      <c r="X82" s="48">
        <f t="shared" si="27"/>
        <v>1</v>
      </c>
      <c r="Y82" s="48">
        <f t="shared" si="28"/>
        <v>4.5499999999999999E-2</v>
      </c>
      <c r="Z82" s="48">
        <f t="shared" si="29"/>
        <v>23.337599999999998</v>
      </c>
      <c r="AA82" s="48">
        <f t="shared" si="30"/>
        <v>23.292099999999998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2" customFormat="1" x14ac:dyDescent="0.25">
      <c r="A83" s="79" t="s">
        <v>431</v>
      </c>
      <c r="B83" s="43">
        <v>4028</v>
      </c>
      <c r="C83" s="43" t="s">
        <v>60</v>
      </c>
      <c r="D83" s="43" t="s">
        <v>432</v>
      </c>
      <c r="E83" s="25">
        <v>42548.547060185185</v>
      </c>
      <c r="F83" s="25">
        <v>42548.54954861111</v>
      </c>
      <c r="G83" s="31">
        <v>3</v>
      </c>
      <c r="H83" s="25" t="s">
        <v>75</v>
      </c>
      <c r="I83" s="25">
        <v>42548.577662037038</v>
      </c>
      <c r="J83" s="43">
        <v>0</v>
      </c>
      <c r="K83" s="43" t="str">
        <f t="shared" si="22"/>
        <v>4027/4028</v>
      </c>
      <c r="L83" s="43" t="str">
        <f>VLOOKUP(A83,'Trips&amp;Operators'!$C$1:$E$10000,3,FALSE)</f>
        <v>SHOOK</v>
      </c>
      <c r="M83" s="11">
        <f t="shared" si="20"/>
        <v>2.8113425927585922E-2</v>
      </c>
      <c r="N83" s="12">
        <f t="shared" si="21"/>
        <v>40.483333335723728</v>
      </c>
      <c r="O83" s="12"/>
      <c r="P83" s="12"/>
      <c r="Q83" s="44"/>
      <c r="R83" s="44"/>
      <c r="S83" s="70">
        <f t="shared" si="23"/>
        <v>1</v>
      </c>
      <c r="T83" s="2" t="str">
        <f t="shared" si="24"/>
        <v>Southbound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13:06:46-0600',mode:absolute,to:'2016-06-27 13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3" s="48" t="str">
        <f t="shared" si="26"/>
        <v>N</v>
      </c>
      <c r="X83" s="48">
        <f t="shared" si="27"/>
        <v>1</v>
      </c>
      <c r="Y83" s="48">
        <f t="shared" si="28"/>
        <v>23.3063</v>
      </c>
      <c r="Z83" s="48">
        <f t="shared" si="29"/>
        <v>1.49E-2</v>
      </c>
      <c r="AA83" s="48">
        <f t="shared" si="30"/>
        <v>23.291399999999999</v>
      </c>
      <c r="AB83" s="49" t="e">
        <f>VLOOKUP(A83,Enforcements!$C$7:$J$32,8,0)</f>
        <v>#N/A</v>
      </c>
      <c r="AC83" s="49" t="e">
        <f>VLOOKUP(A83,Enforcements!$C$7:$E$32,3,0)</f>
        <v>#N/A</v>
      </c>
    </row>
    <row r="84" spans="1:29" s="2" customFormat="1" ht="14.25" customHeight="1" x14ac:dyDescent="0.25">
      <c r="A84" s="79" t="s">
        <v>433</v>
      </c>
      <c r="B84" s="43">
        <v>4031</v>
      </c>
      <c r="C84" s="43" t="s">
        <v>60</v>
      </c>
      <c r="D84" s="43" t="s">
        <v>198</v>
      </c>
      <c r="E84" s="25">
        <v>42548.518946759257</v>
      </c>
      <c r="F84" s="25">
        <v>42548.520104166666</v>
      </c>
      <c r="G84" s="31">
        <v>1</v>
      </c>
      <c r="H84" s="25" t="s">
        <v>216</v>
      </c>
      <c r="I84" s="25">
        <v>42548.548761574071</v>
      </c>
      <c r="J84" s="43">
        <v>0</v>
      </c>
      <c r="K84" s="43" t="str">
        <f t="shared" si="22"/>
        <v>4031/4032</v>
      </c>
      <c r="L84" s="43" t="str">
        <f>VLOOKUP(A84,'Trips&amp;Operators'!$C$1:$E$10000,3,FALSE)</f>
        <v>HELVIE</v>
      </c>
      <c r="M84" s="11">
        <f t="shared" si="20"/>
        <v>2.8657407405262347E-2</v>
      </c>
      <c r="N84" s="12">
        <f t="shared" si="21"/>
        <v>41.26666666357778</v>
      </c>
      <c r="O84" s="12"/>
      <c r="P84" s="12"/>
      <c r="Q84" s="44"/>
      <c r="R84" s="44"/>
      <c r="S84" s="70">
        <f t="shared" si="23"/>
        <v>1</v>
      </c>
      <c r="T84" s="2" t="str">
        <f t="shared" si="24"/>
        <v>NorthBound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12:26:17-0600',mode:absolute,to:'2016-06-27 13:11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4" s="48" t="str">
        <f t="shared" si="26"/>
        <v>N</v>
      </c>
      <c r="X84" s="48">
        <f t="shared" si="27"/>
        <v>1</v>
      </c>
      <c r="Y84" s="48">
        <f t="shared" si="28"/>
        <v>4.4900000000000002E-2</v>
      </c>
      <c r="Z84" s="48">
        <f t="shared" si="29"/>
        <v>23.3306</v>
      </c>
      <c r="AA84" s="48">
        <f t="shared" si="30"/>
        <v>23.285700000000002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79" t="s">
        <v>434</v>
      </c>
      <c r="B85" s="43">
        <v>4032</v>
      </c>
      <c r="C85" s="43" t="s">
        <v>60</v>
      </c>
      <c r="D85" s="43" t="s">
        <v>214</v>
      </c>
      <c r="E85" s="25">
        <v>42548.553923611114</v>
      </c>
      <c r="F85" s="25">
        <v>42548.554756944446</v>
      </c>
      <c r="G85" s="31">
        <v>1</v>
      </c>
      <c r="H85" s="25" t="s">
        <v>68</v>
      </c>
      <c r="I85" s="25">
        <v>42548.5862037037</v>
      </c>
      <c r="J85" s="43">
        <v>0</v>
      </c>
      <c r="K85" s="43" t="str">
        <f t="shared" si="22"/>
        <v>4031/4032</v>
      </c>
      <c r="L85" s="43" t="str">
        <f>VLOOKUP(A85,'Trips&amp;Operators'!$C$1:$E$10000,3,FALSE)</f>
        <v>HELVIE</v>
      </c>
      <c r="M85" s="11">
        <f t="shared" si="20"/>
        <v>3.1446759254322387E-2</v>
      </c>
      <c r="N85" s="12">
        <f t="shared" si="21"/>
        <v>45.283333326224238</v>
      </c>
      <c r="O85" s="12"/>
      <c r="P85" s="12"/>
      <c r="Q85" s="44"/>
      <c r="R85" s="44"/>
      <c r="S85" s="70">
        <f t="shared" si="23"/>
        <v>1</v>
      </c>
      <c r="T85" s="2" t="str">
        <f t="shared" si="24"/>
        <v>Southbound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13:16:39-0600',mode:absolute,to:'2016-06-27 14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48" t="str">
        <f t="shared" si="26"/>
        <v>N</v>
      </c>
      <c r="X85" s="48">
        <f t="shared" si="27"/>
        <v>1</v>
      </c>
      <c r="Y85" s="48">
        <f t="shared" si="28"/>
        <v>23.298100000000002</v>
      </c>
      <c r="Z85" s="48">
        <f t="shared" si="29"/>
        <v>1.6E-2</v>
      </c>
      <c r="AA85" s="48">
        <f t="shared" si="30"/>
        <v>23.282100000000003</v>
      </c>
      <c r="AB85" s="49" t="e">
        <f>VLOOKUP(A85,Enforcements!$C$7:$J$32,8,0)</f>
        <v>#N/A</v>
      </c>
      <c r="AC85" s="49" t="e">
        <f>VLOOKUP(A85,Enforcements!$C$7:$E$32,3,0)</f>
        <v>#N/A</v>
      </c>
    </row>
    <row r="86" spans="1:29" s="2" customFormat="1" x14ac:dyDescent="0.25">
      <c r="A86" s="79" t="s">
        <v>289</v>
      </c>
      <c r="B86" s="43">
        <v>4007</v>
      </c>
      <c r="C86" s="43" t="s">
        <v>60</v>
      </c>
      <c r="D86" s="43" t="s">
        <v>435</v>
      </c>
      <c r="E86" s="25">
        <v>42548.530150462961</v>
      </c>
      <c r="F86" s="25">
        <v>42548.532465277778</v>
      </c>
      <c r="G86" s="31">
        <v>3</v>
      </c>
      <c r="H86" s="25" t="s">
        <v>430</v>
      </c>
      <c r="I86" s="25">
        <v>42548.695196759261</v>
      </c>
      <c r="J86" s="43">
        <v>1</v>
      </c>
      <c r="K86" s="43" t="str">
        <f t="shared" si="22"/>
        <v>4007/4008</v>
      </c>
      <c r="L86" s="43" t="str">
        <f>VLOOKUP(A86,'Trips&amp;Operators'!$C$1:$E$10000,3,FALSE)</f>
        <v>DAVIS</v>
      </c>
      <c r="M86" s="11">
        <f t="shared" si="20"/>
        <v>0.16273148148320615</v>
      </c>
      <c r="N86" s="12">
        <f t="shared" si="21"/>
        <v>234.33333333581686</v>
      </c>
      <c r="O86" s="12"/>
      <c r="P86" s="12"/>
      <c r="Q86" s="44"/>
      <c r="R86" s="44"/>
      <c r="S86" s="70">
        <f t="shared" si="23"/>
        <v>1</v>
      </c>
      <c r="T86" s="2" t="str">
        <f t="shared" si="24"/>
        <v>NorthBound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6" s="48" t="str">
        <f t="shared" si="26"/>
        <v>N</v>
      </c>
      <c r="X86" s="48">
        <f t="shared" si="27"/>
        <v>1</v>
      </c>
      <c r="Y86" s="48">
        <f t="shared" si="28"/>
        <v>4.8599999999999997E-2</v>
      </c>
      <c r="Z86" s="48">
        <f t="shared" si="29"/>
        <v>23.337599999999998</v>
      </c>
      <c r="AA86" s="48">
        <f t="shared" si="30"/>
        <v>23.288999999999998</v>
      </c>
      <c r="AB86" s="49">
        <f>VLOOKUP(A86,Enforcements!$C$7:$J$32,8,0)</f>
        <v>110617</v>
      </c>
      <c r="AC86" s="49" t="str">
        <f>VLOOKUP(A86,Enforcements!$C$7:$E$32,3,0)</f>
        <v>EQUIPMENT RESTRICTION</v>
      </c>
    </row>
    <row r="87" spans="1:29" s="2" customFormat="1" x14ac:dyDescent="0.25">
      <c r="A87" s="79" t="s">
        <v>289</v>
      </c>
      <c r="B87" s="43">
        <v>4007</v>
      </c>
      <c r="C87" s="43" t="s">
        <v>60</v>
      </c>
      <c r="D87" s="43" t="s">
        <v>436</v>
      </c>
      <c r="E87" s="25">
        <v>42548.530150462961</v>
      </c>
      <c r="F87" s="25">
        <v>42548.534155092595</v>
      </c>
      <c r="G87" s="31">
        <v>5</v>
      </c>
      <c r="H87" s="25" t="s">
        <v>430</v>
      </c>
      <c r="I87" s="25">
        <v>42548.695196759261</v>
      </c>
      <c r="J87" s="43">
        <v>0</v>
      </c>
      <c r="K87" s="43" t="str">
        <f t="shared" si="22"/>
        <v>4007/4008</v>
      </c>
      <c r="L87" s="43" t="str">
        <f>VLOOKUP(A87,'Trips&amp;Operators'!$C$1:$E$10000,3,FALSE)</f>
        <v>DAVIS</v>
      </c>
      <c r="M87" s="11">
        <f t="shared" si="20"/>
        <v>0.16104166666627862</v>
      </c>
      <c r="N87" s="12">
        <f t="shared" si="21"/>
        <v>231.89999999944121</v>
      </c>
      <c r="O87" s="12"/>
      <c r="P87" s="12"/>
      <c r="Q87" s="44"/>
      <c r="R87" s="44"/>
      <c r="S87" s="70">
        <f t="shared" si="23"/>
        <v>1</v>
      </c>
      <c r="T87" s="2" t="str">
        <f t="shared" si="24"/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7" s="48" t="str">
        <f t="shared" si="26"/>
        <v>N</v>
      </c>
      <c r="X87" s="48">
        <f t="shared" si="27"/>
        <v>0</v>
      </c>
      <c r="Y87" s="48">
        <f t="shared" si="28"/>
        <v>4.9500000000000002E-2</v>
      </c>
      <c r="Z87" s="48">
        <f t="shared" si="29"/>
        <v>23.337599999999998</v>
      </c>
      <c r="AA87" s="48">
        <f t="shared" si="30"/>
        <v>23.2881</v>
      </c>
      <c r="AB87" s="49">
        <f>VLOOKUP(A87,Enforcements!$C$7:$J$32,8,0)</f>
        <v>110617</v>
      </c>
      <c r="AC87" s="49" t="str">
        <f>VLOOKUP(A87,Enforcements!$C$7:$E$32,3,0)</f>
        <v>EQUIPMENT RESTRICTION</v>
      </c>
    </row>
    <row r="88" spans="1:29" s="2" customFormat="1" x14ac:dyDescent="0.25">
      <c r="A88" s="79" t="s">
        <v>297</v>
      </c>
      <c r="B88" s="43">
        <v>4008</v>
      </c>
      <c r="C88" s="43" t="s">
        <v>60</v>
      </c>
      <c r="D88" s="43" t="s">
        <v>151</v>
      </c>
      <c r="E88" s="25">
        <v>42548.569212962961</v>
      </c>
      <c r="F88" s="25">
        <v>42548.570462962962</v>
      </c>
      <c r="G88" s="31">
        <v>1</v>
      </c>
      <c r="H88" s="25" t="s">
        <v>437</v>
      </c>
      <c r="I88" s="25">
        <v>42548.600393518522</v>
      </c>
      <c r="J88" s="43">
        <v>1</v>
      </c>
      <c r="K88" s="43" t="str">
        <f t="shared" si="22"/>
        <v>4007/4008</v>
      </c>
      <c r="L88" s="43" t="str">
        <f>VLOOKUP(A88,'Trips&amp;Operators'!$C$1:$E$10000,3,FALSE)</f>
        <v>DAVIS</v>
      </c>
      <c r="M88" s="11">
        <f t="shared" si="20"/>
        <v>2.9930555559985805E-2</v>
      </c>
      <c r="N88" s="12">
        <f t="shared" si="21"/>
        <v>43.10000000637956</v>
      </c>
      <c r="O88" s="12"/>
      <c r="P88" s="12"/>
      <c r="Q88" s="44"/>
      <c r="R88" s="44"/>
      <c r="S88" s="70">
        <f t="shared" si="23"/>
        <v>1</v>
      </c>
      <c r="T88" s="2" t="str">
        <f t="shared" si="24"/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13:38:40-0600',mode:absolute,to:'2016-06-27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8" s="48" t="str">
        <f t="shared" si="26"/>
        <v>N</v>
      </c>
      <c r="X88" s="48">
        <f t="shared" si="27"/>
        <v>1</v>
      </c>
      <c r="Y88" s="48">
        <f t="shared" si="28"/>
        <v>23.2971</v>
      </c>
      <c r="Z88" s="48">
        <f t="shared" si="29"/>
        <v>0.11899999999999999</v>
      </c>
      <c r="AA88" s="48">
        <f t="shared" si="30"/>
        <v>23.178100000000001</v>
      </c>
      <c r="AB88" s="49" t="e">
        <f>VLOOKUP(A88,Enforcements!$C$7:$J$32,8,0)</f>
        <v>#N/A</v>
      </c>
      <c r="AC88" s="49" t="e">
        <f>VLOOKUP(A88,Enforcements!$C$7:$E$32,3,0)</f>
        <v>#N/A</v>
      </c>
    </row>
    <row r="89" spans="1:29" s="2" customFormat="1" x14ac:dyDescent="0.25">
      <c r="A89" s="79" t="s">
        <v>293</v>
      </c>
      <c r="B89" s="43">
        <v>4014</v>
      </c>
      <c r="C89" s="43" t="s">
        <v>60</v>
      </c>
      <c r="D89" s="43" t="s">
        <v>381</v>
      </c>
      <c r="E89" s="25">
        <v>42548.545729166668</v>
      </c>
      <c r="F89" s="25">
        <v>42548.546817129631</v>
      </c>
      <c r="G89" s="31">
        <v>1</v>
      </c>
      <c r="H89" s="25" t="s">
        <v>155</v>
      </c>
      <c r="I89" s="25">
        <v>42548.575057870374</v>
      </c>
      <c r="J89" s="43">
        <v>5</v>
      </c>
      <c r="K89" s="43" t="str">
        <f t="shared" si="22"/>
        <v>4013/4014</v>
      </c>
      <c r="L89" s="43" t="str">
        <f>VLOOKUP(A89,'Trips&amp;Operators'!$C$1:$E$10000,3,FALSE)</f>
        <v>STAMBAUGH</v>
      </c>
      <c r="M89" s="11">
        <f t="shared" si="20"/>
        <v>2.8240740743058268E-2</v>
      </c>
      <c r="N89" s="12">
        <f t="shared" si="21"/>
        <v>40.666666670003906</v>
      </c>
      <c r="O89" s="12"/>
      <c r="P89" s="12"/>
      <c r="Q89" s="44"/>
      <c r="R89" s="44"/>
      <c r="S89" s="70">
        <f t="shared" si="23"/>
        <v>1</v>
      </c>
      <c r="T89" s="2" t="str">
        <f t="shared" si="24"/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9" s="48" t="str">
        <f t="shared" si="26"/>
        <v>N</v>
      </c>
      <c r="X89" s="48">
        <f t="shared" si="27"/>
        <v>1</v>
      </c>
      <c r="Y89" s="48">
        <f t="shared" si="28"/>
        <v>4.4600000000000001E-2</v>
      </c>
      <c r="Z89" s="48">
        <v>23.32</v>
      </c>
      <c r="AA89" s="48">
        <f t="shared" si="30"/>
        <v>23.275400000000001</v>
      </c>
      <c r="AB89" s="49">
        <f>VLOOKUP(A89,Enforcements!$C$7:$J$32,8,0)</f>
        <v>63068</v>
      </c>
      <c r="AC89" s="49" t="str">
        <f>VLOOKUP(A89,Enforcements!$C$7:$E$32,3,0)</f>
        <v>GRADE CROSSING</v>
      </c>
    </row>
    <row r="90" spans="1:29" s="2" customFormat="1" x14ac:dyDescent="0.25">
      <c r="A90" s="79" t="s">
        <v>298</v>
      </c>
      <c r="B90" s="43">
        <v>4013</v>
      </c>
      <c r="C90" s="43" t="s">
        <v>60</v>
      </c>
      <c r="D90" s="43" t="s">
        <v>438</v>
      </c>
      <c r="E90" s="25">
        <v>42548.578877314816</v>
      </c>
      <c r="F90" s="25">
        <v>42548.581319444442</v>
      </c>
      <c r="G90" s="31">
        <v>3</v>
      </c>
      <c r="H90" s="25" t="s">
        <v>97</v>
      </c>
      <c r="I90" s="25">
        <v>42548.611192129632</v>
      </c>
      <c r="J90" s="43">
        <v>2</v>
      </c>
      <c r="K90" s="43" t="str">
        <f t="shared" si="22"/>
        <v>4013/4014</v>
      </c>
      <c r="L90" s="43" t="str">
        <f>VLOOKUP(A90,'Trips&amp;Operators'!$C$1:$E$10000,3,FALSE)</f>
        <v>STAMBAUGH</v>
      </c>
      <c r="M90" s="11">
        <f t="shared" si="20"/>
        <v>2.9872685190639459E-2</v>
      </c>
      <c r="N90" s="12">
        <f t="shared" si="21"/>
        <v>43.01666667452082</v>
      </c>
      <c r="O90" s="12"/>
      <c r="P90" s="12"/>
      <c r="Q90" s="44"/>
      <c r="R90" s="44"/>
      <c r="S90" s="70">
        <f t="shared" si="23"/>
        <v>1</v>
      </c>
      <c r="T90" s="2" t="str">
        <f t="shared" si="24"/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0" s="48" t="str">
        <f t="shared" si="26"/>
        <v>N</v>
      </c>
      <c r="X90" s="48">
        <f t="shared" si="27"/>
        <v>1</v>
      </c>
      <c r="Y90" s="48">
        <f t="shared" si="28"/>
        <v>23.296800000000001</v>
      </c>
      <c r="Z90" s="48">
        <f t="shared" si="29"/>
        <v>1.5800000000000002E-2</v>
      </c>
      <c r="AA90" s="48">
        <f t="shared" si="30"/>
        <v>23.281000000000002</v>
      </c>
      <c r="AB90" s="49">
        <f>VLOOKUP(A90,Enforcements!$C$7:$J$32,8,0)</f>
        <v>58301</v>
      </c>
      <c r="AC90" s="49" t="str">
        <f>VLOOKUP(A90,Enforcements!$C$7:$E$32,3,0)</f>
        <v>GRADE CROSSING</v>
      </c>
    </row>
    <row r="91" spans="1:29" s="2" customFormat="1" x14ac:dyDescent="0.25">
      <c r="A91" s="79" t="s">
        <v>439</v>
      </c>
      <c r="B91" s="43">
        <v>4038</v>
      </c>
      <c r="C91" s="43" t="s">
        <v>60</v>
      </c>
      <c r="D91" s="43" t="s">
        <v>440</v>
      </c>
      <c r="E91" s="25">
        <v>42548.547939814816</v>
      </c>
      <c r="F91" s="25">
        <v>42548.548831018517</v>
      </c>
      <c r="G91" s="31">
        <v>1</v>
      </c>
      <c r="H91" s="25" t="s">
        <v>153</v>
      </c>
      <c r="I91" s="25">
        <v>42548.585798611108</v>
      </c>
      <c r="J91" s="43">
        <v>0</v>
      </c>
      <c r="K91" s="43" t="str">
        <f t="shared" si="22"/>
        <v>4037/4038</v>
      </c>
      <c r="L91" s="43" t="str">
        <f>VLOOKUP(A91,'Trips&amp;Operators'!$C$1:$E$10000,3,FALSE)</f>
        <v>MOSES</v>
      </c>
      <c r="M91" s="11">
        <f t="shared" si="20"/>
        <v>3.6967592590372078E-2</v>
      </c>
      <c r="N91" s="12">
        <f t="shared" si="21"/>
        <v>53.233333330135792</v>
      </c>
      <c r="O91" s="12"/>
      <c r="P91" s="12"/>
      <c r="Q91" s="44"/>
      <c r="R91" s="44"/>
      <c r="S91" s="70">
        <f t="shared" si="23"/>
        <v>1</v>
      </c>
      <c r="T91" s="2" t="str">
        <f t="shared" si="24"/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13:08:02-0600',mode:absolute,to:'2016-06-27 14:04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1" s="48" t="str">
        <f t="shared" si="26"/>
        <v>N</v>
      </c>
      <c r="X91" s="48">
        <f t="shared" si="27"/>
        <v>1</v>
      </c>
      <c r="Y91" s="48">
        <f t="shared" si="28"/>
        <v>4.3099999999999999E-2</v>
      </c>
      <c r="Z91" s="48">
        <f t="shared" si="29"/>
        <v>23.328900000000001</v>
      </c>
      <c r="AA91" s="48">
        <f t="shared" si="30"/>
        <v>23.285800000000002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79" t="s">
        <v>441</v>
      </c>
      <c r="B92" s="43">
        <v>4037</v>
      </c>
      <c r="C92" s="43" t="s">
        <v>60</v>
      </c>
      <c r="D92" s="43" t="s">
        <v>156</v>
      </c>
      <c r="E92" s="25">
        <v>42548.588726851849</v>
      </c>
      <c r="F92" s="25">
        <v>42548.589861111112</v>
      </c>
      <c r="G92" s="31">
        <v>1</v>
      </c>
      <c r="H92" s="25" t="s">
        <v>442</v>
      </c>
      <c r="I92" s="25">
        <v>42548.619803240741</v>
      </c>
      <c r="J92" s="43">
        <v>0</v>
      </c>
      <c r="K92" s="43" t="str">
        <f t="shared" si="22"/>
        <v>4037/4038</v>
      </c>
      <c r="L92" s="43" t="str">
        <f>VLOOKUP(A92,'Trips&amp;Operators'!$C$1:$E$10000,3,FALSE)</f>
        <v>MOSES</v>
      </c>
      <c r="M92" s="11">
        <f t="shared" si="20"/>
        <v>2.99421296294895E-2</v>
      </c>
      <c r="N92" s="12">
        <f t="shared" si="21"/>
        <v>43.11666666646488</v>
      </c>
      <c r="O92" s="12"/>
      <c r="P92" s="12"/>
      <c r="Q92" s="44"/>
      <c r="R92" s="44"/>
      <c r="S92" s="70">
        <f t="shared" si="23"/>
        <v>1</v>
      </c>
      <c r="T92" s="2" t="str">
        <f t="shared" si="24"/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14:06:46-0600',mode:absolute,to:'2016-06-27 14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2" s="48" t="str">
        <f t="shared" si="26"/>
        <v>N</v>
      </c>
      <c r="X92" s="48">
        <f t="shared" si="27"/>
        <v>1</v>
      </c>
      <c r="Y92" s="48">
        <f t="shared" si="28"/>
        <v>23.2973</v>
      </c>
      <c r="Z92" s="48">
        <f t="shared" si="29"/>
        <v>1.7399999999999999E-2</v>
      </c>
      <c r="AA92" s="48">
        <f t="shared" si="30"/>
        <v>23.279900000000001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79" t="s">
        <v>294</v>
      </c>
      <c r="B93" s="43">
        <v>4025</v>
      </c>
      <c r="C93" s="43" t="s">
        <v>60</v>
      </c>
      <c r="D93" s="43" t="s">
        <v>176</v>
      </c>
      <c r="E93" s="25">
        <v>42548.560185185182</v>
      </c>
      <c r="F93" s="25">
        <v>42548.561168981483</v>
      </c>
      <c r="G93" s="31">
        <v>1</v>
      </c>
      <c r="H93" s="25" t="s">
        <v>159</v>
      </c>
      <c r="I93" s="25">
        <v>42548.589803240742</v>
      </c>
      <c r="J93" s="43">
        <v>1</v>
      </c>
      <c r="K93" s="43" t="str">
        <f t="shared" si="22"/>
        <v>4025/4026</v>
      </c>
      <c r="L93" s="43" t="str">
        <f>VLOOKUP(A93,'Trips&amp;Operators'!$C$1:$E$10000,3,FALSE)</f>
        <v>LOCKLEAR</v>
      </c>
      <c r="M93" s="11">
        <f t="shared" si="20"/>
        <v>2.8634259258979E-2</v>
      </c>
      <c r="N93" s="12">
        <f t="shared" si="21"/>
        <v>41.23333333292976</v>
      </c>
      <c r="O93" s="12"/>
      <c r="P93" s="12"/>
      <c r="Q93" s="44"/>
      <c r="R93" s="44"/>
      <c r="S93" s="70">
        <f t="shared" si="23"/>
        <v>1</v>
      </c>
      <c r="T93" s="2" t="str">
        <f t="shared" si="24"/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13:25:40-0600',mode:absolute,to:'2016-06-27 14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3" s="48" t="str">
        <f t="shared" si="26"/>
        <v>N</v>
      </c>
      <c r="X93" s="48">
        <f t="shared" si="27"/>
        <v>1</v>
      </c>
      <c r="Y93" s="48">
        <f t="shared" si="28"/>
        <v>4.4200000000000003E-2</v>
      </c>
      <c r="Z93" s="48">
        <f t="shared" si="29"/>
        <v>23.331900000000001</v>
      </c>
      <c r="AA93" s="48">
        <f t="shared" si="30"/>
        <v>23.287700000000001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79" t="s">
        <v>301</v>
      </c>
      <c r="B94" s="43">
        <v>4026</v>
      </c>
      <c r="C94" s="43" t="s">
        <v>60</v>
      </c>
      <c r="D94" s="43" t="s">
        <v>443</v>
      </c>
      <c r="E94" s="25">
        <v>42548.598749999997</v>
      </c>
      <c r="F94" s="25">
        <v>42548.599699074075</v>
      </c>
      <c r="G94" s="31">
        <v>1</v>
      </c>
      <c r="H94" s="25" t="s">
        <v>101</v>
      </c>
      <c r="I94" s="25">
        <v>42548.627974537034</v>
      </c>
      <c r="J94" s="43">
        <v>1</v>
      </c>
      <c r="K94" s="43" t="str">
        <f t="shared" si="22"/>
        <v>4025/4026</v>
      </c>
      <c r="L94" s="43" t="str">
        <f>VLOOKUP(A94,'Trips&amp;Operators'!$C$1:$E$10000,3,FALSE)</f>
        <v>LOCKLEAR</v>
      </c>
      <c r="M94" s="11">
        <f t="shared" si="20"/>
        <v>2.827546295884531E-2</v>
      </c>
      <c r="N94" s="12">
        <f t="shared" si="21"/>
        <v>40.716666660737246</v>
      </c>
      <c r="O94" s="12"/>
      <c r="P94" s="12"/>
      <c r="Q94" s="44"/>
      <c r="R94" s="44"/>
      <c r="S94" s="70">
        <f t="shared" si="23"/>
        <v>1</v>
      </c>
      <c r="T94" s="2" t="str">
        <f t="shared" si="24"/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14:21:12-0600',mode:absolute,to:'2016-06-27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4" s="48" t="str">
        <f t="shared" si="26"/>
        <v>N</v>
      </c>
      <c r="X94" s="48">
        <f t="shared" si="27"/>
        <v>1</v>
      </c>
      <c r="Y94" s="48">
        <f t="shared" si="28"/>
        <v>23.303799999999999</v>
      </c>
      <c r="Z94" s="48">
        <f t="shared" si="29"/>
        <v>1.7000000000000001E-2</v>
      </c>
      <c r="AA94" s="48">
        <f t="shared" si="30"/>
        <v>23.286799999999999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79" t="s">
        <v>296</v>
      </c>
      <c r="B95" s="43">
        <v>4029</v>
      </c>
      <c r="C95" s="43" t="s">
        <v>60</v>
      </c>
      <c r="D95" s="43" t="s">
        <v>78</v>
      </c>
      <c r="E95" s="25">
        <v>42548.571250000001</v>
      </c>
      <c r="F95" s="25">
        <v>42548.572002314817</v>
      </c>
      <c r="G95" s="31">
        <v>1</v>
      </c>
      <c r="H95" s="25" t="s">
        <v>444</v>
      </c>
      <c r="I95" s="25">
        <v>42548.599282407406</v>
      </c>
      <c r="J95" s="43">
        <v>1</v>
      </c>
      <c r="K95" s="43" t="str">
        <f t="shared" si="22"/>
        <v>4029/4030</v>
      </c>
      <c r="L95" s="43" t="str">
        <f>VLOOKUP(A95,'Trips&amp;Operators'!$C$1:$E$10000,3,FALSE)</f>
        <v>ACKERMAN</v>
      </c>
      <c r="M95" s="11">
        <f t="shared" si="20"/>
        <v>2.7280092588625848E-2</v>
      </c>
      <c r="N95" s="12">
        <f t="shared" si="21"/>
        <v>39.283333327621222</v>
      </c>
      <c r="O95" s="12"/>
      <c r="P95" s="12"/>
      <c r="Q95" s="44"/>
      <c r="R95" s="44"/>
      <c r="S95" s="70">
        <f t="shared" si="23"/>
        <v>1</v>
      </c>
      <c r="T95" s="2" t="str">
        <f t="shared" si="24"/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13:41:36-0600',mode:absolute,to:'2016-06-27 14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5" s="48" t="str">
        <f t="shared" si="26"/>
        <v>N</v>
      </c>
      <c r="X95" s="48">
        <f t="shared" si="27"/>
        <v>1</v>
      </c>
      <c r="Y95" s="48">
        <f t="shared" si="28"/>
        <v>4.53E-2</v>
      </c>
      <c r="Z95" s="48">
        <f t="shared" si="29"/>
        <v>23.3049</v>
      </c>
      <c r="AA95" s="48">
        <f t="shared" si="30"/>
        <v>23.259599999999999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79" t="s">
        <v>445</v>
      </c>
      <c r="B96" s="43">
        <v>4030</v>
      </c>
      <c r="C96" s="43" t="s">
        <v>60</v>
      </c>
      <c r="D96" s="43" t="s">
        <v>446</v>
      </c>
      <c r="E96" s="25">
        <v>42548.606712962966</v>
      </c>
      <c r="F96" s="25">
        <v>42548.607800925929</v>
      </c>
      <c r="G96" s="31">
        <v>1</v>
      </c>
      <c r="H96" s="25" t="s">
        <v>447</v>
      </c>
      <c r="I96" s="25">
        <v>42548.642071759263</v>
      </c>
      <c r="J96" s="43">
        <v>0</v>
      </c>
      <c r="K96" s="43" t="str">
        <f t="shared" si="22"/>
        <v>4029/4030</v>
      </c>
      <c r="L96" s="43" t="str">
        <f>VLOOKUP(A96,'Trips&amp;Operators'!$C$1:$E$10000,3,FALSE)</f>
        <v>ACKERMAN</v>
      </c>
      <c r="M96" s="11">
        <f t="shared" si="20"/>
        <v>3.4270833333721384E-2</v>
      </c>
      <c r="N96" s="12">
        <f t="shared" si="21"/>
        <v>49.350000000558794</v>
      </c>
      <c r="O96" s="12"/>
      <c r="P96" s="12"/>
      <c r="Q96" s="44"/>
      <c r="R96" s="44"/>
      <c r="S96" s="70">
        <f t="shared" si="23"/>
        <v>1</v>
      </c>
      <c r="T96" s="2" t="str">
        <f t="shared" si="24"/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14:32:40-0600',mode:absolute,to:'2016-06-27 15:25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6" s="48" t="str">
        <f t="shared" si="26"/>
        <v>N</v>
      </c>
      <c r="X96" s="48">
        <f t="shared" si="27"/>
        <v>1</v>
      </c>
      <c r="Y96" s="48">
        <f t="shared" si="28"/>
        <v>23.289000000000001</v>
      </c>
      <c r="Z96" s="48">
        <f t="shared" si="29"/>
        <v>2.01E-2</v>
      </c>
      <c r="AA96" s="48">
        <f t="shared" si="30"/>
        <v>23.268900000000002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79" t="s">
        <v>448</v>
      </c>
      <c r="B97" s="43">
        <v>4027</v>
      </c>
      <c r="C97" s="43" t="s">
        <v>60</v>
      </c>
      <c r="D97" s="43" t="s">
        <v>103</v>
      </c>
      <c r="E97" s="25">
        <v>42548.578912037039</v>
      </c>
      <c r="F97" s="25">
        <v>42548.580081018517</v>
      </c>
      <c r="G97" s="31">
        <v>1</v>
      </c>
      <c r="H97" s="25" t="s">
        <v>449</v>
      </c>
      <c r="I97" s="25">
        <v>42548.609918981485</v>
      </c>
      <c r="J97" s="43">
        <v>0</v>
      </c>
      <c r="K97" s="43" t="str">
        <f t="shared" si="22"/>
        <v>4027/4028</v>
      </c>
      <c r="L97" s="43" t="str">
        <f>VLOOKUP(A97,'Trips&amp;Operators'!$C$1:$E$10000,3,FALSE)</f>
        <v>SHOOK</v>
      </c>
      <c r="M97" s="11">
        <f t="shared" si="20"/>
        <v>2.9837962967576459E-2</v>
      </c>
      <c r="N97" s="12">
        <f t="shared" si="21"/>
        <v>42.966666673310101</v>
      </c>
      <c r="O97" s="12"/>
      <c r="P97" s="12"/>
      <c r="Q97" s="44"/>
      <c r="R97" s="44"/>
      <c r="S97" s="70">
        <f t="shared" si="23"/>
        <v>1</v>
      </c>
      <c r="T97" s="2" t="str">
        <f t="shared" si="24"/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13:52:38-0600',mode:absolute,to:'2016-06-27 14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7" s="48" t="str">
        <f t="shared" si="26"/>
        <v>N</v>
      </c>
      <c r="X97" s="48">
        <f t="shared" si="27"/>
        <v>1</v>
      </c>
      <c r="Y97" s="48">
        <f t="shared" si="28"/>
        <v>4.5499999999999999E-2</v>
      </c>
      <c r="Z97" s="48">
        <f t="shared" si="29"/>
        <v>23.341899999999999</v>
      </c>
      <c r="AA97" s="48">
        <f t="shared" si="30"/>
        <v>23.296399999999998</v>
      </c>
      <c r="AB97" s="49" t="e">
        <f>VLOOKUP(A97,Enforcements!$C$7:$J$32,8,0)</f>
        <v>#N/A</v>
      </c>
      <c r="AC97" s="49" t="e">
        <f>VLOOKUP(A97,Enforcements!$C$7:$E$32,3,0)</f>
        <v>#N/A</v>
      </c>
    </row>
    <row r="98" spans="1:29" s="2" customFormat="1" x14ac:dyDescent="0.25">
      <c r="A98" s="79" t="s">
        <v>304</v>
      </c>
      <c r="B98" s="43">
        <v>4028</v>
      </c>
      <c r="C98" s="43" t="s">
        <v>60</v>
      </c>
      <c r="D98" s="43" t="s">
        <v>450</v>
      </c>
      <c r="E98" s="25">
        <v>42548.620150462964</v>
      </c>
      <c r="F98" s="25">
        <v>42548.621296296296</v>
      </c>
      <c r="G98" s="31">
        <v>1</v>
      </c>
      <c r="H98" s="25" t="s">
        <v>62</v>
      </c>
      <c r="I98" s="25">
        <v>42548.650266203702</v>
      </c>
      <c r="J98" s="43">
        <v>1</v>
      </c>
      <c r="K98" s="43" t="str">
        <f t="shared" si="22"/>
        <v>4027/4028</v>
      </c>
      <c r="L98" s="43" t="str">
        <f>VLOOKUP(A98,'Trips&amp;Operators'!$C$1:$E$10000,3,FALSE)</f>
        <v>SHOOK</v>
      </c>
      <c r="M98" s="11">
        <f t="shared" si="20"/>
        <v>2.8969907405553386E-2</v>
      </c>
      <c r="N98" s="12">
        <f t="shared" si="21"/>
        <v>41.716666663996875</v>
      </c>
      <c r="O98" s="12"/>
      <c r="P98" s="12"/>
      <c r="Q98" s="44"/>
      <c r="R98" s="44"/>
      <c r="S98" s="70">
        <f t="shared" si="23"/>
        <v>1</v>
      </c>
      <c r="T98" s="2" t="str">
        <f t="shared" si="24"/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14:52:01-0600',mode:absolute,to:'2016-06-27 15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8" s="48" t="str">
        <f t="shared" si="26"/>
        <v>N</v>
      </c>
      <c r="X98" s="48">
        <f t="shared" si="27"/>
        <v>1</v>
      </c>
      <c r="Y98" s="48">
        <f t="shared" si="28"/>
        <v>23.3062</v>
      </c>
      <c r="Z98" s="48">
        <f t="shared" si="29"/>
        <v>1.52E-2</v>
      </c>
      <c r="AA98" s="48">
        <f t="shared" si="30"/>
        <v>23.291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79" t="s">
        <v>295</v>
      </c>
      <c r="B99" s="43">
        <v>4031</v>
      </c>
      <c r="C99" s="43" t="s">
        <v>60</v>
      </c>
      <c r="D99" s="43" t="s">
        <v>85</v>
      </c>
      <c r="E99" s="25">
        <v>42548.58929398148</v>
      </c>
      <c r="F99" s="25">
        <v>42548.590428240743</v>
      </c>
      <c r="G99" s="31">
        <v>1</v>
      </c>
      <c r="H99" s="25" t="s">
        <v>390</v>
      </c>
      <c r="I99" s="25">
        <v>42548.733356481483</v>
      </c>
      <c r="J99" s="43">
        <v>1</v>
      </c>
      <c r="K99" s="43" t="str">
        <f t="shared" si="22"/>
        <v>4031/4032</v>
      </c>
      <c r="L99" s="43" t="str">
        <f>VLOOKUP(A99,'Trips&amp;Operators'!$C$1:$E$10000,3,FALSE)</f>
        <v>HELVIE</v>
      </c>
      <c r="M99" s="11">
        <f t="shared" si="20"/>
        <v>0.14292824074072996</v>
      </c>
      <c r="N99" s="12">
        <f t="shared" si="21"/>
        <v>205.81666666665114</v>
      </c>
      <c r="O99" s="12"/>
      <c r="P99" s="12"/>
      <c r="Q99" s="44"/>
      <c r="R99" s="44"/>
      <c r="S99" s="70">
        <f t="shared" si="23"/>
        <v>1</v>
      </c>
      <c r="T99" s="2" t="str">
        <f t="shared" si="24"/>
        <v>NorthBound</v>
      </c>
      <c r="U99" s="2">
        <f>COUNTIFS(Variables!$M$2:$M$19,IF(T99="NorthBound","&gt;=","&lt;=")&amp;Y99,Variables!$M$2:$M$19,IF(T99="NorthBound","&lt;=","&gt;=")&amp;Z99)</f>
        <v>12</v>
      </c>
      <c r="V9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14:07:35-0600',mode:absolute,to:'2016-06-27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48" t="str">
        <f t="shared" si="26"/>
        <v>N</v>
      </c>
      <c r="X99" s="48">
        <f t="shared" si="27"/>
        <v>1</v>
      </c>
      <c r="Y99" s="48">
        <f t="shared" si="28"/>
        <v>4.6399999999999997E-2</v>
      </c>
      <c r="Z99" s="48">
        <f t="shared" si="29"/>
        <v>23.333200000000001</v>
      </c>
      <c r="AA99" s="48">
        <f t="shared" si="30"/>
        <v>23.286800000000003</v>
      </c>
      <c r="AB99" s="49">
        <f>VLOOKUP(A99,Enforcements!$C$7:$J$32,8,0)</f>
        <v>110617</v>
      </c>
      <c r="AC99" s="49" t="str">
        <f>VLOOKUP(A99,Enforcements!$C$7:$E$32,3,0)</f>
        <v>EQUIPMENT RESTRICTION</v>
      </c>
    </row>
    <row r="100" spans="1:29" s="2" customFormat="1" x14ac:dyDescent="0.25">
      <c r="A100" s="79" t="s">
        <v>451</v>
      </c>
      <c r="B100" s="43">
        <v>4032</v>
      </c>
      <c r="C100" s="43" t="s">
        <v>60</v>
      </c>
      <c r="D100" s="43" t="s">
        <v>391</v>
      </c>
      <c r="E100" s="25">
        <v>42548.627233796295</v>
      </c>
      <c r="F100" s="25">
        <v>42548.629861111112</v>
      </c>
      <c r="G100" s="31">
        <v>3</v>
      </c>
      <c r="H100" s="25" t="s">
        <v>128</v>
      </c>
      <c r="I100" s="25">
        <v>42548.630659722221</v>
      </c>
      <c r="J100" s="43">
        <v>0</v>
      </c>
      <c r="K100" s="43" t="str">
        <f t="shared" si="22"/>
        <v>4031/4032</v>
      </c>
      <c r="L100" s="43" t="str">
        <f>VLOOKUP(A100,'Trips&amp;Operators'!$C$1:$E$10000,3,FALSE)</f>
        <v>HELVIE</v>
      </c>
      <c r="M100" s="11">
        <f t="shared" si="20"/>
        <v>7.9861110862111673E-4</v>
      </c>
      <c r="N100" s="12"/>
      <c r="O100" s="12"/>
      <c r="P100" s="12">
        <f t="shared" si="21"/>
        <v>1.1499999964144081</v>
      </c>
      <c r="Q100" s="44"/>
      <c r="R100" s="44" t="s">
        <v>568</v>
      </c>
      <c r="S100" s="70">
        <f t="shared" si="23"/>
        <v>0</v>
      </c>
      <c r="T100" s="2" t="str">
        <f t="shared" si="24"/>
        <v>Southbound</v>
      </c>
      <c r="U100" s="2">
        <f>COUNTIFS(Variables!$M$2:$M$19,IF(T100="NorthBound","&gt;=","&lt;=")&amp;Y100,Variables!$M$2:$M$19,IF(T100="NorthBound","&lt;=","&gt;=")&amp;Z100)</f>
        <v>0</v>
      </c>
      <c r="V10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15:02:13-0600',mode:absolute,to:'2016-06-27 15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48" t="str">
        <f t="shared" si="26"/>
        <v>Y</v>
      </c>
      <c r="X100" s="48">
        <f t="shared" si="27"/>
        <v>1</v>
      </c>
      <c r="Y100" s="48">
        <f t="shared" si="28"/>
        <v>23.2988</v>
      </c>
      <c r="Z100" s="48">
        <f t="shared" si="29"/>
        <v>23.298200000000001</v>
      </c>
      <c r="AA100" s="48">
        <f t="shared" si="30"/>
        <v>5.9999999999860165E-4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79" t="s">
        <v>300</v>
      </c>
      <c r="B101" s="43">
        <v>4024</v>
      </c>
      <c r="C101" s="43" t="s">
        <v>60</v>
      </c>
      <c r="D101" s="43" t="s">
        <v>198</v>
      </c>
      <c r="E101" s="25">
        <v>42548.60601851852</v>
      </c>
      <c r="F101" s="25">
        <v>42548.607291666667</v>
      </c>
      <c r="G101" s="31">
        <v>1</v>
      </c>
      <c r="H101" s="25" t="s">
        <v>95</v>
      </c>
      <c r="I101" s="25">
        <v>42548.63621527778</v>
      </c>
      <c r="J101" s="43">
        <v>1</v>
      </c>
      <c r="K101" s="43" t="str">
        <f t="shared" si="22"/>
        <v>4023/4024</v>
      </c>
      <c r="L101" s="43" t="str">
        <f>VLOOKUP(A101,'Trips&amp;Operators'!$C$1:$E$10000,3,FALSE)</f>
        <v>DAVIS</v>
      </c>
      <c r="M101" s="11">
        <f t="shared" si="20"/>
        <v>2.8923611112986691E-2</v>
      </c>
      <c r="N101" s="12">
        <f t="shared" si="21"/>
        <v>41.650000002700835</v>
      </c>
      <c r="O101" s="12"/>
      <c r="P101" s="12"/>
      <c r="Q101" s="44"/>
      <c r="R101" s="44"/>
      <c r="S101" s="70">
        <f t="shared" si="23"/>
        <v>1</v>
      </c>
      <c r="T101" s="2" t="str">
        <f t="shared" si="24"/>
        <v>NorthBound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14:31:40-0600',mode:absolute,to:'2016-06-27 15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1" s="48" t="str">
        <f t="shared" si="26"/>
        <v>N</v>
      </c>
      <c r="X101" s="48">
        <f t="shared" si="27"/>
        <v>1</v>
      </c>
      <c r="Y101" s="48">
        <f t="shared" si="28"/>
        <v>4.4900000000000002E-2</v>
      </c>
      <c r="Z101" s="48">
        <f t="shared" si="29"/>
        <v>23.329499999999999</v>
      </c>
      <c r="AA101" s="48">
        <f t="shared" si="30"/>
        <v>23.284600000000001</v>
      </c>
      <c r="AB101" s="49">
        <f>VLOOKUP(A101,Enforcements!$C$7:$J$32,8,0)</f>
        <v>63068</v>
      </c>
      <c r="AC101" s="49" t="str">
        <f>VLOOKUP(A101,Enforcements!$C$7:$E$32,3,0)</f>
        <v>GRADE CROSSING</v>
      </c>
    </row>
    <row r="102" spans="1:29" s="2" customFormat="1" x14ac:dyDescent="0.25">
      <c r="A102" s="79" t="s">
        <v>307</v>
      </c>
      <c r="B102" s="43">
        <v>4023</v>
      </c>
      <c r="C102" s="43" t="s">
        <v>60</v>
      </c>
      <c r="D102" s="43" t="s">
        <v>149</v>
      </c>
      <c r="E102" s="25">
        <v>42548.640231481484</v>
      </c>
      <c r="F102" s="25">
        <v>42548.641817129632</v>
      </c>
      <c r="G102" s="31">
        <v>2</v>
      </c>
      <c r="H102" s="25" t="s">
        <v>152</v>
      </c>
      <c r="I102" s="25">
        <v>42548.674155092594</v>
      </c>
      <c r="J102" s="43">
        <v>1</v>
      </c>
      <c r="K102" s="43" t="str">
        <f t="shared" si="22"/>
        <v>4023/4024</v>
      </c>
      <c r="L102" s="43" t="str">
        <f>VLOOKUP(A102,'Trips&amp;Operators'!$C$1:$E$10000,3,FALSE)</f>
        <v>DAVIS</v>
      </c>
      <c r="M102" s="11">
        <f t="shared" si="20"/>
        <v>3.2337962962628808E-2</v>
      </c>
      <c r="N102" s="12">
        <f t="shared" si="21"/>
        <v>46.566666666185483</v>
      </c>
      <c r="O102" s="12"/>
      <c r="P102" s="12"/>
      <c r="Q102" s="44"/>
      <c r="R102" s="44"/>
      <c r="S102" s="70">
        <f t="shared" si="23"/>
        <v>1</v>
      </c>
      <c r="T102" s="2" t="str">
        <f t="shared" si="24"/>
        <v>Southbound</v>
      </c>
      <c r="U102" s="2">
        <f>COUNTIFS(Variables!$M$2:$M$19,IF(T102="NorthBound","&gt;=","&lt;=")&amp;Y102,Variables!$M$2:$M$19,IF(T102="NorthBound","&lt;=","&gt;=")&amp;Z102)</f>
        <v>12</v>
      </c>
      <c r="V10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15:20:56-0600',mode:absolute,to:'2016-06-27 16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2" s="48" t="str">
        <f t="shared" si="26"/>
        <v>N</v>
      </c>
      <c r="X102" s="48">
        <f t="shared" si="27"/>
        <v>1</v>
      </c>
      <c r="Y102" s="48">
        <f t="shared" si="28"/>
        <v>23.298500000000001</v>
      </c>
      <c r="Z102" s="48">
        <f t="shared" si="29"/>
        <v>1.3599999999999999E-2</v>
      </c>
      <c r="AA102" s="48">
        <f t="shared" si="30"/>
        <v>23.2849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79" t="s">
        <v>452</v>
      </c>
      <c r="B103" s="43">
        <v>4014</v>
      </c>
      <c r="C103" s="43" t="s">
        <v>60</v>
      </c>
      <c r="D103" s="43" t="s">
        <v>78</v>
      </c>
      <c r="E103" s="25">
        <v>42548.612500000003</v>
      </c>
      <c r="F103" s="25">
        <v>42548.61347222222</v>
      </c>
      <c r="G103" s="25">
        <v>1</v>
      </c>
      <c r="H103" s="25" t="s">
        <v>453</v>
      </c>
      <c r="I103" s="25">
        <v>42548.624803240738</v>
      </c>
      <c r="J103" s="43">
        <v>0</v>
      </c>
      <c r="K103" s="43" t="str">
        <f t="shared" si="22"/>
        <v>4013/4014</v>
      </c>
      <c r="L103" s="43" t="str">
        <f>VLOOKUP(A103,'Trips&amp;Operators'!$C$1:$E$10000,3,FALSE)</f>
        <v>STAMBAUGH</v>
      </c>
      <c r="M103" s="11">
        <f t="shared" si="20"/>
        <v>1.1331018518831115E-2</v>
      </c>
      <c r="N103" s="12"/>
      <c r="O103" s="12"/>
      <c r="P103" s="12">
        <f>24*60*SUM($M103:$M104)</f>
        <v>16.383333338890225</v>
      </c>
      <c r="Q103" s="44"/>
      <c r="R103" s="44" t="s">
        <v>565</v>
      </c>
      <c r="S103" s="70">
        <f t="shared" si="23"/>
        <v>0.66666666666666663</v>
      </c>
      <c r="T103" s="2" t="str">
        <f t="shared" si="24"/>
        <v>NorthBound</v>
      </c>
      <c r="U103" s="2">
        <f>COUNTIFS(Variables!$M$2:$M$19,IF(T103="NorthBound","&gt;=","&lt;=")&amp;Y103,Variables!$M$2:$M$19,IF(T103="NorthBound","&lt;=","&gt;=")&amp;Z103)</f>
        <v>8</v>
      </c>
      <c r="V10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14:41:00-0600',mode:absolute,to:'2016-06-27 15:00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3" s="48" t="str">
        <f t="shared" si="26"/>
        <v>Y</v>
      </c>
      <c r="X103" s="48">
        <f t="shared" si="27"/>
        <v>1</v>
      </c>
      <c r="Y103" s="48">
        <f t="shared" si="28"/>
        <v>4.53E-2</v>
      </c>
      <c r="Z103" s="48">
        <f t="shared" si="29"/>
        <v>6.2347000000000001</v>
      </c>
      <c r="AA103" s="48">
        <f t="shared" si="30"/>
        <v>6.1894</v>
      </c>
      <c r="AB103" s="49" t="e">
        <f>VLOOKUP(A103,Enforcements!$C$7:$J$32,8,0)</f>
        <v>#N/A</v>
      </c>
      <c r="AC103" s="49" t="e">
        <f>VLOOKUP(A103,Enforcements!$C$7:$E$32,3,0)</f>
        <v>#N/A</v>
      </c>
    </row>
    <row r="104" spans="1:29" s="2" customFormat="1" x14ac:dyDescent="0.25">
      <c r="A104" s="79" t="s">
        <v>452</v>
      </c>
      <c r="B104" s="43">
        <v>4014</v>
      </c>
      <c r="C104" s="43" t="s">
        <v>60</v>
      </c>
      <c r="D104" s="43" t="s">
        <v>454</v>
      </c>
      <c r="E104" s="25">
        <v>42548.626562500001</v>
      </c>
      <c r="F104" s="25">
        <v>42548.627303240741</v>
      </c>
      <c r="G104" s="25">
        <v>1</v>
      </c>
      <c r="H104" s="25" t="s">
        <v>454</v>
      </c>
      <c r="I104" s="25">
        <v>42548.627349537041</v>
      </c>
      <c r="J104" s="43">
        <v>0</v>
      </c>
      <c r="K104" s="43" t="str">
        <f t="shared" si="22"/>
        <v>4013/4014</v>
      </c>
      <c r="L104" s="43" t="str">
        <f>VLOOKUP(A104,'Trips&amp;Operators'!$C$1:$E$10000,3,FALSE)</f>
        <v>STAMBAUGH</v>
      </c>
      <c r="M104" s="11">
        <f t="shared" si="20"/>
        <v>4.6296299842651933E-5</v>
      </c>
      <c r="N104" s="12"/>
      <c r="O104" s="12"/>
      <c r="P104" s="12"/>
      <c r="Q104" s="44"/>
      <c r="R104" s="44"/>
      <c r="S104" s="70">
        <f t="shared" si="23"/>
        <v>0</v>
      </c>
      <c r="T104" s="2" t="str">
        <f t="shared" si="24"/>
        <v>NorthBound</v>
      </c>
      <c r="U104" s="2">
        <f>COUNTIFS(Variables!$M$2:$M$19,IF(T104="NorthBound","&gt;=","&lt;=")&amp;Y104,Variables!$M$2:$M$19,IF(T104="NorthBound","&lt;=","&gt;=")&amp;Z104)</f>
        <v>0</v>
      </c>
      <c r="V10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15:01:15-0600',mode:absolute,to:'2016-06-27 15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4" s="48" t="str">
        <f t="shared" si="26"/>
        <v>Y</v>
      </c>
      <c r="X104" s="48">
        <f t="shared" si="27"/>
        <v>0</v>
      </c>
      <c r="Y104" s="48">
        <f t="shared" si="28"/>
        <v>6.47</v>
      </c>
      <c r="Z104" s="48">
        <f t="shared" si="29"/>
        <v>6.47</v>
      </c>
      <c r="AA104" s="48">
        <f t="shared" si="30"/>
        <v>0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79" t="s">
        <v>455</v>
      </c>
      <c r="B105" s="43">
        <v>4013</v>
      </c>
      <c r="C105" s="43" t="s">
        <v>60</v>
      </c>
      <c r="D105" s="43" t="s">
        <v>163</v>
      </c>
      <c r="E105" s="25">
        <v>42548.651701388888</v>
      </c>
      <c r="F105" s="25">
        <v>42548.653414351851</v>
      </c>
      <c r="G105" s="25">
        <v>2</v>
      </c>
      <c r="H105" s="25" t="s">
        <v>425</v>
      </c>
      <c r="I105" s="25">
        <v>42548.680092592593</v>
      </c>
      <c r="J105" s="43">
        <v>0</v>
      </c>
      <c r="K105" s="43" t="str">
        <f t="shared" si="22"/>
        <v>4013/4014</v>
      </c>
      <c r="L105" s="43" t="str">
        <f>VLOOKUP(A105,'Trips&amp;Operators'!$C$1:$E$10000,3,FALSE)</f>
        <v>STAMBAUGH</v>
      </c>
      <c r="M105" s="11">
        <f t="shared" si="20"/>
        <v>2.6678240741603076E-2</v>
      </c>
      <c r="N105" s="12">
        <f t="shared" si="21"/>
        <v>38.41666666790843</v>
      </c>
      <c r="O105" s="12"/>
      <c r="P105" s="12"/>
      <c r="Q105" s="44"/>
      <c r="R105" s="44"/>
      <c r="S105" s="70">
        <f t="shared" si="23"/>
        <v>1</v>
      </c>
      <c r="T105" s="2" t="str">
        <f t="shared" si="24"/>
        <v>Southbound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15:37:27-0600',mode:absolute,to:'2016-06-27 16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5" s="48" t="str">
        <f t="shared" si="26"/>
        <v>N</v>
      </c>
      <c r="X105" s="48">
        <f t="shared" si="27"/>
        <v>1</v>
      </c>
      <c r="Y105" s="48">
        <f t="shared" si="28"/>
        <v>23.299399999999999</v>
      </c>
      <c r="Z105" s="48">
        <f t="shared" si="29"/>
        <v>1.34E-2</v>
      </c>
      <c r="AA105" s="48">
        <f t="shared" si="30"/>
        <v>23.285999999999998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79" t="s">
        <v>302</v>
      </c>
      <c r="B106" s="43">
        <v>4038</v>
      </c>
      <c r="C106" s="43" t="s">
        <v>60</v>
      </c>
      <c r="D106" s="43" t="s">
        <v>73</v>
      </c>
      <c r="E106" s="25">
        <v>42548.621307870373</v>
      </c>
      <c r="F106" s="25">
        <v>42548.62232638889</v>
      </c>
      <c r="G106" s="25">
        <v>1</v>
      </c>
      <c r="H106" s="25" t="s">
        <v>343</v>
      </c>
      <c r="I106" s="25">
        <v>42548.65315972222</v>
      </c>
      <c r="J106" s="43">
        <v>2</v>
      </c>
      <c r="K106" s="43" t="str">
        <f t="shared" si="22"/>
        <v>4037/4038</v>
      </c>
      <c r="L106" s="43" t="str">
        <f>VLOOKUP(A106,'Trips&amp;Operators'!$C$1:$E$10000,3,FALSE)</f>
        <v>MOSES</v>
      </c>
      <c r="M106" s="11">
        <f t="shared" si="20"/>
        <v>3.0833333330519963E-2</v>
      </c>
      <c r="N106" s="12">
        <f t="shared" si="21"/>
        <v>44.399999995948747</v>
      </c>
      <c r="O106" s="12"/>
      <c r="P106" s="12"/>
      <c r="Q106" s="44"/>
      <c r="R106" s="44"/>
      <c r="S106" s="70">
        <f t="shared" si="23"/>
        <v>1</v>
      </c>
      <c r="T106" s="2" t="str">
        <f t="shared" si="24"/>
        <v>NorthBound</v>
      </c>
      <c r="U106" s="2">
        <f>COUNTIFS(Variables!$M$2:$M$19,IF(T106="NorthBound","&gt;=","&lt;=")&amp;Y106,Variables!$M$2:$M$19,IF(T106="NorthBound","&lt;=","&gt;=")&amp;Z106)</f>
        <v>12</v>
      </c>
      <c r="V10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6" s="48" t="str">
        <f t="shared" si="26"/>
        <v>N</v>
      </c>
      <c r="X106" s="48">
        <f t="shared" si="27"/>
        <v>1</v>
      </c>
      <c r="Y106" s="48">
        <f t="shared" si="28"/>
        <v>4.5699999999999998E-2</v>
      </c>
      <c r="Z106" s="48">
        <f t="shared" si="29"/>
        <v>23.327999999999999</v>
      </c>
      <c r="AA106" s="48">
        <f t="shared" si="30"/>
        <v>23.282299999999999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79" t="s">
        <v>456</v>
      </c>
      <c r="B107" s="43">
        <v>4037</v>
      </c>
      <c r="C107" s="43" t="s">
        <v>60</v>
      </c>
      <c r="D107" s="43" t="s">
        <v>138</v>
      </c>
      <c r="E107" s="25">
        <v>42548.658715277779</v>
      </c>
      <c r="F107" s="25">
        <v>42548.659756944442</v>
      </c>
      <c r="G107" s="25">
        <v>1</v>
      </c>
      <c r="H107" s="25" t="s">
        <v>182</v>
      </c>
      <c r="I107" s="25">
        <v>42548.692118055558</v>
      </c>
      <c r="J107" s="43">
        <v>0</v>
      </c>
      <c r="K107" s="43" t="str">
        <f t="shared" si="22"/>
        <v>4037/4038</v>
      </c>
      <c r="L107" s="43" t="str">
        <f>VLOOKUP(A107,'Trips&amp;Operators'!$C$1:$E$10000,3,FALSE)</f>
        <v>MOSES</v>
      </c>
      <c r="M107" s="11">
        <f t="shared" si="20"/>
        <v>3.2361111116188113E-2</v>
      </c>
      <c r="N107" s="12">
        <f t="shared" si="21"/>
        <v>46.600000007310882</v>
      </c>
      <c r="O107" s="12"/>
      <c r="P107" s="12"/>
      <c r="Q107" s="44"/>
      <c r="R107" s="44"/>
      <c r="S107" s="70">
        <f t="shared" si="23"/>
        <v>1</v>
      </c>
      <c r="T107" s="2" t="str">
        <f t="shared" si="24"/>
        <v>Southbound</v>
      </c>
      <c r="U107" s="2">
        <f>COUNTIFS(Variables!$M$2:$M$19,IF(T107="NorthBound","&gt;=","&lt;=")&amp;Y107,Variables!$M$2:$M$19,IF(T107="NorthBound","&lt;=","&gt;=")&amp;Z107)</f>
        <v>12</v>
      </c>
      <c r="V10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15:47:33-0600',mode:absolute,to:'2016-06-27 16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7" s="48" t="str">
        <f t="shared" si="26"/>
        <v>N</v>
      </c>
      <c r="X107" s="48">
        <f t="shared" si="27"/>
        <v>1</v>
      </c>
      <c r="Y107" s="48">
        <f t="shared" si="28"/>
        <v>23.2974</v>
      </c>
      <c r="Z107" s="48">
        <f t="shared" si="29"/>
        <v>1.67E-2</v>
      </c>
      <c r="AA107" s="48">
        <f t="shared" si="30"/>
        <v>23.2807</v>
      </c>
      <c r="AB107" s="49" t="e">
        <f>VLOOKUP(A107,Enforcements!$C$7:$J$32,8,0)</f>
        <v>#N/A</v>
      </c>
      <c r="AC107" s="49" t="e">
        <f>VLOOKUP(A107,Enforcements!$C$7:$E$32,3,0)</f>
        <v>#N/A</v>
      </c>
    </row>
    <row r="108" spans="1:29" s="2" customFormat="1" x14ac:dyDescent="0.25">
      <c r="A108" s="79" t="s">
        <v>308</v>
      </c>
      <c r="B108" s="43">
        <v>4026</v>
      </c>
      <c r="C108" s="43" t="s">
        <v>60</v>
      </c>
      <c r="D108" s="43" t="s">
        <v>444</v>
      </c>
      <c r="E108" s="25">
        <v>42548.671574074076</v>
      </c>
      <c r="F108" s="25">
        <v>42548.67255787037</v>
      </c>
      <c r="G108" s="25">
        <v>1</v>
      </c>
      <c r="H108" s="25" t="s">
        <v>457</v>
      </c>
      <c r="I108" s="25">
        <v>42548.702268518522</v>
      </c>
      <c r="J108" s="43">
        <v>2</v>
      </c>
      <c r="K108" s="43" t="str">
        <f t="shared" si="22"/>
        <v>4025/4026</v>
      </c>
      <c r="L108" s="43" t="str">
        <f>VLOOKUP(A108,'Trips&amp;Operators'!$C$1:$E$10000,3,FALSE)</f>
        <v>LOCKLEAR</v>
      </c>
      <c r="M108" s="11">
        <f t="shared" ref="M108:M139" si="31">I108-F108</f>
        <v>2.9710648152104113E-2</v>
      </c>
      <c r="N108" s="12">
        <f t="shared" si="21"/>
        <v>42.783333339029923</v>
      </c>
      <c r="O108" s="12"/>
      <c r="P108" s="12"/>
      <c r="Q108" s="44"/>
      <c r="R108" s="44"/>
      <c r="S108" s="70">
        <f t="shared" si="23"/>
        <v>1</v>
      </c>
      <c r="T108" s="2" t="str">
        <f t="shared" si="24"/>
        <v>Southbound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8" s="48" t="str">
        <f t="shared" si="26"/>
        <v>N</v>
      </c>
      <c r="X108" s="48">
        <f t="shared" si="27"/>
        <v>2</v>
      </c>
      <c r="Y108" s="48">
        <f t="shared" si="28"/>
        <v>23.3049</v>
      </c>
      <c r="Z108" s="48">
        <f t="shared" si="29"/>
        <v>0.1177</v>
      </c>
      <c r="AA108" s="48">
        <f t="shared" si="30"/>
        <v>23.187200000000001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79" t="s">
        <v>306</v>
      </c>
      <c r="B109" s="43">
        <v>4029</v>
      </c>
      <c r="C109" s="43" t="s">
        <v>60</v>
      </c>
      <c r="D109" s="43" t="s">
        <v>458</v>
      </c>
      <c r="E109" s="25">
        <v>42548.643437500003</v>
      </c>
      <c r="F109" s="25">
        <v>42548.644386574073</v>
      </c>
      <c r="G109" s="25">
        <v>1</v>
      </c>
      <c r="H109" s="25" t="s">
        <v>459</v>
      </c>
      <c r="I109" s="25">
        <v>42548.67150462963</v>
      </c>
      <c r="J109" s="43">
        <v>1</v>
      </c>
      <c r="K109" s="43" t="str">
        <f t="shared" si="22"/>
        <v>4029/4030</v>
      </c>
      <c r="L109" s="43" t="str">
        <f>VLOOKUP(A109,'Trips&amp;Operators'!$C$1:$E$10000,3,FALSE)</f>
        <v>ACKERMAN</v>
      </c>
      <c r="M109" s="11">
        <f t="shared" si="31"/>
        <v>2.7118055557366461E-2</v>
      </c>
      <c r="N109" s="12">
        <f t="shared" si="21"/>
        <v>39.050000002607703</v>
      </c>
      <c r="O109" s="12"/>
      <c r="P109" s="12"/>
      <c r="Q109" s="44"/>
      <c r="R109" s="44"/>
      <c r="S109" s="70">
        <f t="shared" si="23"/>
        <v>1</v>
      </c>
      <c r="T109" s="2" t="str">
        <f t="shared" si="24"/>
        <v>NorthBound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15:25:33-0600',mode:absolute,to:'2016-06-27 16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9" s="48" t="str">
        <f t="shared" si="26"/>
        <v>N</v>
      </c>
      <c r="X109" s="48">
        <f t="shared" si="27"/>
        <v>1</v>
      </c>
      <c r="Y109" s="48">
        <f t="shared" si="28"/>
        <v>5.1299999999999998E-2</v>
      </c>
      <c r="Z109" s="48">
        <f t="shared" si="29"/>
        <v>23.304500000000001</v>
      </c>
      <c r="AA109" s="48">
        <f t="shared" si="30"/>
        <v>23.2532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79" t="s">
        <v>460</v>
      </c>
      <c r="B110" s="43">
        <v>4030</v>
      </c>
      <c r="C110" s="43" t="s">
        <v>60</v>
      </c>
      <c r="D110" s="43" t="s">
        <v>211</v>
      </c>
      <c r="E110" s="25">
        <v>42548.680833333332</v>
      </c>
      <c r="F110" s="25">
        <v>42548.68167824074</v>
      </c>
      <c r="G110" s="25">
        <v>1</v>
      </c>
      <c r="H110" s="25" t="s">
        <v>68</v>
      </c>
      <c r="I110" s="25">
        <v>42548.714120370372</v>
      </c>
      <c r="J110" s="43">
        <v>0</v>
      </c>
      <c r="K110" s="43" t="str">
        <f t="shared" si="22"/>
        <v>4029/4030</v>
      </c>
      <c r="L110" s="43" t="str">
        <f>VLOOKUP(A110,'Trips&amp;Operators'!$C$1:$E$10000,3,FALSE)</f>
        <v>ACKERMAN</v>
      </c>
      <c r="M110" s="11">
        <f t="shared" si="31"/>
        <v>3.2442129631817807E-2</v>
      </c>
      <c r="N110" s="12">
        <f t="shared" si="21"/>
        <v>46.716666669817641</v>
      </c>
      <c r="O110" s="12"/>
      <c r="P110" s="12"/>
      <c r="Q110" s="44"/>
      <c r="R110" s="44"/>
      <c r="S110" s="70">
        <f t="shared" si="23"/>
        <v>1</v>
      </c>
      <c r="T110" s="2" t="str">
        <f t="shared" si="24"/>
        <v>Southbound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16:19:24-0600',mode:absolute,to:'2016-06-27 17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0" s="48" t="str">
        <f t="shared" si="26"/>
        <v>N</v>
      </c>
      <c r="X110" s="48">
        <f t="shared" si="27"/>
        <v>1</v>
      </c>
      <c r="Y110" s="48">
        <f t="shared" si="28"/>
        <v>23.289400000000001</v>
      </c>
      <c r="Z110" s="48">
        <f t="shared" si="29"/>
        <v>1.6E-2</v>
      </c>
      <c r="AA110" s="48">
        <f t="shared" si="30"/>
        <v>23.273400000000002</v>
      </c>
      <c r="AB110" s="49" t="e">
        <f>VLOOKUP(A110,Enforcements!$C$7:$J$32,8,0)</f>
        <v>#N/A</v>
      </c>
      <c r="AC110" s="49" t="e">
        <f>VLOOKUP(A110,Enforcements!$C$7:$E$32,3,0)</f>
        <v>#N/A</v>
      </c>
    </row>
    <row r="111" spans="1:29" s="2" customFormat="1" x14ac:dyDescent="0.25">
      <c r="A111" s="79" t="s">
        <v>461</v>
      </c>
      <c r="B111" s="43">
        <v>4027</v>
      </c>
      <c r="C111" s="43" t="s">
        <v>60</v>
      </c>
      <c r="D111" s="43" t="s">
        <v>200</v>
      </c>
      <c r="E111" s="25">
        <v>42548.651932870373</v>
      </c>
      <c r="F111" s="25">
        <v>42548.653136574074</v>
      </c>
      <c r="G111" s="25">
        <v>1</v>
      </c>
      <c r="H111" s="25" t="s">
        <v>462</v>
      </c>
      <c r="I111" s="25">
        <v>42548.682951388888</v>
      </c>
      <c r="J111" s="43">
        <v>0</v>
      </c>
      <c r="K111" s="43" t="str">
        <f t="shared" si="22"/>
        <v>4027/4028</v>
      </c>
      <c r="L111" s="43" t="str">
        <f>VLOOKUP(A111,'Trips&amp;Operators'!$C$1:$E$10000,3,FALSE)</f>
        <v>SHOOK</v>
      </c>
      <c r="M111" s="11">
        <f t="shared" si="31"/>
        <v>2.9814814814017154E-2</v>
      </c>
      <c r="N111" s="12">
        <f t="shared" si="21"/>
        <v>42.933333332184702</v>
      </c>
      <c r="O111" s="12"/>
      <c r="P111" s="12"/>
      <c r="Q111" s="44"/>
      <c r="R111" s="44"/>
      <c r="S111" s="70">
        <f t="shared" si="23"/>
        <v>1</v>
      </c>
      <c r="T111" s="2" t="str">
        <f t="shared" si="24"/>
        <v>NorthBound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15:37:47-0600',mode:absolute,to:'2016-06-27 16:24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1" s="48" t="str">
        <f t="shared" si="26"/>
        <v>N</v>
      </c>
      <c r="X111" s="48">
        <f t="shared" si="27"/>
        <v>1</v>
      </c>
      <c r="Y111" s="48">
        <f t="shared" si="28"/>
        <v>4.6199999999999998E-2</v>
      </c>
      <c r="Z111" s="48">
        <f t="shared" si="29"/>
        <v>23.337</v>
      </c>
      <c r="AA111" s="48">
        <f t="shared" si="30"/>
        <v>23.290800000000001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79" t="s">
        <v>463</v>
      </c>
      <c r="B112" s="43">
        <v>4028</v>
      </c>
      <c r="C112" s="43" t="s">
        <v>60</v>
      </c>
      <c r="D112" s="43" t="s">
        <v>464</v>
      </c>
      <c r="E112" s="25">
        <v>42548.692627314813</v>
      </c>
      <c r="F112" s="25">
        <v>42548.693576388891</v>
      </c>
      <c r="G112" s="25">
        <v>1</v>
      </c>
      <c r="H112" s="25" t="s">
        <v>108</v>
      </c>
      <c r="I112" s="25">
        <v>42548.722268518519</v>
      </c>
      <c r="J112" s="43">
        <v>0</v>
      </c>
      <c r="K112" s="43" t="str">
        <f t="shared" si="22"/>
        <v>4027/4028</v>
      </c>
      <c r="L112" s="43" t="str">
        <f>VLOOKUP(A112,'Trips&amp;Operators'!$C$1:$E$10000,3,FALSE)</f>
        <v>SHOOK</v>
      </c>
      <c r="M112" s="11">
        <f t="shared" si="31"/>
        <v>2.8692129628325347E-2</v>
      </c>
      <c r="N112" s="12">
        <f t="shared" si="21"/>
        <v>41.316666664788499</v>
      </c>
      <c r="O112" s="12"/>
      <c r="P112" s="12"/>
      <c r="Q112" s="44"/>
      <c r="R112" s="44"/>
      <c r="S112" s="70">
        <f t="shared" si="23"/>
        <v>1</v>
      </c>
      <c r="T112" s="2" t="str">
        <f t="shared" si="24"/>
        <v>Southbound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16:36:23-0600',mode:absolute,to:'2016-06-27 17:21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2" s="48" t="str">
        <f t="shared" si="26"/>
        <v>N</v>
      </c>
      <c r="X112" s="48">
        <f t="shared" si="27"/>
        <v>1</v>
      </c>
      <c r="Y112" s="48">
        <f t="shared" si="28"/>
        <v>23.304600000000001</v>
      </c>
      <c r="Z112" s="48">
        <f t="shared" si="29"/>
        <v>1.4999999999999999E-2</v>
      </c>
      <c r="AA112" s="48">
        <f t="shared" si="30"/>
        <v>23.2896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79" t="s">
        <v>465</v>
      </c>
      <c r="B113" s="43">
        <v>4007</v>
      </c>
      <c r="C113" s="43" t="s">
        <v>60</v>
      </c>
      <c r="D113" s="43" t="s">
        <v>103</v>
      </c>
      <c r="E113" s="25">
        <v>42548.667511574073</v>
      </c>
      <c r="F113" s="25">
        <v>42548.66846064815</v>
      </c>
      <c r="G113" s="25">
        <v>1</v>
      </c>
      <c r="H113" s="25" t="s">
        <v>430</v>
      </c>
      <c r="I113" s="25">
        <v>42548.695196759261</v>
      </c>
      <c r="J113" s="43">
        <v>0</v>
      </c>
      <c r="K113" s="43" t="str">
        <f t="shared" si="22"/>
        <v>4007/4008</v>
      </c>
      <c r="L113" s="43" t="str">
        <f>VLOOKUP(A113,'Trips&amp;Operators'!$C$1:$E$10000,3,FALSE)</f>
        <v>HELVIE</v>
      </c>
      <c r="M113" s="11">
        <f t="shared" si="31"/>
        <v>2.6736111110949423E-2</v>
      </c>
      <c r="N113" s="12">
        <f t="shared" si="21"/>
        <v>38.499999999767169</v>
      </c>
      <c r="O113" s="12"/>
      <c r="P113" s="12"/>
      <c r="Q113" s="44"/>
      <c r="R113" s="44"/>
      <c r="S113" s="70">
        <f t="shared" si="23"/>
        <v>1</v>
      </c>
      <c r="T113" s="2" t="str">
        <f t="shared" si="24"/>
        <v>NorthBound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16:00:13-0600',mode:absolute,to:'2016-06-27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3" s="48" t="str">
        <f t="shared" si="26"/>
        <v>N</v>
      </c>
      <c r="X113" s="48">
        <f t="shared" si="27"/>
        <v>1</v>
      </c>
      <c r="Y113" s="48">
        <f t="shared" si="28"/>
        <v>4.5499999999999999E-2</v>
      </c>
      <c r="Z113" s="48">
        <f t="shared" si="29"/>
        <v>23.337599999999998</v>
      </c>
      <c r="AA113" s="48">
        <f t="shared" si="30"/>
        <v>23.292099999999998</v>
      </c>
      <c r="AB113" s="49" t="e">
        <f>VLOOKUP(A113,Enforcements!$C$7:$J$32,8,0)</f>
        <v>#N/A</v>
      </c>
      <c r="AC113" s="49" t="e">
        <f>VLOOKUP(A113,Enforcements!$C$7:$E$32,3,0)</f>
        <v>#N/A</v>
      </c>
    </row>
    <row r="114" spans="1:29" s="2" customFormat="1" x14ac:dyDescent="0.25">
      <c r="A114" s="79" t="s">
        <v>466</v>
      </c>
      <c r="B114" s="43">
        <v>4008</v>
      </c>
      <c r="C114" s="43" t="s">
        <v>60</v>
      </c>
      <c r="D114" s="43" t="s">
        <v>467</v>
      </c>
      <c r="E114" s="25">
        <v>42548.703217592592</v>
      </c>
      <c r="F114" s="25">
        <v>42548.70416666667</v>
      </c>
      <c r="G114" s="25">
        <v>1</v>
      </c>
      <c r="H114" s="25" t="s">
        <v>62</v>
      </c>
      <c r="I114" s="25">
        <v>42548.731550925928</v>
      </c>
      <c r="J114" s="43">
        <v>0</v>
      </c>
      <c r="K114" s="43" t="str">
        <f t="shared" si="22"/>
        <v>4007/4008</v>
      </c>
      <c r="L114" s="43" t="str">
        <f>VLOOKUP(A114,'Trips&amp;Operators'!$C$1:$E$10000,3,FALSE)</f>
        <v>HELVIE</v>
      </c>
      <c r="M114" s="11">
        <f t="shared" si="31"/>
        <v>2.7384259257814847E-2</v>
      </c>
      <c r="N114" s="12">
        <f t="shared" si="21"/>
        <v>39.43333333125338</v>
      </c>
      <c r="O114" s="12"/>
      <c r="P114" s="12"/>
      <c r="Q114" s="44"/>
      <c r="R114" s="44"/>
      <c r="S114" s="70">
        <f t="shared" si="23"/>
        <v>1</v>
      </c>
      <c r="T114" s="2" t="str">
        <f t="shared" si="24"/>
        <v>Southbound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16:51:38-0600',mode:absolute,to:'2016-06-27 17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4" s="48" t="str">
        <f t="shared" si="26"/>
        <v>N</v>
      </c>
      <c r="X114" s="48">
        <f t="shared" si="27"/>
        <v>1</v>
      </c>
      <c r="Y114" s="48">
        <f t="shared" si="28"/>
        <v>23.307400000000001</v>
      </c>
      <c r="Z114" s="48">
        <f t="shared" si="29"/>
        <v>1.52E-2</v>
      </c>
      <c r="AA114" s="48">
        <f t="shared" si="30"/>
        <v>23.292200000000001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79" t="s">
        <v>468</v>
      </c>
      <c r="B115" s="43">
        <v>4024</v>
      </c>
      <c r="C115" s="43" t="s">
        <v>60</v>
      </c>
      <c r="D115" s="43" t="s">
        <v>78</v>
      </c>
      <c r="E115" s="25">
        <v>42548.675567129627</v>
      </c>
      <c r="F115" s="25">
        <v>42548.67664351852</v>
      </c>
      <c r="G115" s="25">
        <v>1</v>
      </c>
      <c r="H115" s="25" t="s">
        <v>469</v>
      </c>
      <c r="I115" s="25">
        <v>42548.703993055555</v>
      </c>
      <c r="J115" s="43">
        <v>0</v>
      </c>
      <c r="K115" s="43" t="str">
        <f t="shared" si="22"/>
        <v>4023/4024</v>
      </c>
      <c r="L115" s="43" t="str">
        <f>VLOOKUP(A115,'Trips&amp;Operators'!$C$1:$E$10000,3,FALSE)</f>
        <v>DAVIS</v>
      </c>
      <c r="M115" s="11">
        <f t="shared" si="31"/>
        <v>2.7349537034751847E-2</v>
      </c>
      <c r="N115" s="12">
        <f t="shared" si="21"/>
        <v>39.38333333004266</v>
      </c>
      <c r="O115" s="12"/>
      <c r="P115" s="12"/>
      <c r="Q115" s="44"/>
      <c r="R115" s="44"/>
      <c r="S115" s="70">
        <f t="shared" si="23"/>
        <v>1</v>
      </c>
      <c r="T115" s="2" t="str">
        <f t="shared" si="24"/>
        <v>NorthBound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16:11:49-0600',mode:absolute,to:'2016-06-27 16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5" s="48" t="str">
        <f t="shared" si="26"/>
        <v>N</v>
      </c>
      <c r="X115" s="48">
        <f t="shared" si="27"/>
        <v>1</v>
      </c>
      <c r="Y115" s="48">
        <f t="shared" si="28"/>
        <v>4.53E-2</v>
      </c>
      <c r="Z115" s="48">
        <f t="shared" si="29"/>
        <v>23.3337</v>
      </c>
      <c r="AA115" s="48">
        <f t="shared" si="30"/>
        <v>23.288399999999999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79" t="s">
        <v>470</v>
      </c>
      <c r="B116" s="43">
        <v>4023</v>
      </c>
      <c r="C116" s="43" t="s">
        <v>60</v>
      </c>
      <c r="D116" s="43" t="s">
        <v>471</v>
      </c>
      <c r="E116" s="25">
        <v>42548.714918981481</v>
      </c>
      <c r="F116" s="25">
        <v>42548.715729166666</v>
      </c>
      <c r="G116" s="25">
        <v>1</v>
      </c>
      <c r="H116" s="25" t="s">
        <v>67</v>
      </c>
      <c r="I116" s="25">
        <v>42548.743217592593</v>
      </c>
      <c r="J116" s="43">
        <v>0</v>
      </c>
      <c r="K116" s="43" t="str">
        <f t="shared" si="22"/>
        <v>4023/4024</v>
      </c>
      <c r="L116" s="43" t="str">
        <f>VLOOKUP(A116,'Trips&amp;Operators'!$C$1:$E$10000,3,FALSE)</f>
        <v>DAVIS</v>
      </c>
      <c r="M116" s="11">
        <f t="shared" si="31"/>
        <v>2.7488425927003846E-2</v>
      </c>
      <c r="N116" s="12">
        <f t="shared" si="21"/>
        <v>39.583333334885538</v>
      </c>
      <c r="O116" s="12"/>
      <c r="P116" s="12"/>
      <c r="Q116" s="44"/>
      <c r="R116" s="44"/>
      <c r="S116" s="70">
        <f t="shared" si="23"/>
        <v>1</v>
      </c>
      <c r="T116" s="2" t="str">
        <f t="shared" si="24"/>
        <v>Southbound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17:08:29-0600',mode:absolute,to:'2016-06-27 17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6" s="48" t="str">
        <f t="shared" si="26"/>
        <v>N</v>
      </c>
      <c r="X116" s="48">
        <f t="shared" si="27"/>
        <v>1</v>
      </c>
      <c r="Y116" s="48">
        <f t="shared" si="28"/>
        <v>23.301300000000001</v>
      </c>
      <c r="Z116" s="48">
        <f t="shared" si="29"/>
        <v>1.47E-2</v>
      </c>
      <c r="AA116" s="48">
        <f t="shared" si="30"/>
        <v>23.2866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79" t="s">
        <v>472</v>
      </c>
      <c r="B117" s="43">
        <v>4013</v>
      </c>
      <c r="C117" s="43" t="s">
        <v>60</v>
      </c>
      <c r="D117" s="43" t="s">
        <v>195</v>
      </c>
      <c r="E117" s="25">
        <v>42548.722581018519</v>
      </c>
      <c r="F117" s="25">
        <v>42548.723749999997</v>
      </c>
      <c r="G117" s="25">
        <v>1</v>
      </c>
      <c r="H117" s="25" t="s">
        <v>473</v>
      </c>
      <c r="I117" s="25">
        <v>42548.756331018521</v>
      </c>
      <c r="J117" s="43">
        <v>0</v>
      </c>
      <c r="K117" s="43" t="str">
        <f t="shared" si="22"/>
        <v>4013/4014</v>
      </c>
      <c r="L117" s="43" t="str">
        <f>VLOOKUP(A117,'Trips&amp;Operators'!$C$1:$E$10000,3,FALSE)</f>
        <v>STAMBAUGH</v>
      </c>
      <c r="M117" s="11">
        <f t="shared" si="31"/>
        <v>3.2581018524069805E-2</v>
      </c>
      <c r="N117" s="12">
        <f t="shared" si="21"/>
        <v>46.916666674660519</v>
      </c>
      <c r="O117" s="12"/>
      <c r="P117" s="12"/>
      <c r="Q117" s="44"/>
      <c r="R117" s="44"/>
      <c r="S117" s="70">
        <f t="shared" si="23"/>
        <v>1</v>
      </c>
      <c r="T117" s="2" t="str">
        <f t="shared" si="24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17:19:31-0600',mode:absolute,to:'2016-06-27 18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7" s="48" t="str">
        <f t="shared" si="26"/>
        <v>N</v>
      </c>
      <c r="X117" s="48">
        <f t="shared" si="27"/>
        <v>2</v>
      </c>
      <c r="Y117" s="48">
        <f t="shared" si="28"/>
        <v>23.296600000000002</v>
      </c>
      <c r="Z117" s="48">
        <f t="shared" si="29"/>
        <v>1.3299999999999999E-2</v>
      </c>
      <c r="AA117" s="48">
        <f t="shared" si="30"/>
        <v>23.283300000000001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x14ac:dyDescent="0.25">
      <c r="A118" s="79" t="s">
        <v>311</v>
      </c>
      <c r="B118" s="43">
        <v>4038</v>
      </c>
      <c r="C118" s="43" t="s">
        <v>60</v>
      </c>
      <c r="D118" s="43" t="s">
        <v>73</v>
      </c>
      <c r="E118" s="25">
        <v>42548.693692129629</v>
      </c>
      <c r="F118" s="25">
        <v>42548.694664351853</v>
      </c>
      <c r="G118" s="25">
        <v>1</v>
      </c>
      <c r="H118" s="25" t="s">
        <v>178</v>
      </c>
      <c r="I118" s="25">
        <v>42548.723981481482</v>
      </c>
      <c r="J118" s="43">
        <v>1</v>
      </c>
      <c r="K118" s="43" t="str">
        <f t="shared" si="22"/>
        <v>4037/4038</v>
      </c>
      <c r="L118" s="43" t="str">
        <f>VLOOKUP(A118,'Trips&amp;Operators'!$C$1:$E$10000,3,FALSE)</f>
        <v>MOSES</v>
      </c>
      <c r="M118" s="11">
        <f t="shared" si="31"/>
        <v>2.9317129628907423E-2</v>
      </c>
      <c r="N118" s="12">
        <f t="shared" si="21"/>
        <v>42.21666666562669</v>
      </c>
      <c r="O118" s="12"/>
      <c r="P118" s="12"/>
      <c r="Q118" s="44"/>
      <c r="R118" s="44"/>
      <c r="S118" s="70">
        <f t="shared" si="23"/>
        <v>1</v>
      </c>
      <c r="T118" s="2" t="str">
        <f t="shared" si="24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16:37:55-0600',mode:absolute,to:'2016-06-27 17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48" t="str">
        <f t="shared" si="26"/>
        <v>N</v>
      </c>
      <c r="X118" s="48">
        <f t="shared" si="27"/>
        <v>1</v>
      </c>
      <c r="Y118" s="48">
        <f t="shared" si="28"/>
        <v>4.5699999999999998E-2</v>
      </c>
      <c r="Z118" s="48">
        <f t="shared" si="29"/>
        <v>23.331099999999999</v>
      </c>
      <c r="AA118" s="48">
        <f t="shared" si="30"/>
        <v>23.285399999999999</v>
      </c>
      <c r="AB118" s="49">
        <f>VLOOKUP(A118,Enforcements!$C$7:$J$32,8,0)</f>
        <v>63068</v>
      </c>
      <c r="AC118" s="49" t="str">
        <f>VLOOKUP(A118,Enforcements!$C$7:$E$32,3,0)</f>
        <v>GRADE CROSSING</v>
      </c>
    </row>
    <row r="119" spans="1:29" x14ac:dyDescent="0.25">
      <c r="A119" s="79" t="s">
        <v>474</v>
      </c>
      <c r="B119" s="43">
        <v>4037</v>
      </c>
      <c r="C119" s="43" t="s">
        <v>60</v>
      </c>
      <c r="D119" s="43" t="s">
        <v>161</v>
      </c>
      <c r="E119" s="25">
        <v>42548.730046296296</v>
      </c>
      <c r="F119" s="25">
        <v>42548.730983796297</v>
      </c>
      <c r="G119" s="25">
        <v>1</v>
      </c>
      <c r="H119" s="25" t="s">
        <v>89</v>
      </c>
      <c r="I119" s="25">
        <v>42548.766944444447</v>
      </c>
      <c r="J119" s="43">
        <v>0</v>
      </c>
      <c r="K119" s="43" t="str">
        <f t="shared" si="22"/>
        <v>4037/4038</v>
      </c>
      <c r="L119" s="43" t="str">
        <f>VLOOKUP(A119,'Trips&amp;Operators'!$C$1:$E$10000,3,FALSE)</f>
        <v>MOSES</v>
      </c>
      <c r="M119" s="11">
        <f t="shared" si="31"/>
        <v>3.5960648150648922E-2</v>
      </c>
      <c r="N119" s="12">
        <f t="shared" si="21"/>
        <v>51.783333336934447</v>
      </c>
      <c r="O119" s="12"/>
      <c r="P119" s="12"/>
      <c r="Q119" s="44"/>
      <c r="R119" s="44"/>
      <c r="S119" s="70">
        <f t="shared" si="23"/>
        <v>1</v>
      </c>
      <c r="T119" s="2" t="str">
        <f t="shared" si="24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17:30:16-0600',mode:absolute,to:'2016-06-27 18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9" s="48" t="str">
        <f t="shared" si="26"/>
        <v>N</v>
      </c>
      <c r="X119" s="48">
        <f t="shared" si="27"/>
        <v>1</v>
      </c>
      <c r="Y119" s="48">
        <f t="shared" si="28"/>
        <v>23.298400000000001</v>
      </c>
      <c r="Z119" s="48">
        <f t="shared" si="29"/>
        <v>1.61E-2</v>
      </c>
      <c r="AA119" s="48">
        <f t="shared" si="30"/>
        <v>23.282299999999999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s="2" customFormat="1" x14ac:dyDescent="0.25">
      <c r="A120" s="79" t="s">
        <v>475</v>
      </c>
      <c r="B120" s="43">
        <v>4031</v>
      </c>
      <c r="C120" s="43" t="s">
        <v>60</v>
      </c>
      <c r="D120" s="43" t="s">
        <v>157</v>
      </c>
      <c r="E120" s="25">
        <v>42548.706516203703</v>
      </c>
      <c r="F120" s="25">
        <v>42548.707476851851</v>
      </c>
      <c r="G120" s="25">
        <v>1</v>
      </c>
      <c r="H120" s="25" t="s">
        <v>390</v>
      </c>
      <c r="I120" s="25">
        <v>42548.733356481483</v>
      </c>
      <c r="J120" s="43">
        <v>0</v>
      </c>
      <c r="K120" s="43" t="str">
        <f t="shared" si="22"/>
        <v>4031/4032</v>
      </c>
      <c r="L120" s="43" t="str">
        <f>VLOOKUP(A120,'Trips&amp;Operators'!$C$1:$E$10000,3,FALSE)</f>
        <v>LOCKLEAR</v>
      </c>
      <c r="M120" s="11">
        <f t="shared" si="31"/>
        <v>2.587962963298196E-2</v>
      </c>
      <c r="N120" s="12">
        <f t="shared" si="21"/>
        <v>37.266666671494022</v>
      </c>
      <c r="O120" s="12"/>
      <c r="P120" s="12"/>
      <c r="Q120" s="44"/>
      <c r="R120" s="44"/>
      <c r="S120" s="70">
        <f t="shared" si="23"/>
        <v>1</v>
      </c>
      <c r="T120" s="2" t="str">
        <f t="shared" si="24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16:56:23-0600',mode:absolute,to:'2016-06-27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0" s="48" t="str">
        <f t="shared" si="26"/>
        <v>N</v>
      </c>
      <c r="X120" s="48">
        <f t="shared" si="27"/>
        <v>1</v>
      </c>
      <c r="Y120" s="48">
        <f t="shared" si="28"/>
        <v>4.4400000000000002E-2</v>
      </c>
      <c r="Z120" s="48">
        <f t="shared" si="29"/>
        <v>23.333200000000001</v>
      </c>
      <c r="AA120" s="48">
        <f t="shared" si="30"/>
        <v>23.288800000000002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x14ac:dyDescent="0.25">
      <c r="A121" s="79" t="s">
        <v>476</v>
      </c>
      <c r="B121" s="43">
        <v>4032</v>
      </c>
      <c r="C121" s="43" t="s">
        <v>60</v>
      </c>
      <c r="D121" s="43" t="s">
        <v>477</v>
      </c>
      <c r="E121" s="25">
        <v>42548.745439814818</v>
      </c>
      <c r="F121" s="25">
        <v>42548.755740740744</v>
      </c>
      <c r="G121" s="25">
        <v>14</v>
      </c>
      <c r="H121" s="25" t="s">
        <v>478</v>
      </c>
      <c r="I121" s="25">
        <v>42548.774988425925</v>
      </c>
      <c r="J121" s="43">
        <v>0</v>
      </c>
      <c r="K121" s="43" t="str">
        <f t="shared" si="22"/>
        <v>4031/4032</v>
      </c>
      <c r="L121" s="43" t="str">
        <f>VLOOKUP(A121,'Trips&amp;Operators'!$C$1:$E$10000,3,FALSE)</f>
        <v>LOCKLEAR</v>
      </c>
      <c r="M121" s="11">
        <f t="shared" si="31"/>
        <v>1.9247685180744156E-2</v>
      </c>
      <c r="N121" s="12"/>
      <c r="O121" s="12"/>
      <c r="P121" s="12">
        <f t="shared" si="21"/>
        <v>27.716666660271585</v>
      </c>
      <c r="Q121" s="44"/>
      <c r="R121" s="44" t="s">
        <v>572</v>
      </c>
      <c r="S121" s="70">
        <f t="shared" si="23"/>
        <v>1</v>
      </c>
      <c r="T121" s="2" t="str">
        <f t="shared" si="24"/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17:52:26-0600',mode:absolute,to:'2016-06-27 18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1" s="48" t="str">
        <f t="shared" si="26"/>
        <v>Y</v>
      </c>
      <c r="X121" s="48">
        <f t="shared" si="27"/>
        <v>1</v>
      </c>
      <c r="Y121" s="48">
        <f t="shared" si="28"/>
        <v>15.3964</v>
      </c>
      <c r="Z121" s="48">
        <f t="shared" si="29"/>
        <v>9.7900000000000001E-2</v>
      </c>
      <c r="AA121" s="48">
        <f t="shared" si="30"/>
        <v>15.298500000000001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x14ac:dyDescent="0.25">
      <c r="A122" s="79" t="s">
        <v>314</v>
      </c>
      <c r="B122" s="43">
        <v>4029</v>
      </c>
      <c r="C122" s="43" t="s">
        <v>60</v>
      </c>
      <c r="D122" s="43" t="s">
        <v>104</v>
      </c>
      <c r="E122" s="25">
        <v>42548.718055555553</v>
      </c>
      <c r="F122" s="25">
        <v>42548.718888888892</v>
      </c>
      <c r="G122" s="25">
        <v>1</v>
      </c>
      <c r="H122" s="25" t="s">
        <v>479</v>
      </c>
      <c r="I122" s="25">
        <v>42548.747557870367</v>
      </c>
      <c r="J122" s="43">
        <v>1</v>
      </c>
      <c r="K122" s="43" t="str">
        <f t="shared" si="22"/>
        <v>4029/4030</v>
      </c>
      <c r="L122" s="43" t="str">
        <f>VLOOKUP(A122,'Trips&amp;Operators'!$C$1:$E$10000,3,FALSE)</f>
        <v>YOUNG</v>
      </c>
      <c r="M122" s="11">
        <f t="shared" si="31"/>
        <v>2.8668981474766042E-2</v>
      </c>
      <c r="N122" s="12">
        <f t="shared" si="21"/>
        <v>41.283333323663101</v>
      </c>
      <c r="O122" s="12"/>
      <c r="P122" s="12"/>
      <c r="Q122" s="44"/>
      <c r="R122" s="44"/>
      <c r="S122" s="70">
        <f t="shared" si="23"/>
        <v>1</v>
      </c>
      <c r="T122" s="2" t="str">
        <f t="shared" si="24"/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17:13:00-0600',mode:absolute,to:'2016-06-27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2" s="48" t="str">
        <f t="shared" si="26"/>
        <v>N</v>
      </c>
      <c r="X122" s="48">
        <f t="shared" si="27"/>
        <v>1</v>
      </c>
      <c r="Y122" s="48">
        <f t="shared" si="28"/>
        <v>4.6699999999999998E-2</v>
      </c>
      <c r="Z122" s="48">
        <f t="shared" si="29"/>
        <v>23.309699999999999</v>
      </c>
      <c r="AA122" s="48">
        <f t="shared" si="30"/>
        <v>23.262999999999998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x14ac:dyDescent="0.25">
      <c r="A123" s="79" t="s">
        <v>480</v>
      </c>
      <c r="B123" s="43">
        <v>4030</v>
      </c>
      <c r="C123" s="43" t="s">
        <v>60</v>
      </c>
      <c r="D123" s="43" t="s">
        <v>191</v>
      </c>
      <c r="E123" s="25">
        <v>42548.751018518517</v>
      </c>
      <c r="F123" s="25">
        <v>42548.752164351848</v>
      </c>
      <c r="G123" s="25">
        <v>1</v>
      </c>
      <c r="H123" s="25" t="s">
        <v>224</v>
      </c>
      <c r="I123" s="25">
        <v>42548.787268518521</v>
      </c>
      <c r="J123" s="43">
        <v>0</v>
      </c>
      <c r="K123" s="43" t="str">
        <f t="shared" si="22"/>
        <v>4029/4030</v>
      </c>
      <c r="L123" s="43" t="str">
        <f>VLOOKUP(A123,'Trips&amp;Operators'!$C$1:$E$10000,3,FALSE)</f>
        <v>YOUNG</v>
      </c>
      <c r="M123" s="11">
        <f t="shared" si="31"/>
        <v>3.5104166672681458E-2</v>
      </c>
      <c r="N123" s="12">
        <f t="shared" si="21"/>
        <v>50.5500000086613</v>
      </c>
      <c r="O123" s="12"/>
      <c r="P123" s="12"/>
      <c r="Q123" s="44"/>
      <c r="R123" s="44"/>
      <c r="S123" s="70">
        <f t="shared" si="23"/>
        <v>1</v>
      </c>
      <c r="T123" s="2" t="str">
        <f t="shared" si="24"/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18:00:28-0600',mode:absolute,to:'2016-06-27 18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3" s="48" t="str">
        <f t="shared" si="26"/>
        <v>N</v>
      </c>
      <c r="X123" s="48">
        <f t="shared" si="27"/>
        <v>1</v>
      </c>
      <c r="Y123" s="48">
        <f t="shared" si="28"/>
        <v>23.2942</v>
      </c>
      <c r="Z123" s="48">
        <f t="shared" si="29"/>
        <v>2.1600000000000001E-2</v>
      </c>
      <c r="AA123" s="48">
        <f t="shared" si="30"/>
        <v>23.272600000000001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x14ac:dyDescent="0.25">
      <c r="A124" s="79" t="s">
        <v>318</v>
      </c>
      <c r="B124" s="43">
        <v>4027</v>
      </c>
      <c r="C124" s="43" t="s">
        <v>60</v>
      </c>
      <c r="D124" s="43" t="s">
        <v>78</v>
      </c>
      <c r="E124" s="25">
        <v>42548.725682870368</v>
      </c>
      <c r="F124" s="25">
        <v>42548.72761574074</v>
      </c>
      <c r="G124" s="25">
        <v>2</v>
      </c>
      <c r="H124" s="25" t="s">
        <v>481</v>
      </c>
      <c r="I124" s="25">
        <v>42548.754942129628</v>
      </c>
      <c r="J124" s="43">
        <v>1</v>
      </c>
      <c r="K124" s="43" t="str">
        <f t="shared" si="22"/>
        <v>4027/4028</v>
      </c>
      <c r="L124" s="43" t="str">
        <f>VLOOKUP(A124,'Trips&amp;Operators'!$C$1:$E$10000,3,FALSE)</f>
        <v>SHOOK</v>
      </c>
      <c r="M124" s="11">
        <f t="shared" si="31"/>
        <v>2.73263888884685E-2</v>
      </c>
      <c r="N124" s="12">
        <f t="shared" si="21"/>
        <v>39.34999999939464</v>
      </c>
      <c r="O124" s="12"/>
      <c r="P124" s="12"/>
      <c r="Q124" s="44"/>
      <c r="R124" s="44"/>
      <c r="S124" s="70">
        <f t="shared" si="23"/>
        <v>1</v>
      </c>
      <c r="T124" s="2" t="str">
        <f t="shared" si="24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17:23:59-0600',mode:absolute,to:'2016-06-27 18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4" s="48" t="str">
        <f t="shared" si="26"/>
        <v>N</v>
      </c>
      <c r="X124" s="48">
        <f t="shared" si="27"/>
        <v>1</v>
      </c>
      <c r="Y124" s="48">
        <f t="shared" si="28"/>
        <v>4.53E-2</v>
      </c>
      <c r="Z124" s="48">
        <f t="shared" si="29"/>
        <v>23.338899999999999</v>
      </c>
      <c r="AA124" s="48">
        <f t="shared" si="30"/>
        <v>23.293599999999998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x14ac:dyDescent="0.25">
      <c r="A125" s="79" t="s">
        <v>482</v>
      </c>
      <c r="B125" s="43">
        <v>4028</v>
      </c>
      <c r="C125" s="43" t="s">
        <v>60</v>
      </c>
      <c r="D125" s="43" t="s">
        <v>382</v>
      </c>
      <c r="E125" s="25">
        <v>42548.765648148146</v>
      </c>
      <c r="F125" s="25">
        <v>42548.76667824074</v>
      </c>
      <c r="G125" s="25">
        <v>1</v>
      </c>
      <c r="H125" s="25" t="s">
        <v>179</v>
      </c>
      <c r="I125" s="25">
        <v>42548.795231481483</v>
      </c>
      <c r="J125" s="43">
        <v>0</v>
      </c>
      <c r="K125" s="43" t="str">
        <f t="shared" si="22"/>
        <v>4027/4028</v>
      </c>
      <c r="L125" s="43" t="str">
        <f>VLOOKUP(A125,'Trips&amp;Operators'!$C$1:$E$10000,3,FALSE)</f>
        <v>SHOOK</v>
      </c>
      <c r="M125" s="11">
        <f t="shared" si="31"/>
        <v>2.8553240743349306E-2</v>
      </c>
      <c r="N125" s="12">
        <f t="shared" si="21"/>
        <v>41.116666670423001</v>
      </c>
      <c r="O125" s="12"/>
      <c r="P125" s="12"/>
      <c r="Q125" s="44"/>
      <c r="R125" s="44"/>
      <c r="S125" s="70">
        <f t="shared" si="23"/>
        <v>1</v>
      </c>
      <c r="T125" s="2" t="str">
        <f t="shared" si="24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18:21:32-0600',mode:absolute,to:'2016-06-27 19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5" s="48" t="str">
        <f t="shared" si="26"/>
        <v>N</v>
      </c>
      <c r="X125" s="48">
        <f t="shared" si="27"/>
        <v>1</v>
      </c>
      <c r="Y125" s="48">
        <f t="shared" si="28"/>
        <v>23.305900000000001</v>
      </c>
      <c r="Z125" s="48">
        <f t="shared" si="29"/>
        <v>1.54E-2</v>
      </c>
      <c r="AA125" s="48">
        <f t="shared" si="30"/>
        <v>23.290500000000002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x14ac:dyDescent="0.25">
      <c r="A126" s="79" t="s">
        <v>315</v>
      </c>
      <c r="B126" s="43">
        <v>4007</v>
      </c>
      <c r="C126" s="43" t="s">
        <v>60</v>
      </c>
      <c r="D126" s="43" t="s">
        <v>103</v>
      </c>
      <c r="E126" s="25">
        <v>42548.734467592592</v>
      </c>
      <c r="F126" s="25">
        <v>42548.735659722224</v>
      </c>
      <c r="G126" s="25">
        <v>1</v>
      </c>
      <c r="H126" s="25" t="s">
        <v>107</v>
      </c>
      <c r="I126" s="25">
        <v>42548.767222222225</v>
      </c>
      <c r="J126" s="43">
        <v>1</v>
      </c>
      <c r="K126" s="43" t="str">
        <f t="shared" si="22"/>
        <v>4007/4008</v>
      </c>
      <c r="L126" s="43" t="str">
        <f>VLOOKUP(A126,'Trips&amp;Operators'!$C$1:$E$10000,3,FALSE)</f>
        <v>DE LA ROSA</v>
      </c>
      <c r="M126" s="11">
        <f t="shared" si="31"/>
        <v>3.1562500000291038E-2</v>
      </c>
      <c r="N126" s="12">
        <f t="shared" si="21"/>
        <v>45.450000000419095</v>
      </c>
      <c r="O126" s="12"/>
      <c r="P126" s="12"/>
      <c r="Q126" s="44"/>
      <c r="R126" s="44"/>
      <c r="S126" s="70">
        <f t="shared" si="23"/>
        <v>1</v>
      </c>
      <c r="T126" s="2" t="str">
        <f t="shared" si="24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17:36:38-0600',mode:absolute,to:'2016-06-27 18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6" s="48" t="str">
        <f t="shared" si="26"/>
        <v>N</v>
      </c>
      <c r="X126" s="48">
        <f t="shared" si="27"/>
        <v>1</v>
      </c>
      <c r="Y126" s="48">
        <f t="shared" si="28"/>
        <v>4.5499999999999999E-2</v>
      </c>
      <c r="Z126" s="48">
        <f t="shared" si="29"/>
        <v>23.3307</v>
      </c>
      <c r="AA126" s="48">
        <f t="shared" si="30"/>
        <v>23.2852</v>
      </c>
      <c r="AB126" s="49" t="e">
        <f>VLOOKUP(A126,Enforcements!$C$7:$J$32,8,0)</f>
        <v>#N/A</v>
      </c>
      <c r="AC126" s="49" t="e">
        <f>VLOOKUP(A126,Enforcements!$C$7:$E$32,3,0)</f>
        <v>#N/A</v>
      </c>
    </row>
    <row r="127" spans="1:29" x14ac:dyDescent="0.25">
      <c r="A127" s="79" t="s">
        <v>483</v>
      </c>
      <c r="B127" s="43">
        <v>4008</v>
      </c>
      <c r="C127" s="43" t="s">
        <v>60</v>
      </c>
      <c r="D127" s="43" t="s">
        <v>161</v>
      </c>
      <c r="E127" s="25">
        <v>42548.775752314818</v>
      </c>
      <c r="F127" s="25">
        <v>42548.776493055557</v>
      </c>
      <c r="G127" s="25">
        <v>1</v>
      </c>
      <c r="H127" s="25" t="s">
        <v>173</v>
      </c>
      <c r="I127" s="25">
        <v>42548.805578703701</v>
      </c>
      <c r="J127" s="43">
        <v>0</v>
      </c>
      <c r="K127" s="43" t="str">
        <f t="shared" si="22"/>
        <v>4007/4008</v>
      </c>
      <c r="L127" s="43" t="str">
        <f>VLOOKUP(A127,'Trips&amp;Operators'!$C$1:$E$10000,3,FALSE)</f>
        <v>DE LA ROSA</v>
      </c>
      <c r="M127" s="11">
        <f t="shared" si="31"/>
        <v>2.9085648144246079E-2</v>
      </c>
      <c r="N127" s="12">
        <f t="shared" si="21"/>
        <v>41.883333327714354</v>
      </c>
      <c r="O127" s="12"/>
      <c r="P127" s="12"/>
      <c r="Q127" s="44"/>
      <c r="R127" s="44"/>
      <c r="S127" s="70">
        <f t="shared" si="23"/>
        <v>1</v>
      </c>
      <c r="T127" s="2" t="str">
        <f t="shared" si="24"/>
        <v>Southbound</v>
      </c>
      <c r="U127" s="2">
        <f>COUNTIFS(Variables!$M$2:$M$19,IF(T127="NorthBound","&gt;=","&lt;=")&amp;Y127,Variables!$M$2:$M$19,IF(T127="NorthBound","&lt;=","&gt;=")&amp;Z127)</f>
        <v>12</v>
      </c>
      <c r="V12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18:36:05-0600',mode:absolute,to:'2016-06-27 19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7" s="48" t="str">
        <f t="shared" si="26"/>
        <v>N</v>
      </c>
      <c r="X127" s="48">
        <f t="shared" si="27"/>
        <v>1</v>
      </c>
      <c r="Y127" s="48">
        <f t="shared" si="28"/>
        <v>23.298400000000001</v>
      </c>
      <c r="Z127" s="48">
        <f t="shared" si="29"/>
        <v>1.38E-2</v>
      </c>
      <c r="AA127" s="48">
        <f t="shared" si="30"/>
        <v>23.284600000000001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x14ac:dyDescent="0.25">
      <c r="A128" s="79" t="s">
        <v>319</v>
      </c>
      <c r="B128" s="43">
        <v>4024</v>
      </c>
      <c r="C128" s="43" t="s">
        <v>60</v>
      </c>
      <c r="D128" s="43" t="s">
        <v>155</v>
      </c>
      <c r="E128" s="25">
        <v>42548.746747685182</v>
      </c>
      <c r="F128" s="25">
        <v>42548.74790509259</v>
      </c>
      <c r="G128" s="25">
        <v>1</v>
      </c>
      <c r="H128" s="25" t="s">
        <v>484</v>
      </c>
      <c r="I128" s="25">
        <v>42548.77783564815</v>
      </c>
      <c r="J128" s="43">
        <v>1</v>
      </c>
      <c r="K128" s="43" t="str">
        <f t="shared" si="22"/>
        <v>4023/4024</v>
      </c>
      <c r="L128" s="43" t="str">
        <f>VLOOKUP(A128,'Trips&amp;Operators'!$C$1:$E$10000,3,FALSE)</f>
        <v>DAVIS</v>
      </c>
      <c r="M128" s="11">
        <f t="shared" si="31"/>
        <v>2.9930555559985805E-2</v>
      </c>
      <c r="N128" s="12">
        <f t="shared" si="21"/>
        <v>43.10000000637956</v>
      </c>
      <c r="O128" s="12"/>
      <c r="P128" s="12"/>
      <c r="Q128" s="44"/>
      <c r="R128" s="44"/>
      <c r="S128" s="70">
        <f t="shared" si="23"/>
        <v>1</v>
      </c>
      <c r="T128" s="2" t="str">
        <f t="shared" si="24"/>
        <v>NorthBound</v>
      </c>
      <c r="U128" s="2">
        <f>COUNTIFS(Variables!$M$2:$M$19,IF(T128="NorthBound","&gt;=","&lt;=")&amp;Y128,Variables!$M$2:$M$19,IF(T128="NorthBound","&lt;=","&gt;=")&amp;Z128)</f>
        <v>12</v>
      </c>
      <c r="V12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17:54:19-0600',mode:absolute,to:'2016-06-27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8" s="48" t="str">
        <f t="shared" si="26"/>
        <v>N</v>
      </c>
      <c r="X128" s="48">
        <f t="shared" si="27"/>
        <v>1</v>
      </c>
      <c r="Y128" s="48">
        <f t="shared" si="28"/>
        <v>4.5100000000000001E-2</v>
      </c>
      <c r="Z128" s="48">
        <f t="shared" si="29"/>
        <v>23.325299999999999</v>
      </c>
      <c r="AA128" s="48">
        <f t="shared" si="30"/>
        <v>23.280199999999997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x14ac:dyDescent="0.25">
      <c r="A129" s="79" t="s">
        <v>321</v>
      </c>
      <c r="B129" s="43">
        <v>4040</v>
      </c>
      <c r="C129" s="43" t="s">
        <v>60</v>
      </c>
      <c r="D129" s="43" t="s">
        <v>140</v>
      </c>
      <c r="E129" s="25">
        <v>42548.757233796299</v>
      </c>
      <c r="F129" s="25">
        <v>42548.759004629632</v>
      </c>
      <c r="G129" s="25">
        <v>2</v>
      </c>
      <c r="H129" s="25" t="s">
        <v>485</v>
      </c>
      <c r="I129" s="25">
        <v>42548.785891203705</v>
      </c>
      <c r="J129" s="43">
        <v>1</v>
      </c>
      <c r="K129" s="43" t="str">
        <f t="shared" si="22"/>
        <v>4039/4040</v>
      </c>
      <c r="L129" s="43" t="str">
        <f>VLOOKUP(A129,'Trips&amp;Operators'!$C$1:$E$10000,3,FALSE)</f>
        <v>BRUDER</v>
      </c>
      <c r="M129" s="11">
        <f t="shared" si="31"/>
        <v>2.6886574072705116E-2</v>
      </c>
      <c r="N129" s="12">
        <f t="shared" si="21"/>
        <v>38.716666664695367</v>
      </c>
      <c r="O129" s="12"/>
      <c r="P129" s="12"/>
      <c r="Q129" s="44"/>
      <c r="R129" s="44"/>
      <c r="S129" s="70">
        <f t="shared" si="23"/>
        <v>1</v>
      </c>
      <c r="T129" s="2" t="str">
        <f t="shared" si="24"/>
        <v>NorthBound</v>
      </c>
      <c r="U129" s="2">
        <f>COUNTIFS(Variables!$M$2:$M$19,IF(T129="NorthBound","&gt;=","&lt;=")&amp;Y129,Variables!$M$2:$M$19,IF(T129="NorthBound","&lt;=","&gt;=")&amp;Z129)</f>
        <v>12</v>
      </c>
      <c r="V12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18:09:25-0600',mode:absolute,to:'2016-06-27 18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9" s="48" t="str">
        <f t="shared" si="26"/>
        <v>N</v>
      </c>
      <c r="X129" s="48">
        <f t="shared" si="27"/>
        <v>2</v>
      </c>
      <c r="Y129" s="48">
        <f t="shared" si="28"/>
        <v>4.7500000000000001E-2</v>
      </c>
      <c r="Z129" s="48">
        <f t="shared" si="29"/>
        <v>23.3247</v>
      </c>
      <c r="AA129" s="48">
        <f t="shared" si="30"/>
        <v>23.277200000000001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x14ac:dyDescent="0.25">
      <c r="A130" s="43" t="s">
        <v>486</v>
      </c>
      <c r="B130" s="43">
        <v>4039</v>
      </c>
      <c r="C130" s="43" t="s">
        <v>60</v>
      </c>
      <c r="D130" s="43" t="s">
        <v>487</v>
      </c>
      <c r="E130" s="25">
        <v>42548.796932870369</v>
      </c>
      <c r="F130" s="25">
        <v>42548.798020833332</v>
      </c>
      <c r="G130" s="25">
        <v>1</v>
      </c>
      <c r="H130" s="25" t="s">
        <v>488</v>
      </c>
      <c r="I130" s="25">
        <v>42548.825509259259</v>
      </c>
      <c r="J130" s="43">
        <v>0</v>
      </c>
      <c r="K130" s="43" t="str">
        <f t="shared" si="22"/>
        <v>4039/4040</v>
      </c>
      <c r="L130" s="43" t="str">
        <f>VLOOKUP(A130,'Trips&amp;Operators'!$C$1:$E$10000,3,FALSE)</f>
        <v>BRUDER</v>
      </c>
      <c r="M130" s="11">
        <f t="shared" si="31"/>
        <v>2.7488425927003846E-2</v>
      </c>
      <c r="N130" s="12">
        <f t="shared" si="21"/>
        <v>39.583333334885538</v>
      </c>
      <c r="O130" s="12"/>
      <c r="P130" s="12"/>
      <c r="Q130" s="44"/>
      <c r="R130" s="44"/>
      <c r="S130" s="70">
        <f t="shared" si="23"/>
        <v>1</v>
      </c>
      <c r="T130" s="2" t="str">
        <f t="shared" si="24"/>
        <v>Southbound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19:06:35-0600',mode:absolute,to:'2016-06-27 19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0" s="48" t="str">
        <f t="shared" si="26"/>
        <v>N</v>
      </c>
      <c r="X130" s="48">
        <f t="shared" si="27"/>
        <v>1</v>
      </c>
      <c r="Y130" s="48">
        <f t="shared" si="28"/>
        <v>23.2925</v>
      </c>
      <c r="Z130" s="48">
        <f t="shared" si="29"/>
        <v>2.2100000000000002E-2</v>
      </c>
      <c r="AA130" s="48">
        <f t="shared" si="30"/>
        <v>23.270400000000002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x14ac:dyDescent="0.25">
      <c r="A131" s="43" t="s">
        <v>489</v>
      </c>
      <c r="B131" s="43">
        <v>4038</v>
      </c>
      <c r="C131" s="43" t="s">
        <v>60</v>
      </c>
      <c r="D131" s="43" t="s">
        <v>104</v>
      </c>
      <c r="E131" s="25">
        <v>42548.768645833334</v>
      </c>
      <c r="F131" s="25">
        <v>42548.769745370373</v>
      </c>
      <c r="G131" s="25">
        <v>1</v>
      </c>
      <c r="H131" s="25" t="s">
        <v>148</v>
      </c>
      <c r="I131" s="25">
        <v>42548.797534722224</v>
      </c>
      <c r="J131" s="43">
        <v>0</v>
      </c>
      <c r="K131" s="43" t="str">
        <f t="shared" si="22"/>
        <v>4037/4038</v>
      </c>
      <c r="L131" s="43" t="str">
        <f>VLOOKUP(A131,'Trips&amp;Operators'!$C$1:$E$10000,3,FALSE)</f>
        <v>BARTLETT</v>
      </c>
      <c r="M131" s="11">
        <f t="shared" si="31"/>
        <v>2.7789351850515231E-2</v>
      </c>
      <c r="N131" s="12">
        <f t="shared" si="21"/>
        <v>40.016666664741933</v>
      </c>
      <c r="O131" s="12"/>
      <c r="P131" s="12"/>
      <c r="Q131" s="44"/>
      <c r="R131" s="44"/>
      <c r="S131" s="70">
        <f t="shared" si="23"/>
        <v>1</v>
      </c>
      <c r="T131" s="2" t="str">
        <f t="shared" si="24"/>
        <v>NorthBound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18:25:51-0600',mode:absolute,to:'2016-06-27 19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1" s="48" t="str">
        <f t="shared" si="26"/>
        <v>N</v>
      </c>
      <c r="X131" s="48">
        <f t="shared" si="27"/>
        <v>1</v>
      </c>
      <c r="Y131" s="48">
        <f t="shared" si="28"/>
        <v>4.6699999999999998E-2</v>
      </c>
      <c r="Z131" s="48">
        <f t="shared" si="29"/>
        <v>23.33</v>
      </c>
      <c r="AA131" s="48">
        <f t="shared" si="30"/>
        <v>23.283299999999997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x14ac:dyDescent="0.25">
      <c r="A132" s="43" t="s">
        <v>324</v>
      </c>
      <c r="B132" s="43">
        <v>4037</v>
      </c>
      <c r="C132" s="43" t="s">
        <v>60</v>
      </c>
      <c r="D132" s="43" t="s">
        <v>384</v>
      </c>
      <c r="E132" s="25">
        <v>42548.807071759256</v>
      </c>
      <c r="F132" s="25">
        <v>42548.808159722219</v>
      </c>
      <c r="G132" s="25">
        <v>1</v>
      </c>
      <c r="H132" s="25" t="s">
        <v>490</v>
      </c>
      <c r="I132" s="25">
        <v>42549.026469907411</v>
      </c>
      <c r="J132" s="43">
        <v>1</v>
      </c>
      <c r="K132" s="43" t="str">
        <f t="shared" si="22"/>
        <v>4037/4038</v>
      </c>
      <c r="L132" s="43" t="str">
        <f>VLOOKUP(A132,'Trips&amp;Operators'!$C$1:$E$10000,3,FALSE)</f>
        <v>BARTLETT</v>
      </c>
      <c r="M132" s="11">
        <f t="shared" si="31"/>
        <v>0.21831018519151257</v>
      </c>
      <c r="N132" s="12">
        <f t="shared" si="21"/>
        <v>314.36666667577811</v>
      </c>
      <c r="O132" s="12"/>
      <c r="P132" s="12"/>
      <c r="Q132" s="44"/>
      <c r="R132" s="44"/>
      <c r="S132" s="70">
        <f t="shared" si="23"/>
        <v>1</v>
      </c>
      <c r="T132" s="2" t="str">
        <f t="shared" si="24"/>
        <v>Southbound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19:21:11-0600',mode:absolute,to:'2016-06-28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2" s="48" t="str">
        <f t="shared" si="26"/>
        <v>N</v>
      </c>
      <c r="X132" s="48">
        <f t="shared" si="27"/>
        <v>1</v>
      </c>
      <c r="Y132" s="48">
        <f t="shared" si="28"/>
        <v>23.2987</v>
      </c>
      <c r="Z132" s="48">
        <f t="shared" si="29"/>
        <v>3.6700000000000003E-2</v>
      </c>
      <c r="AA132" s="48">
        <f t="shared" si="30"/>
        <v>23.262</v>
      </c>
      <c r="AB132" s="49">
        <f>VLOOKUP(A132,Enforcements!$C$7:$J$32,8,0)</f>
        <v>68497</v>
      </c>
      <c r="AC132" s="49" t="str">
        <f>VLOOKUP(A132,Enforcements!$C$7:$E$32,3,0)</f>
        <v>EQUIPMENT RESTRICTION</v>
      </c>
    </row>
    <row r="133" spans="1:29" x14ac:dyDescent="0.25">
      <c r="A133" s="43" t="s">
        <v>323</v>
      </c>
      <c r="B133" s="43">
        <v>4029</v>
      </c>
      <c r="C133" s="43" t="s">
        <v>60</v>
      </c>
      <c r="D133" s="43" t="s">
        <v>412</v>
      </c>
      <c r="E133" s="25">
        <v>42548.788946759261</v>
      </c>
      <c r="F133" s="25">
        <v>42548.789965277778</v>
      </c>
      <c r="G133" s="25">
        <v>1</v>
      </c>
      <c r="H133" s="25" t="s">
        <v>432</v>
      </c>
      <c r="I133" s="25">
        <v>42548.819432870368</v>
      </c>
      <c r="J133" s="43">
        <v>1</v>
      </c>
      <c r="K133" s="43" t="str">
        <f t="shared" si="22"/>
        <v>4029/4030</v>
      </c>
      <c r="L133" s="43" t="str">
        <f>VLOOKUP(A133,'Trips&amp;Operators'!$C$1:$E$10000,3,FALSE)</f>
        <v>YOUNG</v>
      </c>
      <c r="M133" s="11">
        <f t="shared" si="31"/>
        <v>2.9467592590663116E-2</v>
      </c>
      <c r="N133" s="12">
        <f t="shared" si="21"/>
        <v>42.433333330554888</v>
      </c>
      <c r="O133" s="12"/>
      <c r="P133" s="12"/>
      <c r="Q133" s="44"/>
      <c r="R133" s="44"/>
      <c r="S133" s="70">
        <f t="shared" si="23"/>
        <v>1</v>
      </c>
      <c r="T133" s="2" t="str">
        <f t="shared" si="24"/>
        <v>NorthBound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18:55:05-0600',mode:absolute,to:'2016-06-27 19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3" s="48" t="str">
        <f t="shared" si="26"/>
        <v>N</v>
      </c>
      <c r="X133" s="48">
        <f t="shared" si="27"/>
        <v>1</v>
      </c>
      <c r="Y133" s="48">
        <f t="shared" si="28"/>
        <v>4.9700000000000001E-2</v>
      </c>
      <c r="Z133" s="48">
        <f t="shared" si="29"/>
        <v>23.3063</v>
      </c>
      <c r="AA133" s="48">
        <f t="shared" si="30"/>
        <v>23.256599999999999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x14ac:dyDescent="0.25">
      <c r="A134" s="43" t="s">
        <v>491</v>
      </c>
      <c r="B134" s="43">
        <v>4030</v>
      </c>
      <c r="C134" s="43" t="s">
        <v>60</v>
      </c>
      <c r="D134" s="43" t="s">
        <v>492</v>
      </c>
      <c r="E134" s="25">
        <v>42548.822118055556</v>
      </c>
      <c r="F134" s="25">
        <v>42548.823703703703</v>
      </c>
      <c r="G134" s="25">
        <v>2</v>
      </c>
      <c r="H134" s="25" t="s">
        <v>493</v>
      </c>
      <c r="I134" s="25">
        <v>42548.860300925924</v>
      </c>
      <c r="J134" s="43">
        <v>0</v>
      </c>
      <c r="K134" s="43" t="str">
        <f t="shared" si="22"/>
        <v>4029/4030</v>
      </c>
      <c r="L134" s="43" t="str">
        <f>VLOOKUP(A134,'Trips&amp;Operators'!$C$1:$E$10000,3,FALSE)</f>
        <v>YOUNG</v>
      </c>
      <c r="M134" s="11">
        <f t="shared" si="31"/>
        <v>3.6597222220734693E-2</v>
      </c>
      <c r="N134" s="12">
        <f t="shared" si="21"/>
        <v>52.699999997857958</v>
      </c>
      <c r="O134" s="12"/>
      <c r="P134" s="12"/>
      <c r="Q134" s="44"/>
      <c r="R134" s="44"/>
      <c r="S134" s="70">
        <f t="shared" si="23"/>
        <v>1</v>
      </c>
      <c r="T134" s="2" t="str">
        <f t="shared" si="24"/>
        <v>Southbound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19:42:51-0600',mode:absolute,to:'2016-06-27 20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4" s="48" t="str">
        <f t="shared" si="26"/>
        <v>N</v>
      </c>
      <c r="X134" s="48">
        <f t="shared" si="27"/>
        <v>1</v>
      </c>
      <c r="Y134" s="48">
        <f t="shared" si="28"/>
        <v>23.293399999999998</v>
      </c>
      <c r="Z134" s="48">
        <f t="shared" si="29"/>
        <v>1.9800000000000002E-2</v>
      </c>
      <c r="AA134" s="48">
        <f t="shared" si="30"/>
        <v>23.273599999999998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x14ac:dyDescent="0.25">
      <c r="A135" s="43" t="s">
        <v>325</v>
      </c>
      <c r="B135" s="43">
        <v>4007</v>
      </c>
      <c r="C135" s="43" t="s">
        <v>60</v>
      </c>
      <c r="D135" s="43" t="s">
        <v>198</v>
      </c>
      <c r="E135" s="25">
        <v>42548.808275462965</v>
      </c>
      <c r="F135" s="25">
        <v>42548.809687499997</v>
      </c>
      <c r="G135" s="25">
        <v>2</v>
      </c>
      <c r="H135" s="25" t="s">
        <v>158</v>
      </c>
      <c r="I135" s="25">
        <v>42548.838518518518</v>
      </c>
      <c r="J135" s="43">
        <v>1</v>
      </c>
      <c r="K135" s="43" t="str">
        <f t="shared" si="22"/>
        <v>4007/4008</v>
      </c>
      <c r="L135" s="43" t="str">
        <f>VLOOKUP(A135,'Trips&amp;Operators'!$C$1:$E$10000,3,FALSE)</f>
        <v>DE LA ROSA</v>
      </c>
      <c r="M135" s="11">
        <f t="shared" si="31"/>
        <v>2.8831018520577345E-2</v>
      </c>
      <c r="N135" s="12">
        <f t="shared" si="21"/>
        <v>41.516666669631377</v>
      </c>
      <c r="O135" s="12"/>
      <c r="P135" s="12"/>
      <c r="Q135" s="44"/>
      <c r="R135" s="44"/>
      <c r="S135" s="70">
        <f t="shared" si="23"/>
        <v>1</v>
      </c>
      <c r="T135" s="2" t="str">
        <f t="shared" si="24"/>
        <v>NorthBound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19:22:55-0600',mode:absolute,to:'2016-06-27 20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5" s="48" t="str">
        <f t="shared" si="26"/>
        <v>N</v>
      </c>
      <c r="X135" s="48">
        <f t="shared" si="27"/>
        <v>1</v>
      </c>
      <c r="Y135" s="48">
        <f t="shared" si="28"/>
        <v>4.4900000000000002E-2</v>
      </c>
      <c r="Z135" s="48">
        <f t="shared" si="29"/>
        <v>23.331199999999999</v>
      </c>
      <c r="AA135" s="48">
        <f t="shared" si="30"/>
        <v>23.286300000000001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x14ac:dyDescent="0.25">
      <c r="A136" s="43" t="s">
        <v>494</v>
      </c>
      <c r="B136" s="43">
        <v>4008</v>
      </c>
      <c r="C136" s="43" t="s">
        <v>60</v>
      </c>
      <c r="D136" s="43" t="s">
        <v>416</v>
      </c>
      <c r="E136" s="25">
        <v>42548.846643518518</v>
      </c>
      <c r="F136" s="25">
        <v>42548.84752314815</v>
      </c>
      <c r="G136" s="25">
        <v>1</v>
      </c>
      <c r="H136" s="25" t="s">
        <v>97</v>
      </c>
      <c r="I136" s="25">
        <v>42548.87945601852</v>
      </c>
      <c r="J136" s="43">
        <v>0</v>
      </c>
      <c r="K136" s="43" t="str">
        <f t="shared" si="22"/>
        <v>4007/4008</v>
      </c>
      <c r="L136" s="43" t="str">
        <f>VLOOKUP(A136,'Trips&amp;Operators'!$C$1:$E$10000,3,FALSE)</f>
        <v>DE LA ROSA</v>
      </c>
      <c r="M136" s="11">
        <f t="shared" si="31"/>
        <v>3.1932870369928423E-2</v>
      </c>
      <c r="N136" s="12">
        <f t="shared" si="21"/>
        <v>45.98333333269693</v>
      </c>
      <c r="O136" s="12"/>
      <c r="P136" s="12"/>
      <c r="Q136" s="44"/>
      <c r="R136" s="44"/>
      <c r="S136" s="70">
        <f t="shared" si="23"/>
        <v>1</v>
      </c>
      <c r="T136" s="2" t="str">
        <f t="shared" si="24"/>
        <v>Southbound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20:18:10-0600',mode:absolute,to:'2016-06-27 21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6" s="48" t="str">
        <f t="shared" si="26"/>
        <v>N</v>
      </c>
      <c r="X136" s="48">
        <f t="shared" si="27"/>
        <v>1</v>
      </c>
      <c r="Y136" s="48">
        <f t="shared" si="28"/>
        <v>23.297999999999998</v>
      </c>
      <c r="Z136" s="48">
        <f t="shared" si="29"/>
        <v>1.5800000000000002E-2</v>
      </c>
      <c r="AA136" s="48">
        <f t="shared" si="30"/>
        <v>23.2822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x14ac:dyDescent="0.25">
      <c r="A137" s="43" t="s">
        <v>327</v>
      </c>
      <c r="B137" s="43">
        <v>4040</v>
      </c>
      <c r="C137" s="43" t="s">
        <v>60</v>
      </c>
      <c r="D137" s="43" t="s">
        <v>193</v>
      </c>
      <c r="E137" s="25">
        <v>42548.828067129631</v>
      </c>
      <c r="F137" s="25">
        <v>42548.828935185185</v>
      </c>
      <c r="G137" s="25">
        <v>1</v>
      </c>
      <c r="H137" s="25" t="s">
        <v>495</v>
      </c>
      <c r="I137" s="25">
        <v>42548.858148148145</v>
      </c>
      <c r="J137" s="43">
        <v>1</v>
      </c>
      <c r="K137" s="43" t="str">
        <f t="shared" si="22"/>
        <v>4039/4040</v>
      </c>
      <c r="L137" s="43" t="str">
        <f>VLOOKUP(A137,'Trips&amp;Operators'!$C$1:$E$10000,3,FALSE)</f>
        <v>BRUDER</v>
      </c>
      <c r="M137" s="11">
        <f t="shared" si="31"/>
        <v>2.9212962959718425E-2</v>
      </c>
      <c r="N137" s="12">
        <f t="shared" si="21"/>
        <v>42.066666661994532</v>
      </c>
      <c r="O137" s="12"/>
      <c r="P137" s="12"/>
      <c r="Q137" s="44"/>
      <c r="R137" s="44"/>
      <c r="S137" s="70">
        <f t="shared" si="23"/>
        <v>1</v>
      </c>
      <c r="T137" s="2" t="str">
        <f t="shared" si="24"/>
        <v>NorthBound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19:51:25-0600',mode:absolute,to:'2016-06-27 20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7" s="48" t="str">
        <f t="shared" si="26"/>
        <v>N</v>
      </c>
      <c r="X137" s="48">
        <f t="shared" si="27"/>
        <v>1</v>
      </c>
      <c r="Y137" s="48">
        <f t="shared" si="28"/>
        <v>5.1700000000000003E-2</v>
      </c>
      <c r="Z137" s="48">
        <f t="shared" si="29"/>
        <v>23.325700000000001</v>
      </c>
      <c r="AA137" s="48">
        <f t="shared" si="30"/>
        <v>23.274000000000001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x14ac:dyDescent="0.25">
      <c r="A138" s="43" t="s">
        <v>330</v>
      </c>
      <c r="B138" s="43">
        <v>4039</v>
      </c>
      <c r="C138" s="43" t="s">
        <v>60</v>
      </c>
      <c r="D138" s="43" t="s">
        <v>492</v>
      </c>
      <c r="E138" s="25">
        <v>42548.8671875</v>
      </c>
      <c r="F138" s="25">
        <v>42548.868287037039</v>
      </c>
      <c r="G138" s="25">
        <v>1</v>
      </c>
      <c r="H138" s="25" t="s">
        <v>496</v>
      </c>
      <c r="I138" s="25">
        <v>42548.884699074071</v>
      </c>
      <c r="J138" s="43">
        <v>1</v>
      </c>
      <c r="K138" s="43" t="str">
        <f t="shared" si="22"/>
        <v>4039/4040</v>
      </c>
      <c r="L138" s="43" t="str">
        <f>VLOOKUP(A138,'Trips&amp;Operators'!$C$1:$E$10000,3,FALSE)</f>
        <v>BRUDER</v>
      </c>
      <c r="M138" s="11">
        <f t="shared" si="31"/>
        <v>1.6412037031841464E-2</v>
      </c>
      <c r="N138" s="12"/>
      <c r="O138" s="12"/>
      <c r="P138" s="12">
        <f>24*60*SUM($M138:$M139)</f>
        <v>42.599999994272366</v>
      </c>
      <c r="Q138" s="44"/>
      <c r="R138" s="44" t="s">
        <v>569</v>
      </c>
      <c r="S138" s="70">
        <f t="shared" si="23"/>
        <v>0.16666666666666666</v>
      </c>
      <c r="T138" s="2" t="str">
        <f t="shared" si="24"/>
        <v>Southbound</v>
      </c>
      <c r="U138" s="2">
        <f>COUNTIFS(Variables!$M$2:$M$19,IF(T138="NorthBound","&gt;=","&lt;=")&amp;Y138,Variables!$M$2:$M$19,IF(T138="NorthBound","&lt;=","&gt;=")&amp;Z138)</f>
        <v>2</v>
      </c>
      <c r="V138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8" s="48" t="str">
        <f t="shared" si="26"/>
        <v>Y</v>
      </c>
      <c r="X138" s="48">
        <f t="shared" si="27"/>
        <v>1</v>
      </c>
      <c r="Y138" s="48">
        <f t="shared" si="28"/>
        <v>23.293399999999998</v>
      </c>
      <c r="Z138" s="48">
        <f t="shared" si="29"/>
        <v>10.2875</v>
      </c>
      <c r="AA138" s="48">
        <f t="shared" si="30"/>
        <v>13.005899999999999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x14ac:dyDescent="0.25">
      <c r="A139" s="43" t="s">
        <v>330</v>
      </c>
      <c r="B139" s="43">
        <v>4039</v>
      </c>
      <c r="C139" s="43" t="s">
        <v>60</v>
      </c>
      <c r="D139" s="43" t="s">
        <v>497</v>
      </c>
      <c r="E139" s="25">
        <v>42548.88689814815</v>
      </c>
      <c r="F139" s="25">
        <v>42548.88790509259</v>
      </c>
      <c r="G139" s="25">
        <v>1</v>
      </c>
      <c r="H139" s="25" t="s">
        <v>238</v>
      </c>
      <c r="I139" s="25">
        <v>42548.901076388887</v>
      </c>
      <c r="J139" s="43">
        <v>1</v>
      </c>
      <c r="K139" s="43" t="str">
        <f t="shared" si="22"/>
        <v>4039/4040</v>
      </c>
      <c r="L139" s="43" t="str">
        <f>VLOOKUP(A139,'Trips&amp;Operators'!$C$1:$E$10000,3,FALSE)</f>
        <v>BRUDER</v>
      </c>
      <c r="M139" s="11">
        <f t="shared" si="31"/>
        <v>1.3171296297514345E-2</v>
      </c>
      <c r="N139" s="12"/>
      <c r="O139" s="12"/>
      <c r="P139" s="12"/>
      <c r="Q139" s="44"/>
      <c r="R139" s="44"/>
      <c r="S139" s="70">
        <f t="shared" si="23"/>
        <v>0.83333333333333337</v>
      </c>
      <c r="T139" s="2" t="str">
        <f t="shared" si="24"/>
        <v>Southbound</v>
      </c>
      <c r="U139" s="2">
        <f>COUNTIFS(Variables!$M$2:$M$19,IF(T139="NorthBound","&gt;=","&lt;=")&amp;Y139,Variables!$M$2:$M$19,IF(T139="NorthBound","&lt;=","&gt;=")&amp;Z139)</f>
        <v>10</v>
      </c>
      <c r="V139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21:16:08-0600',mode:absolute,to:'2016-06-27 21:38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9" s="48" t="str">
        <f t="shared" si="26"/>
        <v>Y</v>
      </c>
      <c r="X139" s="48">
        <f t="shared" si="27"/>
        <v>0</v>
      </c>
      <c r="Y139" s="48">
        <f t="shared" si="28"/>
        <v>8.6353000000000009</v>
      </c>
      <c r="Z139" s="48">
        <f t="shared" si="29"/>
        <v>1.7600000000000001E-2</v>
      </c>
      <c r="AA139" s="48">
        <f t="shared" si="30"/>
        <v>8.617700000000001</v>
      </c>
      <c r="AB139" s="49" t="e">
        <f>VLOOKUP(A139,Enforcements!$C$7:$J$32,8,0)</f>
        <v>#N/A</v>
      </c>
      <c r="AC139" s="49" t="e">
        <f>VLOOKUP(A139,Enforcements!$C$7:$E$32,3,0)</f>
        <v>#N/A</v>
      </c>
    </row>
    <row r="140" spans="1:29" x14ac:dyDescent="0.25">
      <c r="A140" s="43" t="s">
        <v>331</v>
      </c>
      <c r="B140" s="43">
        <v>4031</v>
      </c>
      <c r="C140" s="43" t="s">
        <v>60</v>
      </c>
      <c r="D140" s="43" t="s">
        <v>435</v>
      </c>
      <c r="E140" s="25">
        <v>42548.845694444448</v>
      </c>
      <c r="F140" s="25">
        <v>42548.847534722219</v>
      </c>
      <c r="G140" s="25">
        <v>2</v>
      </c>
      <c r="H140" s="25" t="s">
        <v>162</v>
      </c>
      <c r="I140" s="25">
        <v>42548.886400462965</v>
      </c>
      <c r="J140" s="43">
        <v>1</v>
      </c>
      <c r="K140" s="43" t="str">
        <f t="shared" si="22"/>
        <v>4031/4032</v>
      </c>
      <c r="L140" s="43" t="str">
        <f>VLOOKUP(A140,'Trips&amp;Operators'!$C$1:$E$10000,3,FALSE)</f>
        <v>BARTLETT</v>
      </c>
      <c r="M140" s="11">
        <f t="shared" ref="M140:M155" si="32">I140-F140</f>
        <v>3.8865740745677613E-2</v>
      </c>
      <c r="N140" s="12">
        <f t="shared" ref="N140:N156" si="33">24*60*SUM($M140:$M140)</f>
        <v>55.966666673775762</v>
      </c>
      <c r="O140" s="12"/>
      <c r="P140" s="12"/>
      <c r="Q140" s="44"/>
      <c r="R140" s="44"/>
      <c r="S140" s="70">
        <f t="shared" si="23"/>
        <v>1</v>
      </c>
      <c r="T140" s="2" t="str">
        <f t="shared" si="24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20:16:48-0600',mode:absolute,to:'2016-06-27 21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0" s="48" t="str">
        <f t="shared" si="26"/>
        <v>N</v>
      </c>
      <c r="X140" s="48">
        <f t="shared" si="27"/>
        <v>1</v>
      </c>
      <c r="Y140" s="48">
        <f t="shared" si="28"/>
        <v>4.8599999999999997E-2</v>
      </c>
      <c r="Z140" s="48">
        <f t="shared" si="29"/>
        <v>23.3276</v>
      </c>
      <c r="AA140" s="48">
        <f t="shared" si="30"/>
        <v>23.279</v>
      </c>
      <c r="AB140" s="49" t="e">
        <f>VLOOKUP(A140,Enforcements!$C$7:$J$32,8,0)</f>
        <v>#N/A</v>
      </c>
      <c r="AC140" s="49" t="e">
        <f>VLOOKUP(A140,Enforcements!$C$7:$E$32,3,0)</f>
        <v>#N/A</v>
      </c>
    </row>
    <row r="141" spans="1:29" x14ac:dyDescent="0.25">
      <c r="A141" s="43" t="s">
        <v>498</v>
      </c>
      <c r="B141" s="43">
        <v>4032</v>
      </c>
      <c r="C141" s="43" t="s">
        <v>60</v>
      </c>
      <c r="D141" s="43" t="s">
        <v>499</v>
      </c>
      <c r="E141" s="25">
        <v>42548.892175925925</v>
      </c>
      <c r="F141" s="25">
        <v>42548.893043981479</v>
      </c>
      <c r="G141" s="25">
        <v>1</v>
      </c>
      <c r="H141" s="25" t="s">
        <v>177</v>
      </c>
      <c r="I141" s="25">
        <v>42548.924479166664</v>
      </c>
      <c r="J141" s="43">
        <v>0</v>
      </c>
      <c r="K141" s="43" t="str">
        <f t="shared" ref="K141:K156" si="34">IF(ISEVEN(B141),(B141-1)&amp;"/"&amp;B141,B141&amp;"/"&amp;(B141+1))</f>
        <v>4031/4032</v>
      </c>
      <c r="L141" s="43" t="str">
        <f>VLOOKUP(A141,'Trips&amp;Operators'!$C$1:$E$10000,3,FALSE)</f>
        <v>BARTLETT</v>
      </c>
      <c r="M141" s="11">
        <f t="shared" si="32"/>
        <v>3.1435185184818693E-2</v>
      </c>
      <c r="N141" s="12">
        <f t="shared" si="33"/>
        <v>45.266666666138917</v>
      </c>
      <c r="O141" s="12"/>
      <c r="P141" s="12"/>
      <c r="Q141" s="44"/>
      <c r="R141" s="44"/>
      <c r="S141" s="70">
        <f t="shared" si="23"/>
        <v>1</v>
      </c>
      <c r="T141" s="2" t="str">
        <f t="shared" si="24"/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si="25"/>
        <v>https://search-rtdc-monitor-bjffxe2xuh6vdkpspy63sjmuny.us-east-1.es.amazonaws.com/_plugin/kibana/#/discover/Steve-Slow-Train-Analysis-(2080s-and-2083s)?_g=(refreshInterval:(display:Off,section:0,value:0),time:(from:'2016-06-27 21:23:44-0600',mode:absolute,to:'2016-06-27 22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1" s="48" t="str">
        <f t="shared" si="26"/>
        <v>N</v>
      </c>
      <c r="X141" s="48">
        <f t="shared" si="27"/>
        <v>1</v>
      </c>
      <c r="Y141" s="48">
        <f t="shared" si="28"/>
        <v>23.294599999999999</v>
      </c>
      <c r="Z141" s="48">
        <f t="shared" si="29"/>
        <v>1.6500000000000001E-2</v>
      </c>
      <c r="AA141" s="48">
        <f t="shared" si="30"/>
        <v>23.278099999999998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x14ac:dyDescent="0.25">
      <c r="A142" s="43" t="s">
        <v>332</v>
      </c>
      <c r="B142" s="43">
        <v>4029</v>
      </c>
      <c r="C142" s="43" t="s">
        <v>60</v>
      </c>
      <c r="D142" s="43" t="s">
        <v>500</v>
      </c>
      <c r="E142" s="25">
        <v>42548.862824074073</v>
      </c>
      <c r="F142" s="25">
        <v>42548.863877314812</v>
      </c>
      <c r="G142" s="25">
        <v>1</v>
      </c>
      <c r="H142" s="25" t="s">
        <v>501</v>
      </c>
      <c r="I142" s="25">
        <v>42548.903946759259</v>
      </c>
      <c r="J142" s="43">
        <v>1</v>
      </c>
      <c r="K142" s="43" t="str">
        <f t="shared" si="34"/>
        <v>4029/4030</v>
      </c>
      <c r="L142" s="43" t="str">
        <f>VLOOKUP(A142,'Trips&amp;Operators'!$C$1:$E$10000,3,FALSE)</f>
        <v>YOUNG</v>
      </c>
      <c r="M142" s="11">
        <f t="shared" si="32"/>
        <v>4.0069444446999114E-2</v>
      </c>
      <c r="N142" s="12">
        <f t="shared" si="33"/>
        <v>57.700000003678724</v>
      </c>
      <c r="O142" s="12"/>
      <c r="P142" s="12"/>
      <c r="Q142" s="44"/>
      <c r="R142" s="44"/>
      <c r="S142" s="70">
        <f t="shared" ref="S142:S156" si="35">SUM(U142:U142)/12</f>
        <v>1</v>
      </c>
      <c r="T142" s="2" t="str">
        <f t="shared" ref="T142:T156" si="36">IF(ISEVEN(LEFT(A142,3)),"Southbound","NorthBound")</f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ref="V142:V156" si="37"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https://search-rtdc-monitor-bjffxe2xuh6vdkpspy63sjmuny.us-east-1.es.amazonaws.com/_plugin/kibana/#/discover/Steve-Slow-Train-Analysis-(2080s-and-2083s)?_g=(refreshInterval:(display:Off,section:0,value:0),time:(from:'2016-06-27 20:41:28-0600',mode:absolute,to:'2016-06-27 21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2" s="48" t="str">
        <f t="shared" ref="W142:W156" si="38">IF(AA142&lt;23,"Y","N")</f>
        <v>N</v>
      </c>
      <c r="X142" s="48">
        <f t="shared" ref="X142:X156" si="39">VALUE(LEFT(A142,3))-VALUE(LEFT(A141,3))</f>
        <v>1</v>
      </c>
      <c r="Y142" s="48">
        <f t="shared" ref="Y142:Y156" si="40">RIGHT(D142,LEN(D142)-4)/10000</f>
        <v>5.28E-2</v>
      </c>
      <c r="Z142" s="48">
        <f t="shared" ref="Z142:Z156" si="41">RIGHT(H142,LEN(H142)-4)/10000</f>
        <v>23.310700000000001</v>
      </c>
      <c r="AA142" s="48">
        <f t="shared" ref="AA142:AA156" si="42">ABS(Z142-Y142)</f>
        <v>23.257899999999999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x14ac:dyDescent="0.25">
      <c r="A143" s="43" t="s">
        <v>502</v>
      </c>
      <c r="B143" s="43">
        <v>4007</v>
      </c>
      <c r="C143" s="43" t="s">
        <v>60</v>
      </c>
      <c r="D143" s="43" t="s">
        <v>81</v>
      </c>
      <c r="E143" s="25">
        <v>42548.888090277775</v>
      </c>
      <c r="F143" s="25">
        <v>42548.889444444445</v>
      </c>
      <c r="G143" s="25">
        <v>1</v>
      </c>
      <c r="H143" s="25" t="s">
        <v>503</v>
      </c>
      <c r="I143" s="25">
        <v>42548.922662037039</v>
      </c>
      <c r="J143" s="43">
        <v>0</v>
      </c>
      <c r="K143" s="43" t="str">
        <f t="shared" si="34"/>
        <v>4007/4008</v>
      </c>
      <c r="L143" s="43" t="str">
        <f>VLOOKUP(A143,'Trips&amp;Operators'!$C$1:$E$10000,3,FALSE)</f>
        <v>CHANDLER</v>
      </c>
      <c r="M143" s="11">
        <f t="shared" si="32"/>
        <v>3.3217592594155576E-2</v>
      </c>
      <c r="N143" s="12">
        <f t="shared" si="33"/>
        <v>47.83333333558403</v>
      </c>
      <c r="O143" s="12"/>
      <c r="P143" s="12"/>
      <c r="Q143" s="44"/>
      <c r="R143" s="44"/>
      <c r="S143" s="70">
        <f t="shared" si="35"/>
        <v>1</v>
      </c>
      <c r="T143" s="2" t="str">
        <f t="shared" si="36"/>
        <v>NorthBound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21:17:51-0600',mode:absolute,to:'2016-06-27 22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3" s="48" t="str">
        <f t="shared" si="38"/>
        <v>N</v>
      </c>
      <c r="X143" s="48">
        <f t="shared" si="39"/>
        <v>2</v>
      </c>
      <c r="Y143" s="48">
        <f t="shared" si="40"/>
        <v>4.58E-2</v>
      </c>
      <c r="Z143" s="48">
        <f t="shared" si="41"/>
        <v>23.330200000000001</v>
      </c>
      <c r="AA143" s="48">
        <f t="shared" si="42"/>
        <v>23.284400000000002</v>
      </c>
      <c r="AB143" s="49" t="e">
        <f>VLOOKUP(A143,Enforcements!$C$7:$J$32,8,0)</f>
        <v>#N/A</v>
      </c>
      <c r="AC143" s="49" t="e">
        <f>VLOOKUP(A143,Enforcements!$C$7:$E$32,3,0)</f>
        <v>#N/A</v>
      </c>
    </row>
    <row r="144" spans="1:29" x14ac:dyDescent="0.25">
      <c r="A144" s="43" t="s">
        <v>504</v>
      </c>
      <c r="B144" s="43">
        <v>4008</v>
      </c>
      <c r="C144" s="43" t="s">
        <v>60</v>
      </c>
      <c r="D144" s="43" t="s">
        <v>351</v>
      </c>
      <c r="E144" s="25">
        <v>42548.932800925926</v>
      </c>
      <c r="F144" s="25">
        <v>42548.933703703704</v>
      </c>
      <c r="G144" s="25">
        <v>1</v>
      </c>
      <c r="H144" s="25" t="s">
        <v>101</v>
      </c>
      <c r="I144" s="25">
        <v>42548.96303240741</v>
      </c>
      <c r="J144" s="43">
        <v>0</v>
      </c>
      <c r="K144" s="43" t="str">
        <f t="shared" si="34"/>
        <v>4007/4008</v>
      </c>
      <c r="L144" s="43" t="str">
        <f>VLOOKUP(A144,'Trips&amp;Operators'!$C$1:$E$10000,3,FALSE)</f>
        <v>CHANDLER</v>
      </c>
      <c r="M144" s="11">
        <f t="shared" si="32"/>
        <v>2.9328703705687076E-2</v>
      </c>
      <c r="N144" s="12">
        <f t="shared" si="33"/>
        <v>42.233333336189389</v>
      </c>
      <c r="O144" s="12"/>
      <c r="P144" s="12"/>
      <c r="Q144" s="44"/>
      <c r="R144" s="44"/>
      <c r="S144" s="70">
        <f t="shared" si="35"/>
        <v>1</v>
      </c>
      <c r="T144" s="2" t="str">
        <f t="shared" si="36"/>
        <v>Southbound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22:22:14-0600',mode:absolute,to:'2016-06-27 23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4" s="48" t="str">
        <f t="shared" si="38"/>
        <v>N</v>
      </c>
      <c r="X144" s="48">
        <f t="shared" si="39"/>
        <v>1</v>
      </c>
      <c r="Y144" s="48">
        <f t="shared" si="40"/>
        <v>23.297899999999998</v>
      </c>
      <c r="Z144" s="48">
        <f t="shared" si="41"/>
        <v>1.7000000000000001E-2</v>
      </c>
      <c r="AA144" s="48">
        <f t="shared" si="42"/>
        <v>23.280899999999999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x14ac:dyDescent="0.25">
      <c r="A145" s="43" t="s">
        <v>334</v>
      </c>
      <c r="B145" s="43">
        <v>4040</v>
      </c>
      <c r="C145" s="43" t="s">
        <v>60</v>
      </c>
      <c r="D145" s="43" t="s">
        <v>199</v>
      </c>
      <c r="E145" s="25">
        <v>42548.912395833337</v>
      </c>
      <c r="F145" s="25">
        <v>42548.91333333333</v>
      </c>
      <c r="G145" s="25">
        <v>1</v>
      </c>
      <c r="H145" s="25" t="s">
        <v>194</v>
      </c>
      <c r="I145" s="25">
        <v>42548.942766203705</v>
      </c>
      <c r="J145" s="43">
        <v>1</v>
      </c>
      <c r="K145" s="43" t="str">
        <f t="shared" si="34"/>
        <v>4039/4040</v>
      </c>
      <c r="L145" s="43" t="str">
        <f>VLOOKUP(A145,'Trips&amp;Operators'!$C$1:$E$10000,3,FALSE)</f>
        <v>BRUDER</v>
      </c>
      <c r="M145" s="11">
        <f t="shared" si="32"/>
        <v>2.9432870374876074E-2</v>
      </c>
      <c r="N145" s="12">
        <f t="shared" si="33"/>
        <v>42.383333339821547</v>
      </c>
      <c r="O145" s="12"/>
      <c r="P145" s="12"/>
      <c r="Q145" s="44"/>
      <c r="R145" s="44"/>
      <c r="S145" s="70">
        <f t="shared" si="35"/>
        <v>1</v>
      </c>
      <c r="T145" s="2" t="str">
        <f t="shared" si="36"/>
        <v>NorthBound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21:52:51-0600',mode:absolute,to:'2016-06-27 22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5" s="48" t="str">
        <f t="shared" si="38"/>
        <v>N</v>
      </c>
      <c r="X145" s="48">
        <f t="shared" si="39"/>
        <v>1</v>
      </c>
      <c r="Y145" s="48">
        <f t="shared" si="40"/>
        <v>4.9099999999999998E-2</v>
      </c>
      <c r="Z145" s="48">
        <f t="shared" si="41"/>
        <v>23.3249</v>
      </c>
      <c r="AA145" s="48">
        <f t="shared" si="42"/>
        <v>23.2758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x14ac:dyDescent="0.25">
      <c r="A146" s="43" t="s">
        <v>505</v>
      </c>
      <c r="B146" s="43">
        <v>4039</v>
      </c>
      <c r="C146" s="43" t="s">
        <v>60</v>
      </c>
      <c r="D146" s="43" t="s">
        <v>487</v>
      </c>
      <c r="E146" s="25">
        <v>42548.951053240744</v>
      </c>
      <c r="F146" s="25">
        <v>42548.952060185184</v>
      </c>
      <c r="G146" s="25">
        <v>1</v>
      </c>
      <c r="H146" s="25" t="s">
        <v>506</v>
      </c>
      <c r="I146" s="25">
        <v>42548.983472222222</v>
      </c>
      <c r="J146" s="43">
        <v>0</v>
      </c>
      <c r="K146" s="43" t="str">
        <f t="shared" si="34"/>
        <v>4039/4040</v>
      </c>
      <c r="L146" s="43" t="str">
        <f>VLOOKUP(A146,'Trips&amp;Operators'!$C$1:$E$10000,3,FALSE)</f>
        <v>BRUDER</v>
      </c>
      <c r="M146" s="11">
        <f t="shared" si="32"/>
        <v>3.1412037038535345E-2</v>
      </c>
      <c r="N146" s="12">
        <f t="shared" si="33"/>
        <v>45.233333335490897</v>
      </c>
      <c r="O146" s="12"/>
      <c r="P146" s="12"/>
      <c r="Q146" s="44"/>
      <c r="R146" s="44"/>
      <c r="S146" s="70">
        <f t="shared" si="35"/>
        <v>1</v>
      </c>
      <c r="T146" s="2" t="str">
        <f t="shared" si="36"/>
        <v>Southbound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22:48:31-0600',mode:absolute,to:'2016-06-27 23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6" s="48" t="str">
        <f t="shared" si="38"/>
        <v>N</v>
      </c>
      <c r="X146" s="48">
        <f t="shared" si="39"/>
        <v>1</v>
      </c>
      <c r="Y146" s="48">
        <f t="shared" si="40"/>
        <v>23.2925</v>
      </c>
      <c r="Z146" s="48">
        <f t="shared" si="41"/>
        <v>2.0500000000000001E-2</v>
      </c>
      <c r="AA146" s="48">
        <f t="shared" si="42"/>
        <v>23.272000000000002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x14ac:dyDescent="0.25">
      <c r="A147" s="43" t="s">
        <v>507</v>
      </c>
      <c r="B147" s="43">
        <v>4031</v>
      </c>
      <c r="C147" s="43" t="s">
        <v>60</v>
      </c>
      <c r="D147" s="43" t="s">
        <v>435</v>
      </c>
      <c r="E147" s="25">
        <v>42548.933437500003</v>
      </c>
      <c r="F147" s="25">
        <v>42548.934861111113</v>
      </c>
      <c r="G147" s="25">
        <v>2</v>
      </c>
      <c r="H147" s="25" t="s">
        <v>162</v>
      </c>
      <c r="I147" s="25">
        <v>42548.965462962966</v>
      </c>
      <c r="J147" s="43">
        <v>0</v>
      </c>
      <c r="K147" s="43" t="str">
        <f t="shared" si="34"/>
        <v>4031/4032</v>
      </c>
      <c r="L147" s="43" t="str">
        <f>VLOOKUP(A147,'Trips&amp;Operators'!$C$1:$E$10000,3,FALSE)</f>
        <v>BARTLETT</v>
      </c>
      <c r="M147" s="11">
        <f t="shared" si="32"/>
        <v>3.0601851853134576E-2</v>
      </c>
      <c r="N147" s="12">
        <f t="shared" si="33"/>
        <v>44.06666666851379</v>
      </c>
      <c r="O147" s="12"/>
      <c r="P147" s="12"/>
      <c r="Q147" s="44"/>
      <c r="R147" s="44"/>
      <c r="S147" s="70">
        <f t="shared" si="35"/>
        <v>1</v>
      </c>
      <c r="T147" s="2" t="str">
        <f t="shared" si="36"/>
        <v>NorthBound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22:23:09-0600',mode:absolute,to:'2016-06-27 23:11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7" s="48" t="str">
        <f t="shared" si="38"/>
        <v>N</v>
      </c>
      <c r="X147" s="48">
        <f t="shared" si="39"/>
        <v>1</v>
      </c>
      <c r="Y147" s="48">
        <f t="shared" si="40"/>
        <v>4.8599999999999997E-2</v>
      </c>
      <c r="Z147" s="48">
        <f t="shared" si="41"/>
        <v>23.3276</v>
      </c>
      <c r="AA147" s="48">
        <f t="shared" si="42"/>
        <v>23.279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x14ac:dyDescent="0.25">
      <c r="A148" s="43" t="s">
        <v>508</v>
      </c>
      <c r="B148" s="43">
        <v>4032</v>
      </c>
      <c r="C148" s="43" t="s">
        <v>60</v>
      </c>
      <c r="D148" s="43" t="s">
        <v>416</v>
      </c>
      <c r="E148" s="25">
        <v>42548.974108796298</v>
      </c>
      <c r="F148" s="25">
        <v>42548.975219907406</v>
      </c>
      <c r="G148" s="25">
        <v>1</v>
      </c>
      <c r="H148" s="25" t="s">
        <v>509</v>
      </c>
      <c r="I148" s="25">
        <v>42549.008310185185</v>
      </c>
      <c r="J148" s="43">
        <v>0</v>
      </c>
      <c r="K148" s="43" t="str">
        <f t="shared" si="34"/>
        <v>4031/4032</v>
      </c>
      <c r="L148" s="43" t="str">
        <f>VLOOKUP(A148,'Trips&amp;Operators'!$C$1:$E$10000,3,FALSE)</f>
        <v>BARTLETT</v>
      </c>
      <c r="M148" s="11">
        <f t="shared" si="32"/>
        <v>3.309027777868323E-2</v>
      </c>
      <c r="N148" s="12">
        <f t="shared" si="33"/>
        <v>47.650000001303852</v>
      </c>
      <c r="O148" s="12"/>
      <c r="P148" s="12"/>
      <c r="Q148" s="44"/>
      <c r="R148" s="44"/>
      <c r="S148" s="70">
        <f t="shared" si="35"/>
        <v>1</v>
      </c>
      <c r="T148" s="2" t="str">
        <f t="shared" si="36"/>
        <v>Southbound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23:21:43-0600',mode:absolute,to:'2016-06-28 00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8" s="48" t="str">
        <f t="shared" si="38"/>
        <v>N</v>
      </c>
      <c r="X148" s="48">
        <f t="shared" si="39"/>
        <v>1</v>
      </c>
      <c r="Y148" s="48">
        <f t="shared" si="40"/>
        <v>23.297999999999998</v>
      </c>
      <c r="Z148" s="48">
        <f t="shared" si="41"/>
        <v>0.2301</v>
      </c>
      <c r="AA148" s="48">
        <f t="shared" si="42"/>
        <v>23.067899999999998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x14ac:dyDescent="0.25">
      <c r="A149" s="43" t="s">
        <v>335</v>
      </c>
      <c r="B149" s="43">
        <v>4038</v>
      </c>
      <c r="C149" s="43" t="s">
        <v>60</v>
      </c>
      <c r="D149" s="43" t="s">
        <v>129</v>
      </c>
      <c r="E149" s="25">
        <v>42548.948831018519</v>
      </c>
      <c r="F149" s="25">
        <v>42548.950069444443</v>
      </c>
      <c r="G149" s="25">
        <v>1</v>
      </c>
      <c r="H149" s="25" t="s">
        <v>95</v>
      </c>
      <c r="I149" s="25">
        <v>42548.986967592595</v>
      </c>
      <c r="J149" s="43">
        <v>1</v>
      </c>
      <c r="K149" s="43" t="str">
        <f t="shared" si="34"/>
        <v>4037/4038</v>
      </c>
      <c r="L149" s="43" t="str">
        <f>VLOOKUP(A149,'Trips&amp;Operators'!$C$1:$E$10000,3,FALSE)</f>
        <v>YOUNG</v>
      </c>
      <c r="M149" s="11">
        <f t="shared" si="32"/>
        <v>3.6898148151522037E-2</v>
      </c>
      <c r="N149" s="12">
        <f t="shared" si="33"/>
        <v>53.133333338191733</v>
      </c>
      <c r="O149" s="12"/>
      <c r="P149" s="12"/>
      <c r="Q149" s="44"/>
      <c r="R149" s="44"/>
      <c r="S149" s="70">
        <f t="shared" si="35"/>
        <v>1</v>
      </c>
      <c r="T149" s="2" t="str">
        <f t="shared" si="36"/>
        <v>NorthBound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22:45:19-0600',mode:absolute,to:'2016-06-27 23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9" s="48" t="str">
        <f t="shared" si="38"/>
        <v>N</v>
      </c>
      <c r="X149" s="48">
        <f t="shared" si="39"/>
        <v>1</v>
      </c>
      <c r="Y149" s="48">
        <f t="shared" si="40"/>
        <v>4.7300000000000002E-2</v>
      </c>
      <c r="Z149" s="48">
        <f t="shared" si="41"/>
        <v>23.329499999999999</v>
      </c>
      <c r="AA149" s="48">
        <f t="shared" si="42"/>
        <v>23.2822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x14ac:dyDescent="0.25">
      <c r="A150" s="43" t="s">
        <v>510</v>
      </c>
      <c r="B150" s="43">
        <v>4037</v>
      </c>
      <c r="C150" s="43" t="s">
        <v>60</v>
      </c>
      <c r="D150" s="43" t="s">
        <v>163</v>
      </c>
      <c r="E150" s="25">
        <v>42548.992418981485</v>
      </c>
      <c r="F150" s="25">
        <v>42548.993460648147</v>
      </c>
      <c r="G150" s="25">
        <v>1</v>
      </c>
      <c r="H150" s="25" t="s">
        <v>490</v>
      </c>
      <c r="I150" s="25">
        <v>42549.026469907411</v>
      </c>
      <c r="J150" s="43">
        <v>0</v>
      </c>
      <c r="K150" s="43" t="str">
        <f t="shared" si="34"/>
        <v>4037/4038</v>
      </c>
      <c r="L150" s="43" t="str">
        <f>VLOOKUP(A150,'Trips&amp;Operators'!$C$1:$E$10000,3,FALSE)</f>
        <v>YOUNG</v>
      </c>
      <c r="M150" s="11">
        <f t="shared" si="32"/>
        <v>3.3009259263053536E-2</v>
      </c>
      <c r="N150" s="12">
        <f t="shared" si="33"/>
        <v>47.533333338797092</v>
      </c>
      <c r="O150" s="12"/>
      <c r="P150" s="12"/>
      <c r="Q150" s="44"/>
      <c r="R150" s="44"/>
      <c r="S150" s="70">
        <f t="shared" si="35"/>
        <v>1</v>
      </c>
      <c r="T150" s="2" t="str">
        <f t="shared" si="36"/>
        <v>Southbound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23:48:05-0600',mode:absolute,to:'2016-06-28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0" s="48" t="str">
        <f t="shared" si="38"/>
        <v>N</v>
      </c>
      <c r="X150" s="48">
        <f t="shared" si="39"/>
        <v>1</v>
      </c>
      <c r="Y150" s="48">
        <f t="shared" si="40"/>
        <v>23.299399999999999</v>
      </c>
      <c r="Z150" s="48">
        <f t="shared" si="41"/>
        <v>3.6700000000000003E-2</v>
      </c>
      <c r="AA150" s="48">
        <f t="shared" si="42"/>
        <v>23.262699999999999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x14ac:dyDescent="0.25">
      <c r="A151" s="43" t="s">
        <v>336</v>
      </c>
      <c r="B151" s="43">
        <v>4007</v>
      </c>
      <c r="C151" s="43" t="s">
        <v>60</v>
      </c>
      <c r="D151" s="43" t="s">
        <v>137</v>
      </c>
      <c r="E151" s="25">
        <v>42548.972743055558</v>
      </c>
      <c r="F151" s="25">
        <v>42548.974004629628</v>
      </c>
      <c r="G151" s="25">
        <v>1</v>
      </c>
      <c r="H151" s="25" t="s">
        <v>172</v>
      </c>
      <c r="I151" s="25">
        <v>42549.005289351851</v>
      </c>
      <c r="J151" s="43">
        <v>0</v>
      </c>
      <c r="K151" s="43" t="str">
        <f t="shared" si="34"/>
        <v>4007/4008</v>
      </c>
      <c r="L151" s="43" t="str">
        <f>VLOOKUP(A151,'Trips&amp;Operators'!$C$1:$E$10000,3,FALSE)</f>
        <v>CHANDLER</v>
      </c>
      <c r="M151" s="11">
        <f t="shared" si="32"/>
        <v>3.1284722223063E-2</v>
      </c>
      <c r="N151" s="12">
        <f t="shared" si="33"/>
        <v>45.050000001210719</v>
      </c>
      <c r="O151" s="12"/>
      <c r="P151" s="12"/>
      <c r="Q151" s="44"/>
      <c r="R151" s="44"/>
      <c r="S151" s="70">
        <f t="shared" si="35"/>
        <v>1</v>
      </c>
      <c r="T151" s="2" t="str">
        <f t="shared" si="36"/>
        <v>NorthBound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23:19:45-0600',mode:absolute,to:'2016-06-28 00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1" s="48" t="str">
        <f t="shared" si="38"/>
        <v>N</v>
      </c>
      <c r="X151" s="48">
        <f t="shared" si="39"/>
        <v>1</v>
      </c>
      <c r="Y151" s="48">
        <f t="shared" si="40"/>
        <v>4.7100000000000003E-2</v>
      </c>
      <c r="Z151" s="48">
        <f t="shared" si="41"/>
        <v>23.330500000000001</v>
      </c>
      <c r="AA151" s="48">
        <f t="shared" si="42"/>
        <v>23.2834</v>
      </c>
      <c r="AB151" s="49" t="e">
        <f>VLOOKUP(A151,Enforcements!$C$7:$J$32,8,0)</f>
        <v>#N/A</v>
      </c>
      <c r="AC151" s="49" t="e">
        <f>VLOOKUP(A151,Enforcements!$C$7:$E$32,3,0)</f>
        <v>#N/A</v>
      </c>
    </row>
    <row r="152" spans="1:29" x14ac:dyDescent="0.25">
      <c r="A152" s="43" t="s">
        <v>338</v>
      </c>
      <c r="B152" s="43">
        <v>4008</v>
      </c>
      <c r="C152" s="43" t="s">
        <v>60</v>
      </c>
      <c r="D152" s="43" t="s">
        <v>156</v>
      </c>
      <c r="E152" s="25">
        <v>42549.016041666669</v>
      </c>
      <c r="F152" s="25">
        <v>42549.016944444447</v>
      </c>
      <c r="G152" s="25">
        <v>1</v>
      </c>
      <c r="H152" s="25" t="s">
        <v>511</v>
      </c>
      <c r="I152" s="25">
        <v>42549.046747685185</v>
      </c>
      <c r="J152" s="43">
        <v>1</v>
      </c>
      <c r="K152" s="43" t="str">
        <f t="shared" si="34"/>
        <v>4007/4008</v>
      </c>
      <c r="L152" s="43" t="str">
        <f>VLOOKUP(A152,'Trips&amp;Operators'!$C$1:$E$10000,3,FALSE)</f>
        <v>CHANDLER</v>
      </c>
      <c r="M152" s="11">
        <f t="shared" si="32"/>
        <v>2.9803240737237502E-2</v>
      </c>
      <c r="N152" s="12">
        <f t="shared" si="33"/>
        <v>42.916666661622003</v>
      </c>
      <c r="O152" s="12"/>
      <c r="P152" s="12"/>
      <c r="Q152" s="44"/>
      <c r="R152" s="44"/>
      <c r="S152" s="70">
        <f t="shared" si="35"/>
        <v>1</v>
      </c>
      <c r="T152" s="2" t="str">
        <f t="shared" si="36"/>
        <v>Southbound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00:22:06-0600',mode:absolute,to:'2016-06-28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2" s="48" t="str">
        <f t="shared" si="38"/>
        <v>N</v>
      </c>
      <c r="X152" s="48">
        <f t="shared" si="39"/>
        <v>1</v>
      </c>
      <c r="Y152" s="48">
        <f t="shared" si="40"/>
        <v>23.2973</v>
      </c>
      <c r="Z152" s="48">
        <f t="shared" si="41"/>
        <v>3.3799999999999997E-2</v>
      </c>
      <c r="AA152" s="48">
        <f t="shared" si="42"/>
        <v>23.263500000000001</v>
      </c>
      <c r="AB152" s="49" t="e">
        <f>VLOOKUP(A152,Enforcements!$C$7:$J$32,8,0)</f>
        <v>#N/A</v>
      </c>
      <c r="AC152" s="49" t="e">
        <f>VLOOKUP(A152,Enforcements!$C$7:$E$32,3,0)</f>
        <v>#N/A</v>
      </c>
    </row>
    <row r="153" spans="1:29" x14ac:dyDescent="0.25">
      <c r="A153" s="43" t="s">
        <v>337</v>
      </c>
      <c r="B153" s="43">
        <v>4040</v>
      </c>
      <c r="C153" s="43" t="s">
        <v>60</v>
      </c>
      <c r="D153" s="43" t="s">
        <v>458</v>
      </c>
      <c r="E153" s="25">
        <v>42548.995775462965</v>
      </c>
      <c r="F153" s="25">
        <v>42548.996782407405</v>
      </c>
      <c r="G153" s="25">
        <v>1</v>
      </c>
      <c r="H153" s="25" t="s">
        <v>201</v>
      </c>
      <c r="I153" s="25">
        <v>42549.02484953704</v>
      </c>
      <c r="J153" s="43">
        <v>1</v>
      </c>
      <c r="K153" s="43" t="str">
        <f t="shared" si="34"/>
        <v>4039/4040</v>
      </c>
      <c r="L153" s="43" t="str">
        <f>VLOOKUP(A153,'Trips&amp;Operators'!$C$1:$E$10000,3,FALSE)</f>
        <v>BRUDER</v>
      </c>
      <c r="M153" s="11">
        <f t="shared" si="32"/>
        <v>2.8067129635019228E-2</v>
      </c>
      <c r="N153" s="12">
        <f t="shared" si="33"/>
        <v>40.416666674427688</v>
      </c>
      <c r="O153" s="12"/>
      <c r="P153" s="12"/>
      <c r="Q153" s="44"/>
      <c r="R153" s="44"/>
      <c r="S153" s="70">
        <f t="shared" si="35"/>
        <v>1</v>
      </c>
      <c r="T153" s="2" t="str">
        <f t="shared" si="36"/>
        <v>NorthBound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https://search-rtdc-monitor-bjffxe2xuh6vdkpspy63sjmuny.us-east-1.es.amazonaws.com/_plugin/kibana/#/discover/Steve-Slow-Train-Analysis-(2080s-and-2083s)?_g=(refreshInterval:(display:Off,section:0,value:0),time:(from:'2016-06-27 23:52:55-0600',mode:absolute,to:'2016-06-28 00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3" s="48" t="str">
        <f t="shared" si="38"/>
        <v>N</v>
      </c>
      <c r="X153" s="48">
        <f t="shared" si="39"/>
        <v>1</v>
      </c>
      <c r="Y153" s="48">
        <f t="shared" si="40"/>
        <v>5.1299999999999998E-2</v>
      </c>
      <c r="Z153" s="48">
        <f t="shared" si="41"/>
        <v>23.325500000000002</v>
      </c>
      <c r="AA153" s="48">
        <f t="shared" si="42"/>
        <v>23.2742</v>
      </c>
      <c r="AB153" s="49" t="e">
        <f>VLOOKUP(A153,Enforcements!$C$7:$J$32,8,0)</f>
        <v>#N/A</v>
      </c>
      <c r="AC153" s="49" t="e">
        <f>VLOOKUP(A153,Enforcements!$C$7:$E$32,3,0)</f>
        <v>#N/A</v>
      </c>
    </row>
    <row r="154" spans="1:29" x14ac:dyDescent="0.25">
      <c r="A154" s="43" t="s">
        <v>512</v>
      </c>
      <c r="B154" s="43">
        <v>4039</v>
      </c>
      <c r="C154" s="43" t="s">
        <v>60</v>
      </c>
      <c r="D154" s="43" t="s">
        <v>513</v>
      </c>
      <c r="E154" s="25">
        <v>42549.034618055557</v>
      </c>
      <c r="F154" s="25">
        <v>42549.035474537035</v>
      </c>
      <c r="G154" s="25">
        <v>1</v>
      </c>
      <c r="H154" s="25" t="s">
        <v>514</v>
      </c>
      <c r="I154" s="25">
        <v>42549.064583333333</v>
      </c>
      <c r="J154" s="43">
        <v>0</v>
      </c>
      <c r="K154" s="43" t="str">
        <f t="shared" si="34"/>
        <v>4039/4040</v>
      </c>
      <c r="L154" s="43" t="str">
        <f>VLOOKUP(A154,'Trips&amp;Operators'!$C$1:$E$10000,3,FALSE)</f>
        <v>BRUDER</v>
      </c>
      <c r="M154" s="11">
        <f t="shared" si="32"/>
        <v>2.9108796297805384E-2</v>
      </c>
      <c r="N154" s="12">
        <f t="shared" si="33"/>
        <v>41.916666668839753</v>
      </c>
      <c r="O154" s="12"/>
      <c r="P154" s="12"/>
      <c r="Q154" s="44"/>
      <c r="R154" s="44"/>
      <c r="S154" s="70">
        <f t="shared" si="35"/>
        <v>1</v>
      </c>
      <c r="T154" s="2" t="str">
        <f t="shared" si="36"/>
        <v>Southbound</v>
      </c>
      <c r="U154" s="2">
        <f>COUNTIFS(Variables!$M$2:$M$19,IF(T154="NorthBound","&gt;=","&lt;=")&amp;Y154,Variables!$M$2:$M$19,IF(T154="NorthBound","&lt;=","&gt;=")&amp;Z154)</f>
        <v>12</v>
      </c>
      <c r="V154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00:48:51-0600',mode:absolute,to:'2016-06-28 01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4" s="48" t="str">
        <f t="shared" si="38"/>
        <v>N</v>
      </c>
      <c r="X154" s="48">
        <f t="shared" si="39"/>
        <v>1</v>
      </c>
      <c r="Y154" s="48">
        <f t="shared" si="40"/>
        <v>23.292999999999999</v>
      </c>
      <c r="Z154" s="48">
        <f t="shared" si="41"/>
        <v>2.18E-2</v>
      </c>
      <c r="AA154" s="48">
        <f t="shared" si="42"/>
        <v>23.2712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x14ac:dyDescent="0.25">
      <c r="A155" s="43" t="s">
        <v>515</v>
      </c>
      <c r="B155" s="43">
        <v>4031</v>
      </c>
      <c r="C155" s="43" t="s">
        <v>60</v>
      </c>
      <c r="D155" s="43" t="s">
        <v>160</v>
      </c>
      <c r="E155" s="25">
        <v>42549.02412037037</v>
      </c>
      <c r="F155" s="25">
        <v>42549.016076388885</v>
      </c>
      <c r="G155" s="25">
        <v>1</v>
      </c>
      <c r="H155" s="25" t="s">
        <v>516</v>
      </c>
      <c r="I155" s="25">
        <v>42549.053842592592</v>
      </c>
      <c r="J155" s="43">
        <v>0</v>
      </c>
      <c r="K155" s="43" t="str">
        <f t="shared" si="34"/>
        <v>4031/4032</v>
      </c>
      <c r="L155" s="43" t="str">
        <f>VLOOKUP(A155,'Trips&amp;Operators'!$C$1:$E$10000,3,FALSE)</f>
        <v>BARTLETT</v>
      </c>
      <c r="M155" s="11">
        <f t="shared" si="32"/>
        <v>3.7766203706269152E-2</v>
      </c>
      <c r="N155" s="12">
        <f t="shared" si="33"/>
        <v>54.38333333702758</v>
      </c>
      <c r="O155" s="12"/>
      <c r="P155" s="12"/>
      <c r="Q155" s="44"/>
      <c r="R155" s="44" t="s">
        <v>563</v>
      </c>
      <c r="S155" s="70">
        <f t="shared" si="35"/>
        <v>1</v>
      </c>
      <c r="T155" s="2" t="str">
        <f t="shared" si="36"/>
        <v>NorthBound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00:33:44-0600',mode:absolute,to:'2016-06-28 01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5" s="48" t="str">
        <f t="shared" si="38"/>
        <v>N</v>
      </c>
      <c r="X155" s="48">
        <f t="shared" si="39"/>
        <v>1</v>
      </c>
      <c r="Y155" s="48">
        <f t="shared" si="40"/>
        <v>4.7800000000000002E-2</v>
      </c>
      <c r="Z155" s="48">
        <f t="shared" si="41"/>
        <v>23.323799999999999</v>
      </c>
      <c r="AA155" s="48">
        <f t="shared" si="42"/>
        <v>23.276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x14ac:dyDescent="0.25">
      <c r="A156" s="81" t="s">
        <v>517</v>
      </c>
      <c r="B156" s="88">
        <v>4032</v>
      </c>
      <c r="C156" s="66" t="s">
        <v>60</v>
      </c>
      <c r="D156" s="66" t="s">
        <v>518</v>
      </c>
      <c r="E156" s="78">
        <v>42549.059155092589</v>
      </c>
      <c r="F156" s="78">
        <v>42549.060231481482</v>
      </c>
      <c r="G156" s="82">
        <v>1</v>
      </c>
      <c r="H156" s="78" t="s">
        <v>519</v>
      </c>
      <c r="I156" s="78">
        <v>42549.083587962959</v>
      </c>
      <c r="J156" s="66">
        <v>1</v>
      </c>
      <c r="K156" s="43" t="str">
        <f t="shared" si="34"/>
        <v>4031/4032</v>
      </c>
      <c r="L156" s="43" t="str">
        <f>VLOOKUP(A156,'Trips&amp;Operators'!$C$1:$E$10000,3,FALSE)</f>
        <v>BARTLETT</v>
      </c>
      <c r="M156" s="11">
        <f t="shared" ref="M156" si="43">I156-F156</f>
        <v>2.3356481477094349E-2</v>
      </c>
      <c r="N156" s="12">
        <f t="shared" si="33"/>
        <v>33.633333327015862</v>
      </c>
      <c r="O156" s="12"/>
      <c r="P156" s="12"/>
      <c r="Q156" s="44"/>
      <c r="R156" s="44"/>
      <c r="S156" s="70">
        <f t="shared" si="35"/>
        <v>1</v>
      </c>
      <c r="T156" s="2" t="str">
        <f t="shared" si="36"/>
        <v>Southbound</v>
      </c>
      <c r="U156" s="2">
        <f>COUNTIFS(Variables!$M$2:$M$19,IF(T156="NorthBound","&gt;=","&lt;=")&amp;Y156,Variables!$M$2:$M$19,IF(T156="NorthBound","&lt;=","&gt;=")&amp;Z156)</f>
        <v>12</v>
      </c>
      <c r="V156" s="48" t="str">
        <f t="shared" si="37"/>
        <v>https://search-rtdc-monitor-bjffxe2xuh6vdkpspy63sjmuny.us-east-1.es.amazonaws.com/_plugin/kibana/#/discover/Steve-Slow-Train-Analysis-(2080s-and-2083s)?_g=(refreshInterval:(display:Off,section:0,value:0),time:(from:'2016-06-28 01:24:11-0600',mode:absolute,to:'2016-06-28 02:01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6" s="48" t="str">
        <f t="shared" si="38"/>
        <v>Y</v>
      </c>
      <c r="X156" s="48">
        <f t="shared" si="39"/>
        <v>1</v>
      </c>
      <c r="Y156" s="48">
        <f t="shared" si="40"/>
        <v>23.291699999999999</v>
      </c>
      <c r="Z156" s="48">
        <f t="shared" si="41"/>
        <v>1.8792</v>
      </c>
      <c r="AA156" s="48">
        <f t="shared" si="42"/>
        <v>21.412499999999998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x14ac:dyDescent="0.25">
      <c r="B157" s="42"/>
      <c r="C157" s="42"/>
      <c r="D157" s="42"/>
      <c r="J157" s="42"/>
    </row>
    <row r="158" spans="1:29" x14ac:dyDescent="0.25">
      <c r="B158" s="42"/>
      <c r="C158" s="42"/>
      <c r="D158" s="42"/>
      <c r="J158" s="42"/>
    </row>
    <row r="159" spans="1:29" x14ac:dyDescent="0.25">
      <c r="B159" s="42"/>
      <c r="C159" s="42"/>
      <c r="D159" s="42"/>
      <c r="J159" s="42"/>
    </row>
    <row r="160" spans="1:29" x14ac:dyDescent="0.25">
      <c r="B160" s="42"/>
      <c r="C160" s="42"/>
      <c r="D160" s="42"/>
      <c r="J160" s="42"/>
    </row>
    <row r="161" spans="2:10" x14ac:dyDescent="0.25">
      <c r="B161" s="42"/>
      <c r="C161" s="42"/>
      <c r="D161" s="42"/>
      <c r="J161" s="42"/>
    </row>
    <row r="162" spans="2:10" x14ac:dyDescent="0.25">
      <c r="B162" s="42"/>
      <c r="C162" s="42"/>
      <c r="D162" s="42"/>
      <c r="J162" s="42"/>
    </row>
    <row r="163" spans="2:10" x14ac:dyDescent="0.25">
      <c r="B163" s="42"/>
      <c r="C163" s="42"/>
      <c r="D163" s="42"/>
      <c r="J163" s="42"/>
    </row>
    <row r="164" spans="2:10" x14ac:dyDescent="0.25">
      <c r="B164" s="42"/>
      <c r="C164" s="42"/>
      <c r="D164" s="42"/>
      <c r="J164" s="42"/>
    </row>
    <row r="165" spans="2:10" x14ac:dyDescent="0.25">
      <c r="B165" s="42"/>
      <c r="C165" s="42"/>
      <c r="D165" s="42"/>
      <c r="J165" s="42"/>
    </row>
    <row r="166" spans="2:10" x14ac:dyDescent="0.25">
      <c r="B166" s="42"/>
      <c r="C166" s="42"/>
      <c r="D166" s="42"/>
      <c r="J166" s="42"/>
    </row>
    <row r="167" spans="2:10" x14ac:dyDescent="0.25">
      <c r="B167" s="42"/>
      <c r="C167" s="42"/>
      <c r="D167" s="42"/>
      <c r="J167" s="42"/>
    </row>
    <row r="168" spans="2:10" x14ac:dyDescent="0.25">
      <c r="B168" s="42"/>
      <c r="C168" s="42"/>
      <c r="D168" s="42"/>
      <c r="J168" s="42"/>
    </row>
    <row r="169" spans="2:10" x14ac:dyDescent="0.25">
      <c r="B169" s="42"/>
      <c r="C169" s="42"/>
      <c r="D169" s="42"/>
      <c r="J169" s="42"/>
    </row>
    <row r="170" spans="2:10" x14ac:dyDescent="0.25">
      <c r="B170" s="42"/>
      <c r="C170" s="42"/>
      <c r="D170" s="42"/>
      <c r="J170" s="42"/>
    </row>
    <row r="171" spans="2:10" x14ac:dyDescent="0.25">
      <c r="B171" s="42"/>
      <c r="C171" s="42"/>
      <c r="D171" s="42"/>
      <c r="J171" s="42"/>
    </row>
    <row r="172" spans="2:10" x14ac:dyDescent="0.25">
      <c r="B172" s="42"/>
      <c r="C172" s="42"/>
      <c r="D172" s="42"/>
      <c r="J172" s="42"/>
    </row>
    <row r="173" spans="2:10" x14ac:dyDescent="0.25">
      <c r="B173" s="42"/>
      <c r="C173" s="42"/>
      <c r="D173" s="42"/>
      <c r="J173" s="42"/>
    </row>
    <row r="174" spans="2:10" x14ac:dyDescent="0.25">
      <c r="B174" s="42"/>
      <c r="C174" s="42"/>
      <c r="D174" s="42"/>
      <c r="J174" s="42"/>
    </row>
    <row r="175" spans="2:10" x14ac:dyDescent="0.25">
      <c r="B175" s="42"/>
      <c r="C175" s="42"/>
      <c r="D175" s="42"/>
      <c r="J175" s="42"/>
    </row>
    <row r="176" spans="2:10" x14ac:dyDescent="0.25">
      <c r="B176" s="42"/>
      <c r="C176" s="42"/>
      <c r="D176" s="42"/>
      <c r="J176" s="42"/>
    </row>
    <row r="177" spans="2:10" x14ac:dyDescent="0.25">
      <c r="B177" s="42"/>
      <c r="C177" s="42"/>
      <c r="D177" s="42"/>
      <c r="J177" s="42"/>
    </row>
    <row r="178" spans="2:10" x14ac:dyDescent="0.25">
      <c r="B178" s="42"/>
      <c r="C178" s="42"/>
      <c r="D178" s="42"/>
      <c r="J178" s="42"/>
    </row>
    <row r="179" spans="2:10" x14ac:dyDescent="0.25">
      <c r="B179" s="42"/>
      <c r="C179" s="42"/>
      <c r="D179" s="42"/>
      <c r="J179" s="42"/>
    </row>
    <row r="180" spans="2:10" x14ac:dyDescent="0.25">
      <c r="B180" s="42"/>
      <c r="C180" s="42"/>
      <c r="D180" s="42"/>
      <c r="J180" s="42"/>
    </row>
    <row r="181" spans="2:10" x14ac:dyDescent="0.25">
      <c r="B181" s="42"/>
      <c r="C181" s="42"/>
      <c r="D181" s="42"/>
      <c r="J181" s="42"/>
    </row>
    <row r="182" spans="2:10" x14ac:dyDescent="0.25">
      <c r="B182" s="42"/>
      <c r="C182" s="42"/>
      <c r="D182" s="42"/>
      <c r="J182" s="42"/>
    </row>
    <row r="183" spans="2:10" x14ac:dyDescent="0.25">
      <c r="B183" s="42"/>
      <c r="C183" s="42"/>
      <c r="D183" s="42"/>
      <c r="J183" s="42"/>
    </row>
    <row r="184" spans="2:10" x14ac:dyDescent="0.25">
      <c r="B184" s="42"/>
      <c r="C184" s="42"/>
      <c r="D184" s="42"/>
      <c r="J184" s="42"/>
    </row>
    <row r="185" spans="2:10" x14ac:dyDescent="0.25">
      <c r="B185" s="42"/>
      <c r="C185" s="42"/>
      <c r="D185" s="42"/>
      <c r="J185" s="42"/>
    </row>
    <row r="186" spans="2:10" x14ac:dyDescent="0.25">
      <c r="B186" s="42"/>
      <c r="C186" s="42"/>
      <c r="D186" s="42"/>
      <c r="J186" s="42"/>
    </row>
    <row r="187" spans="2:10" x14ac:dyDescent="0.25">
      <c r="B187" s="42"/>
      <c r="C187" s="42"/>
      <c r="D187" s="42"/>
      <c r="J187" s="42"/>
    </row>
    <row r="188" spans="2:10" x14ac:dyDescent="0.25">
      <c r="B188" s="42"/>
      <c r="C188" s="42"/>
      <c r="D188" s="42"/>
      <c r="J188" s="42"/>
    </row>
    <row r="189" spans="2:10" x14ac:dyDescent="0.25">
      <c r="B189" s="42"/>
      <c r="C189" s="42"/>
      <c r="D189" s="42"/>
      <c r="J189" s="42"/>
    </row>
    <row r="190" spans="2:10" x14ac:dyDescent="0.25">
      <c r="B190" s="42"/>
      <c r="C190" s="42"/>
      <c r="D190" s="42"/>
      <c r="J190" s="42"/>
    </row>
    <row r="191" spans="2:10" x14ac:dyDescent="0.25">
      <c r="B191" s="42"/>
      <c r="C191" s="42"/>
      <c r="D191" s="42"/>
      <c r="J191" s="42"/>
    </row>
    <row r="192" spans="2:10" x14ac:dyDescent="0.25">
      <c r="B192" s="42"/>
      <c r="C192" s="42"/>
      <c r="D192" s="42"/>
      <c r="J192" s="42"/>
    </row>
    <row r="193" spans="2:10" x14ac:dyDescent="0.25">
      <c r="B193" s="42"/>
      <c r="C193" s="42"/>
      <c r="D193" s="42"/>
      <c r="J193" s="42"/>
    </row>
    <row r="194" spans="2:10" x14ac:dyDescent="0.25">
      <c r="B194" s="42"/>
      <c r="C194" s="42"/>
      <c r="D194" s="42"/>
      <c r="J194" s="42"/>
    </row>
    <row r="195" spans="2:10" x14ac:dyDescent="0.25">
      <c r="B195" s="42"/>
      <c r="C195" s="42"/>
      <c r="D195" s="42"/>
      <c r="J195" s="42"/>
    </row>
    <row r="196" spans="2:10" x14ac:dyDescent="0.25">
      <c r="B196" s="42"/>
      <c r="C196" s="42"/>
      <c r="D196" s="42"/>
      <c r="J196" s="42"/>
    </row>
    <row r="197" spans="2:10" x14ac:dyDescent="0.25">
      <c r="B197" s="42"/>
      <c r="C197" s="42"/>
      <c r="D197" s="42"/>
      <c r="J197" s="42"/>
    </row>
    <row r="198" spans="2:10" x14ac:dyDescent="0.25">
      <c r="B198" s="42"/>
      <c r="C198" s="42"/>
      <c r="D198" s="42"/>
      <c r="J198" s="42"/>
    </row>
    <row r="199" spans="2:10" x14ac:dyDescent="0.25">
      <c r="B199" s="42"/>
      <c r="C199" s="42"/>
      <c r="D199" s="42"/>
      <c r="J199" s="42"/>
    </row>
    <row r="200" spans="2:10" x14ac:dyDescent="0.25">
      <c r="B200" s="42"/>
      <c r="C200" s="42"/>
      <c r="D200" s="42"/>
      <c r="J200" s="42"/>
    </row>
    <row r="201" spans="2:10" x14ac:dyDescent="0.25">
      <c r="B201" s="42"/>
      <c r="C201" s="42"/>
      <c r="D201" s="42"/>
      <c r="J201" s="42"/>
    </row>
    <row r="202" spans="2:10" x14ac:dyDescent="0.25">
      <c r="B202" s="42"/>
      <c r="C202" s="42"/>
      <c r="D202" s="42"/>
      <c r="J202" s="42"/>
    </row>
    <row r="203" spans="2:10" x14ac:dyDescent="0.25">
      <c r="B203" s="42"/>
      <c r="C203" s="42"/>
      <c r="D203" s="42"/>
      <c r="J203" s="42"/>
    </row>
    <row r="204" spans="2:10" x14ac:dyDescent="0.25">
      <c r="B204" s="42"/>
      <c r="C204" s="42"/>
      <c r="D204" s="42"/>
      <c r="J204" s="42"/>
    </row>
    <row r="205" spans="2:10" x14ac:dyDescent="0.25">
      <c r="B205" s="42"/>
      <c r="C205" s="42"/>
      <c r="D205" s="42"/>
      <c r="J205" s="42"/>
    </row>
    <row r="206" spans="2:10" x14ac:dyDescent="0.25">
      <c r="B206" s="42"/>
      <c r="C206" s="42"/>
      <c r="D206" s="42"/>
      <c r="J206" s="42"/>
    </row>
  </sheetData>
  <autoFilter ref="A12:AC156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2" operator="equal">
      <formula>"Y"</formula>
    </cfRule>
  </conditionalFormatting>
  <conditionalFormatting sqref="X13:X1048576">
    <cfRule type="cellIs" dxfId="10" priority="55" operator="greaterThan">
      <formula>1</formula>
    </cfRule>
  </conditionalFormatting>
  <conditionalFormatting sqref="X12:X1048576">
    <cfRule type="cellIs" dxfId="9" priority="52" operator="equal">
      <formula>0</formula>
    </cfRule>
  </conditionalFormatting>
  <conditionalFormatting sqref="A14:S14 K156:M156 A13:J13 L13:S13 A15:M155 N15:S156">
    <cfRule type="expression" dxfId="8" priority="48">
      <formula>$O13&gt;0</formula>
    </cfRule>
  </conditionalFormatting>
  <conditionalFormatting sqref="A14:S14 K156:M156 A13:J13 L13:S13 A15:M155 N15:S156">
    <cfRule type="expression" dxfId="7" priority="47">
      <formula>$P13&gt;0</formula>
    </cfRule>
  </conditionalFormatting>
  <conditionalFormatting sqref="K13">
    <cfRule type="expression" dxfId="6" priority="3">
      <formula>$O13&gt;0</formula>
    </cfRule>
  </conditionalFormatting>
  <conditionalFormatting sqref="K13">
    <cfRule type="expression" dxfId="5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K156:M156 A13:J13 L13:S13 A15:M155 N15:S156</xm:sqref>
        </x14:conditionalFormatting>
        <x14:conditionalFormatting xmlns:xm="http://schemas.microsoft.com/office/excel/2006/main">
          <x14:cfRule type="expression" priority="1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showGridLines="0" zoomScale="85" zoomScaleNormal="85" workbookViewId="0">
      <selection activeCell="L13" sqref="L13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135</v>
      </c>
      <c r="L2" s="73"/>
      <c r="M2" s="74">
        <f>COUNTIF($M$7:$M$847,"=Y")</f>
        <v>7</v>
      </c>
      <c r="P2" s="55"/>
    </row>
    <row r="3" spans="1:17" s="42" customFormat="1" ht="15.75" thickBot="1" x14ac:dyDescent="0.3">
      <c r="A3" s="13"/>
      <c r="K3" s="75" t="s">
        <v>136</v>
      </c>
      <c r="L3" s="76"/>
      <c r="M3" s="77">
        <f>COUNTA($M$7:$M$847)-M2</f>
        <v>22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97" t="str">
        <f>"Eagle P3 Braking Events - "&amp;TEXT(Variables!$A$2,"YYYY-mm-dd")</f>
        <v>Eagle P3 Braking Events - 2016-06-27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78">
        <v>42548.533564814818</v>
      </c>
      <c r="B7" s="66" t="s">
        <v>87</v>
      </c>
      <c r="C7" s="66" t="s">
        <v>289</v>
      </c>
      <c r="D7" s="66" t="s">
        <v>50</v>
      </c>
      <c r="E7" s="66" t="s">
        <v>290</v>
      </c>
      <c r="F7" s="66">
        <v>790</v>
      </c>
      <c r="G7" s="66">
        <v>778</v>
      </c>
      <c r="H7" s="66">
        <v>144021</v>
      </c>
      <c r="I7" s="66" t="s">
        <v>59</v>
      </c>
      <c r="J7" s="66">
        <v>110617</v>
      </c>
      <c r="K7" s="66" t="s">
        <v>53</v>
      </c>
      <c r="L7" s="16" t="str">
        <f>VLOOKUP(C7,'Trips&amp;Operators'!$C$2:$E$10000,3,FALSE)</f>
        <v>DAVIS</v>
      </c>
      <c r="M7" s="15" t="s">
        <v>133</v>
      </c>
      <c r="N7" s="16" t="s">
        <v>562</v>
      </c>
      <c r="P7" s="54" t="str">
        <f>VLOOKUP(C7,'Train Runs'!$A$13:$V$156,22,0)</f>
        <v>https://search-rtdc-monitor-bjffxe2xuh6vdkpspy63sjmuny.us-east-1.es.amazonaws.com/_plugin/kibana/#/discover/Steve-Slow-Train-Analysis-(2080s-and-2083s)?_g=(refreshInterval:(display:Off,section:0,value:0),time:(from:'2016-06-27 12:42:25-0600',mode:absolute,to:'2016-06-27 16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7" s="14" t="str">
        <f>MID(B7,13,4)</f>
        <v>4007</v>
      </c>
    </row>
    <row r="8" spans="1:17" s="2" customFormat="1" x14ac:dyDescent="0.25">
      <c r="A8" s="78">
        <v>42548.591516203705</v>
      </c>
      <c r="B8" s="66" t="s">
        <v>88</v>
      </c>
      <c r="C8" s="66" t="s">
        <v>295</v>
      </c>
      <c r="D8" s="66" t="s">
        <v>50</v>
      </c>
      <c r="E8" s="66" t="s">
        <v>290</v>
      </c>
      <c r="F8" s="66">
        <v>790</v>
      </c>
      <c r="G8" s="66">
        <v>781</v>
      </c>
      <c r="H8" s="66">
        <v>144823</v>
      </c>
      <c r="I8" s="66" t="s">
        <v>59</v>
      </c>
      <c r="J8" s="66">
        <v>110617</v>
      </c>
      <c r="K8" s="66" t="s">
        <v>53</v>
      </c>
      <c r="L8" s="16" t="str">
        <f>VLOOKUP(C8,'Trips&amp;Operators'!$C$2:$E$10000,3,FALSE)</f>
        <v>HELVIE</v>
      </c>
      <c r="M8" s="66" t="s">
        <v>133</v>
      </c>
      <c r="N8" s="16" t="s">
        <v>562</v>
      </c>
      <c r="P8" s="54" t="str">
        <f>VLOOKUP(C8,'Train Runs'!$A$13:$V$156,22,0)</f>
        <v>https://search-rtdc-monitor-bjffxe2xuh6vdkpspy63sjmuny.us-east-1.es.amazonaws.com/_plugin/kibana/#/discover/Steve-Slow-Train-Analysis-(2080s-and-2083s)?_g=(refreshInterval:(display:Off,section:0,value:0),time:(from:'2016-06-27 14:07:35-0600',mode:absolute,to:'2016-06-27 17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" s="14" t="str">
        <f>MID(B8,13,4)</f>
        <v>4031</v>
      </c>
    </row>
    <row r="9" spans="1:17" s="2" customFormat="1" x14ac:dyDescent="0.25">
      <c r="A9" s="78">
        <v>42548.824513888889</v>
      </c>
      <c r="B9" s="66" t="s">
        <v>244</v>
      </c>
      <c r="C9" s="66" t="s">
        <v>324</v>
      </c>
      <c r="D9" s="66" t="s">
        <v>50</v>
      </c>
      <c r="E9" s="66" t="s">
        <v>290</v>
      </c>
      <c r="F9" s="66">
        <v>790</v>
      </c>
      <c r="G9" s="66">
        <v>193</v>
      </c>
      <c r="H9" s="66">
        <v>30928</v>
      </c>
      <c r="I9" s="66" t="s">
        <v>59</v>
      </c>
      <c r="J9" s="66">
        <v>68497</v>
      </c>
      <c r="K9" s="66" t="s">
        <v>54</v>
      </c>
      <c r="L9" s="16" t="str">
        <f>VLOOKUP(C9,'Trips&amp;Operators'!$C$2:$E$10000,3,FALSE)</f>
        <v>BARTLETT</v>
      </c>
      <c r="M9" s="66" t="s">
        <v>133</v>
      </c>
      <c r="N9" s="16" t="s">
        <v>562</v>
      </c>
      <c r="P9" s="54" t="str">
        <f>VLOOKUP(C9,'Train Runs'!$A$13:$V$156,22,0)</f>
        <v>https://search-rtdc-monitor-bjffxe2xuh6vdkpspy63sjmuny.us-east-1.es.amazonaws.com/_plugin/kibana/#/discover/Steve-Slow-Train-Analysis-(2080s-and-2083s)?_g=(refreshInterval:(display:Off,section:0,value:0),time:(from:'2016-06-27 19:21:11-0600',mode:absolute,to:'2016-06-28 00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4" t="str">
        <f>MID(B9,13,4)</f>
        <v>4037</v>
      </c>
    </row>
    <row r="10" spans="1:17" s="2" customFormat="1" x14ac:dyDescent="0.25">
      <c r="A10" s="78">
        <v>42548.311956018515</v>
      </c>
      <c r="B10" s="66" t="s">
        <v>184</v>
      </c>
      <c r="C10" s="66" t="s">
        <v>267</v>
      </c>
      <c r="D10" s="66" t="s">
        <v>50</v>
      </c>
      <c r="E10" s="66" t="s">
        <v>76</v>
      </c>
      <c r="F10" s="66">
        <v>250</v>
      </c>
      <c r="G10" s="66">
        <v>551</v>
      </c>
      <c r="H10" s="66">
        <v>151894</v>
      </c>
      <c r="I10" s="66" t="s">
        <v>77</v>
      </c>
      <c r="J10" s="66">
        <v>153800</v>
      </c>
      <c r="K10" s="66" t="s">
        <v>53</v>
      </c>
      <c r="L10" s="16" t="str">
        <f>VLOOKUP(C10,'Trips&amp;Operators'!$C$2:$E$10000,3,FALSE)</f>
        <v>CANFIELD</v>
      </c>
      <c r="M10" s="15" t="s">
        <v>134</v>
      </c>
      <c r="N10" s="16" t="s">
        <v>570</v>
      </c>
      <c r="P10" s="54" t="str">
        <f>VLOOKUP(C10,'Train Runs'!$A$13:$V$156,22,0)</f>
        <v>https://search-rtdc-monitor-bjffxe2xuh6vdkpspy63sjmuny.us-east-1.es.amazonaws.com/_plugin/kibana/#/discover/Steve-Slow-Train-Analysis-(2080s-and-2083s)?_g=(refreshInterval:(display:Off,section:0,value:0),time:(from:'2016-06-27 06:59:42-0600',mode:absolute,to:'2016-06-27 07:43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0" s="14" t="str">
        <f>MID(B10,13,4)</f>
        <v>4014</v>
      </c>
    </row>
    <row r="11" spans="1:17" s="2" customFormat="1" x14ac:dyDescent="0.25">
      <c r="A11" s="18">
        <v>42548.405138888891</v>
      </c>
      <c r="B11" s="17" t="s">
        <v>165</v>
      </c>
      <c r="C11" s="17" t="s">
        <v>278</v>
      </c>
      <c r="D11" s="17" t="s">
        <v>50</v>
      </c>
      <c r="E11" s="17" t="s">
        <v>76</v>
      </c>
      <c r="F11" s="17">
        <v>0</v>
      </c>
      <c r="G11" s="17">
        <v>70</v>
      </c>
      <c r="H11" s="17">
        <v>62483</v>
      </c>
      <c r="I11" s="17" t="s">
        <v>77</v>
      </c>
      <c r="J11" s="17">
        <v>63068</v>
      </c>
      <c r="K11" s="16" t="s">
        <v>53</v>
      </c>
      <c r="L11" s="16" t="str">
        <f>VLOOKUP(C11,'Trips&amp;Operators'!$C$2:$E$10000,3,FALSE)</f>
        <v>ROCHA</v>
      </c>
      <c r="M11" s="15" t="s">
        <v>134</v>
      </c>
      <c r="N11" s="16" t="s">
        <v>564</v>
      </c>
      <c r="P11" s="54" t="str">
        <f>VLOOKUP(C11,'Train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1" s="14" t="str">
        <f>MID(B11,13,4)</f>
        <v>4023</v>
      </c>
    </row>
    <row r="12" spans="1:17" s="2" customFormat="1" x14ac:dyDescent="0.25">
      <c r="A12" s="78">
        <v>42548.405821759261</v>
      </c>
      <c r="B12" s="66" t="s">
        <v>165</v>
      </c>
      <c r="C12" s="66" t="s">
        <v>278</v>
      </c>
      <c r="D12" s="66" t="s">
        <v>55</v>
      </c>
      <c r="E12" s="66" t="s">
        <v>76</v>
      </c>
      <c r="F12" s="66">
        <v>0</v>
      </c>
      <c r="G12" s="66">
        <v>7</v>
      </c>
      <c r="H12" s="66">
        <v>63098</v>
      </c>
      <c r="I12" s="66" t="s">
        <v>77</v>
      </c>
      <c r="J12" s="66">
        <v>63068</v>
      </c>
      <c r="K12" s="66" t="s">
        <v>53</v>
      </c>
      <c r="L12" s="16" t="str">
        <f>VLOOKUP(C12,'Trips&amp;Operators'!$C$2:$E$10000,3,FALSE)</f>
        <v>ROCHA</v>
      </c>
      <c r="M12" s="15" t="s">
        <v>134</v>
      </c>
      <c r="N12" s="16" t="s">
        <v>564</v>
      </c>
      <c r="P12" s="54" t="str">
        <f>VLOOKUP(C12,'Train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2" s="14" t="str">
        <f t="shared" ref="Q12:Q30" si="0">MID(B12,13,4)</f>
        <v>4023</v>
      </c>
    </row>
    <row r="13" spans="1:17" s="2" customFormat="1" x14ac:dyDescent="0.25">
      <c r="A13" s="78">
        <v>42548.384652777779</v>
      </c>
      <c r="B13" s="66" t="s">
        <v>88</v>
      </c>
      <c r="C13" s="66" t="s">
        <v>277</v>
      </c>
      <c r="D13" s="66" t="s">
        <v>50</v>
      </c>
      <c r="E13" s="66" t="s">
        <v>76</v>
      </c>
      <c r="F13" s="66">
        <v>0</v>
      </c>
      <c r="G13" s="66">
        <v>46</v>
      </c>
      <c r="H13" s="66">
        <v>62925</v>
      </c>
      <c r="I13" s="66" t="s">
        <v>77</v>
      </c>
      <c r="J13" s="66">
        <v>63068</v>
      </c>
      <c r="K13" s="66" t="s">
        <v>53</v>
      </c>
      <c r="L13" s="16" t="str">
        <f>VLOOKUP(C13,'Trips&amp;Operators'!$C$2:$E$10000,3,FALSE)</f>
        <v>MALAVE</v>
      </c>
      <c r="M13" s="15" t="s">
        <v>134</v>
      </c>
      <c r="N13" s="16" t="s">
        <v>564</v>
      </c>
      <c r="P13" s="54" t="str">
        <f>VLOOKUP(C13,'Train Runs'!$A$13:$V$156,22,0)</f>
        <v>https://search-rtdc-monitor-bjffxe2xuh6vdkpspy63sjmuny.us-east-1.es.amazonaws.com/_plugin/kibana/#/discover/Steve-Slow-Train-Analysis-(2080s-and-2083s)?_g=(refreshInterval:(display:Off,section:0,value:0),time:(from:'2016-06-27 08:58:30-0600',mode:absolute,to:'2016-06-27 09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 t="shared" si="0"/>
        <v>4031</v>
      </c>
    </row>
    <row r="14" spans="1:17" s="2" customFormat="1" x14ac:dyDescent="0.25">
      <c r="A14" s="78">
        <v>42548.475729166668</v>
      </c>
      <c r="B14" s="66" t="s">
        <v>183</v>
      </c>
      <c r="C14" s="66" t="s">
        <v>282</v>
      </c>
      <c r="D14" s="66" t="s">
        <v>50</v>
      </c>
      <c r="E14" s="66" t="s">
        <v>76</v>
      </c>
      <c r="F14" s="66">
        <v>0</v>
      </c>
      <c r="G14" s="66">
        <v>188</v>
      </c>
      <c r="H14" s="66">
        <v>59102</v>
      </c>
      <c r="I14" s="66" t="s">
        <v>77</v>
      </c>
      <c r="J14" s="66">
        <v>58301</v>
      </c>
      <c r="K14" s="66" t="s">
        <v>54</v>
      </c>
      <c r="L14" s="16" t="str">
        <f>VLOOKUP(C14,'Trips&amp;Operators'!$C$2:$E$10000,3,FALSE)</f>
        <v>SPECTOR</v>
      </c>
      <c r="M14" s="15" t="s">
        <v>134</v>
      </c>
      <c r="N14" s="16" t="s">
        <v>564</v>
      </c>
      <c r="P14" s="54" t="str">
        <f>VLOOKUP(C14,'Train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4" s="14" t="str">
        <f t="shared" si="0"/>
        <v>4026</v>
      </c>
    </row>
    <row r="15" spans="1:17" s="2" customFormat="1" x14ac:dyDescent="0.25">
      <c r="A15" s="78">
        <v>42548.499525462961</v>
      </c>
      <c r="B15" s="66" t="s">
        <v>183</v>
      </c>
      <c r="C15" s="66" t="s">
        <v>282</v>
      </c>
      <c r="D15" s="66" t="s">
        <v>50</v>
      </c>
      <c r="E15" s="66" t="s">
        <v>76</v>
      </c>
      <c r="F15" s="66">
        <v>0</v>
      </c>
      <c r="G15" s="66">
        <v>37</v>
      </c>
      <c r="H15" s="66">
        <v>57636</v>
      </c>
      <c r="I15" s="66" t="s">
        <v>77</v>
      </c>
      <c r="J15" s="66">
        <v>58117</v>
      </c>
      <c r="K15" s="66" t="s">
        <v>53</v>
      </c>
      <c r="L15" s="16" t="str">
        <f>VLOOKUP(C15,'Trips&amp;Operators'!$C$2:$E$10000,3,FALSE)</f>
        <v>SPECTOR</v>
      </c>
      <c r="M15" s="15" t="s">
        <v>134</v>
      </c>
      <c r="N15" s="16" t="s">
        <v>564</v>
      </c>
      <c r="P15" s="54" t="str">
        <f>VLOOKUP(C15,'Train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5" s="14" t="str">
        <f t="shared" si="0"/>
        <v>4026</v>
      </c>
    </row>
    <row r="16" spans="1:17" s="2" customFormat="1" x14ac:dyDescent="0.25">
      <c r="A16" s="78">
        <v>42548.500856481478</v>
      </c>
      <c r="B16" s="66" t="s">
        <v>183</v>
      </c>
      <c r="C16" s="66" t="s">
        <v>282</v>
      </c>
      <c r="D16" s="66" t="s">
        <v>50</v>
      </c>
      <c r="E16" s="66" t="s">
        <v>76</v>
      </c>
      <c r="F16" s="66">
        <v>0</v>
      </c>
      <c r="G16" s="66">
        <v>18</v>
      </c>
      <c r="H16" s="66">
        <v>57917</v>
      </c>
      <c r="I16" s="66" t="s">
        <v>77</v>
      </c>
      <c r="J16" s="66">
        <v>58117</v>
      </c>
      <c r="K16" s="66" t="s">
        <v>53</v>
      </c>
      <c r="L16" s="16" t="str">
        <f>VLOOKUP(C16,'Trips&amp;Operators'!$C$2:$E$10000,3,FALSE)</f>
        <v>SPECTOR</v>
      </c>
      <c r="M16" s="15" t="s">
        <v>134</v>
      </c>
      <c r="N16" s="16" t="s">
        <v>564</v>
      </c>
      <c r="P16" s="54" t="str">
        <f>VLOOKUP(C16,'Train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6" s="14" t="str">
        <f t="shared" si="0"/>
        <v>4026</v>
      </c>
    </row>
    <row r="17" spans="1:17" s="2" customFormat="1" x14ac:dyDescent="0.25">
      <c r="A17" s="78">
        <v>42548.501203703701</v>
      </c>
      <c r="B17" s="66" t="s">
        <v>183</v>
      </c>
      <c r="C17" s="66" t="s">
        <v>282</v>
      </c>
      <c r="D17" s="66" t="s">
        <v>50</v>
      </c>
      <c r="E17" s="66" t="s">
        <v>76</v>
      </c>
      <c r="F17" s="66">
        <v>0</v>
      </c>
      <c r="G17" s="66">
        <v>91</v>
      </c>
      <c r="H17" s="66">
        <v>62390</v>
      </c>
      <c r="I17" s="66" t="s">
        <v>77</v>
      </c>
      <c r="J17" s="66">
        <v>63068</v>
      </c>
      <c r="K17" s="66" t="s">
        <v>53</v>
      </c>
      <c r="L17" s="16" t="str">
        <f>VLOOKUP(C17,'Trips&amp;Operators'!$C$2:$E$10000,3,FALSE)</f>
        <v>SPECTOR</v>
      </c>
      <c r="M17" s="15" t="s">
        <v>134</v>
      </c>
      <c r="N17" s="16" t="s">
        <v>564</v>
      </c>
      <c r="P17" s="54" t="str">
        <f>VLOOKUP(C17,'Train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7" s="14" t="str">
        <f t="shared" si="0"/>
        <v>4026</v>
      </c>
    </row>
    <row r="18" spans="1:17" s="2" customFormat="1" x14ac:dyDescent="0.25">
      <c r="A18" s="78">
        <v>42548.501851851855</v>
      </c>
      <c r="B18" s="66" t="s">
        <v>183</v>
      </c>
      <c r="C18" s="66" t="s">
        <v>282</v>
      </c>
      <c r="D18" s="66" t="s">
        <v>50</v>
      </c>
      <c r="E18" s="66" t="s">
        <v>76</v>
      </c>
      <c r="F18" s="66">
        <v>0</v>
      </c>
      <c r="G18" s="66">
        <v>43</v>
      </c>
      <c r="H18" s="66">
        <v>63035</v>
      </c>
      <c r="I18" s="66" t="s">
        <v>77</v>
      </c>
      <c r="J18" s="66">
        <v>63068</v>
      </c>
      <c r="K18" s="66" t="s">
        <v>53</v>
      </c>
      <c r="L18" s="16" t="str">
        <f>VLOOKUP(C18,'Trips&amp;Operators'!$C$2:$E$10000,3,FALSE)</f>
        <v>SPECTOR</v>
      </c>
      <c r="M18" s="15" t="s">
        <v>134</v>
      </c>
      <c r="N18" s="16" t="s">
        <v>564</v>
      </c>
      <c r="P18" s="54" t="str">
        <f>VLOOKUP(C18,'Train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8" s="14" t="str">
        <f t="shared" si="0"/>
        <v>4026</v>
      </c>
    </row>
    <row r="19" spans="1:17" s="2" customFormat="1" x14ac:dyDescent="0.25">
      <c r="A19" s="78">
        <v>42548.507789351854</v>
      </c>
      <c r="B19" s="66" t="s">
        <v>183</v>
      </c>
      <c r="C19" s="66" t="s">
        <v>282</v>
      </c>
      <c r="D19" s="66" t="s">
        <v>50</v>
      </c>
      <c r="E19" s="66" t="s">
        <v>76</v>
      </c>
      <c r="F19" s="66">
        <v>620</v>
      </c>
      <c r="G19" s="66">
        <v>775</v>
      </c>
      <c r="H19" s="66">
        <v>105393</v>
      </c>
      <c r="I19" s="66" t="s">
        <v>77</v>
      </c>
      <c r="J19" s="66">
        <v>108954</v>
      </c>
      <c r="K19" s="66" t="s">
        <v>53</v>
      </c>
      <c r="L19" s="16" t="str">
        <f>VLOOKUP(C19,'Trips&amp;Operators'!$C$2:$E$10000,3,FALSE)</f>
        <v>SPECTOR</v>
      </c>
      <c r="M19" s="15" t="s">
        <v>134</v>
      </c>
      <c r="N19" s="16" t="s">
        <v>570</v>
      </c>
      <c r="P19" s="54" t="str">
        <f>VLOOKUP(C19,'Train Runs'!$A$13:$V$156,22,0)</f>
        <v>https://search-rtdc-monitor-bjffxe2xuh6vdkpspy63sjmuny.us-east-1.es.amazonaws.com/_plugin/kibana/#/discover/Steve-Slow-Train-Analysis-(2080s-and-2083s)?_g=(refreshInterval:(display:Off,section:0,value:0),time:(from:'2016-06-27 10:47:21-0600',mode:absolute,to:'2016-06-27 11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9" s="14" t="str">
        <f t="shared" si="0"/>
        <v>4026</v>
      </c>
    </row>
    <row r="20" spans="1:17" s="2" customFormat="1" x14ac:dyDescent="0.25">
      <c r="A20" s="78">
        <v>42548.488888888889</v>
      </c>
      <c r="B20" s="66" t="s">
        <v>141</v>
      </c>
      <c r="C20" s="66" t="s">
        <v>284</v>
      </c>
      <c r="D20" s="66" t="s">
        <v>50</v>
      </c>
      <c r="E20" s="66" t="s">
        <v>76</v>
      </c>
      <c r="F20" s="66">
        <v>0</v>
      </c>
      <c r="G20" s="66">
        <v>41</v>
      </c>
      <c r="H20" s="66">
        <v>57868</v>
      </c>
      <c r="I20" s="66" t="s">
        <v>77</v>
      </c>
      <c r="J20" s="66">
        <v>58117</v>
      </c>
      <c r="K20" s="66" t="s">
        <v>53</v>
      </c>
      <c r="L20" s="16" t="str">
        <f>VLOOKUP(C20,'Trips&amp;Operators'!$C$2:$E$10000,3,FALSE)</f>
        <v>MOSES</v>
      </c>
      <c r="M20" s="15" t="s">
        <v>134</v>
      </c>
      <c r="N20" s="16" t="s">
        <v>564</v>
      </c>
      <c r="P20" s="54" t="str">
        <f>VLOOKUP(C20,'Train Runs'!$A$13:$V$156,22,0)</f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0" s="14" t="str">
        <f t="shared" si="0"/>
        <v>4038</v>
      </c>
    </row>
    <row r="21" spans="1:17" s="2" customFormat="1" x14ac:dyDescent="0.25">
      <c r="A21" s="78">
        <v>42548.490578703706</v>
      </c>
      <c r="B21" s="66" t="s">
        <v>141</v>
      </c>
      <c r="C21" s="66" t="s">
        <v>284</v>
      </c>
      <c r="D21" s="66" t="s">
        <v>50</v>
      </c>
      <c r="E21" s="66" t="s">
        <v>76</v>
      </c>
      <c r="F21" s="66">
        <v>0</v>
      </c>
      <c r="G21" s="66">
        <v>23</v>
      </c>
      <c r="H21" s="66">
        <v>62956</v>
      </c>
      <c r="I21" s="66" t="s">
        <v>77</v>
      </c>
      <c r="J21" s="66">
        <v>63068</v>
      </c>
      <c r="K21" s="66" t="s">
        <v>53</v>
      </c>
      <c r="L21" s="16" t="str">
        <f>VLOOKUP(C21,'Trips&amp;Operators'!$C$2:$E$10000,3,FALSE)</f>
        <v>MOSES</v>
      </c>
      <c r="M21" s="15" t="s">
        <v>134</v>
      </c>
      <c r="N21" s="16" t="s">
        <v>564</v>
      </c>
      <c r="P21" s="54" t="str">
        <f>VLOOKUP(C21,'Train Runs'!$A$13:$V$156,22,0)</f>
        <v>https://search-rtdc-monitor-bjffxe2xuh6vdkpspy63sjmuny.us-east-1.es.amazonaws.com/_plugin/kibana/#/discover/Steve-Slow-Train-Analysis-(2080s-and-2083s)?_g=(refreshInterval:(display:Off,section:0,value:0),time:(from:'2016-06-27 11:24:05-0600',mode:absolute,to:'2016-06-27 12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4" t="str">
        <f t="shared" si="0"/>
        <v>4038</v>
      </c>
    </row>
    <row r="22" spans="1:17" s="2" customFormat="1" x14ac:dyDescent="0.25">
      <c r="A22" s="78">
        <v>42548.536168981482</v>
      </c>
      <c r="B22" s="66" t="s">
        <v>244</v>
      </c>
      <c r="C22" s="66" t="s">
        <v>291</v>
      </c>
      <c r="D22" s="66" t="s">
        <v>50</v>
      </c>
      <c r="E22" s="66" t="s">
        <v>76</v>
      </c>
      <c r="F22" s="66">
        <v>0</v>
      </c>
      <c r="G22" s="66">
        <v>257</v>
      </c>
      <c r="H22" s="66">
        <v>59442</v>
      </c>
      <c r="I22" s="66" t="s">
        <v>77</v>
      </c>
      <c r="J22" s="66">
        <v>58301</v>
      </c>
      <c r="K22" s="66" t="s">
        <v>54</v>
      </c>
      <c r="L22" s="16" t="str">
        <f>VLOOKUP(C22,'Trips&amp;Operators'!$C$2:$E$10000,3,FALSE)</f>
        <v>MOSES</v>
      </c>
      <c r="M22" s="15" t="s">
        <v>134</v>
      </c>
      <c r="N22" s="16" t="s">
        <v>564</v>
      </c>
      <c r="P22" s="54" t="str">
        <f>VLOOKUP(C22,'Train Runs'!$A$13:$V$156,22,0)</f>
        <v>https://search-rtdc-monitor-bjffxe2xuh6vdkpspy63sjmuny.us-east-1.es.amazonaws.com/_plugin/kibana/#/discover/Steve-Slow-Train-Analysis-(2080s-and-2083s)?_g=(refreshInterval:(display:Off,section:0,value:0),time:(from:'2016-06-27 12:18:12-0600',mode:absolute,to:'2016-06-27 13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2" s="14" t="str">
        <f t="shared" si="0"/>
        <v>4037</v>
      </c>
    </row>
    <row r="23" spans="1:17" s="2" customFormat="1" x14ac:dyDescent="0.25">
      <c r="A23" s="78">
        <v>42548.546574074076</v>
      </c>
      <c r="B23" s="66" t="s">
        <v>183</v>
      </c>
      <c r="C23" s="66" t="s">
        <v>292</v>
      </c>
      <c r="D23" s="66" t="s">
        <v>50</v>
      </c>
      <c r="E23" s="66" t="s">
        <v>76</v>
      </c>
      <c r="F23" s="66">
        <v>0</v>
      </c>
      <c r="G23" s="66">
        <v>95</v>
      </c>
      <c r="H23" s="66">
        <v>63744</v>
      </c>
      <c r="I23" s="66" t="s">
        <v>77</v>
      </c>
      <c r="J23" s="66">
        <v>63309</v>
      </c>
      <c r="K23" s="66" t="s">
        <v>54</v>
      </c>
      <c r="L23" s="16" t="str">
        <f>VLOOKUP(C23,'Trips&amp;Operators'!$C$2:$E$10000,3,FALSE)</f>
        <v>LOCKLEAR</v>
      </c>
      <c r="M23" s="15" t="s">
        <v>134</v>
      </c>
      <c r="N23" s="16" t="s">
        <v>564</v>
      </c>
      <c r="P23" s="54" t="str">
        <f>VLOOKUP(C23,'Train Runs'!$A$13:$V$156,22,0)</f>
        <v>https://search-rtdc-monitor-bjffxe2xuh6vdkpspy63sjmuny.us-east-1.es.amazonaws.com/_plugin/kibana/#/discover/Steve-Slow-Train-Analysis-(2080s-and-2083s)?_g=(refreshInterval:(display:Off,section:0,value:0),time:(from:'2016-06-27 12:37:07-0600',mode:absolute,to:'2016-06-27 13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3" s="14" t="str">
        <f t="shared" si="0"/>
        <v>4026</v>
      </c>
    </row>
    <row r="24" spans="1:17" s="2" customFormat="1" x14ac:dyDescent="0.25">
      <c r="A24" s="78">
        <v>42548.557546296295</v>
      </c>
      <c r="B24" s="66" t="s">
        <v>184</v>
      </c>
      <c r="C24" s="66" t="s">
        <v>293</v>
      </c>
      <c r="D24" s="66" t="s">
        <v>50</v>
      </c>
      <c r="E24" s="66" t="s">
        <v>76</v>
      </c>
      <c r="F24" s="66">
        <v>0</v>
      </c>
      <c r="G24" s="66">
        <v>173</v>
      </c>
      <c r="H24" s="66">
        <v>62267</v>
      </c>
      <c r="I24" s="66" t="s">
        <v>77</v>
      </c>
      <c r="J24" s="66">
        <v>63068</v>
      </c>
      <c r="K24" s="66" t="s">
        <v>53</v>
      </c>
      <c r="L24" s="16" t="str">
        <f>VLOOKUP(C24,'Trips&amp;Operators'!$C$2:$E$10000,3,FALSE)</f>
        <v>STAMBAUGH</v>
      </c>
      <c r="M24" s="15" t="s">
        <v>134</v>
      </c>
      <c r="N24" s="16" t="s">
        <v>564</v>
      </c>
      <c r="P24" s="54" t="str">
        <f>VLOOKUP(C24,'Train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4" s="14" t="str">
        <f t="shared" si="0"/>
        <v>4014</v>
      </c>
    </row>
    <row r="25" spans="1:17" s="2" customFormat="1" x14ac:dyDescent="0.25">
      <c r="A25" s="78">
        <v>42548.600601851853</v>
      </c>
      <c r="B25" s="66" t="s">
        <v>184</v>
      </c>
      <c r="C25" s="66" t="s">
        <v>293</v>
      </c>
      <c r="D25" s="66" t="s">
        <v>50</v>
      </c>
      <c r="E25" s="66" t="s">
        <v>76</v>
      </c>
      <c r="F25" s="66">
        <v>0</v>
      </c>
      <c r="G25" s="66">
        <v>98</v>
      </c>
      <c r="H25" s="66">
        <v>64051</v>
      </c>
      <c r="I25" s="66" t="s">
        <v>77</v>
      </c>
      <c r="J25" s="66">
        <v>63309</v>
      </c>
      <c r="K25" s="66" t="s">
        <v>54</v>
      </c>
      <c r="L25" s="16" t="str">
        <f>VLOOKUP(C25,'Trips&amp;Operators'!$C$2:$E$10000,3,FALSE)</f>
        <v>STAMBAUGH</v>
      </c>
      <c r="M25" s="15" t="s">
        <v>134</v>
      </c>
      <c r="N25" s="16" t="s">
        <v>564</v>
      </c>
      <c r="P25" s="54" t="str">
        <f>VLOOKUP(C25,'Train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4" t="str">
        <f t="shared" si="0"/>
        <v>4014</v>
      </c>
    </row>
    <row r="26" spans="1:17" s="2" customFormat="1" x14ac:dyDescent="0.25">
      <c r="A26" s="78">
        <v>42548.601620370369</v>
      </c>
      <c r="B26" s="66" t="s">
        <v>184</v>
      </c>
      <c r="C26" s="66" t="s">
        <v>293</v>
      </c>
      <c r="D26" s="66" t="s">
        <v>55</v>
      </c>
      <c r="E26" s="66" t="s">
        <v>76</v>
      </c>
      <c r="F26" s="66">
        <v>0</v>
      </c>
      <c r="G26" s="66">
        <v>11</v>
      </c>
      <c r="H26" s="66">
        <v>63287</v>
      </c>
      <c r="I26" s="66" t="s">
        <v>77</v>
      </c>
      <c r="J26" s="66">
        <v>63309</v>
      </c>
      <c r="K26" s="66" t="s">
        <v>54</v>
      </c>
      <c r="L26" s="16" t="str">
        <f>VLOOKUP(C26,'Trips&amp;Operators'!$C$2:$E$10000,3,FALSE)</f>
        <v>STAMBAUGH</v>
      </c>
      <c r="M26" s="15" t="s">
        <v>134</v>
      </c>
      <c r="N26" s="16" t="s">
        <v>564</v>
      </c>
      <c r="P26" s="54" t="str">
        <f>VLOOKUP(C26,'Train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6" s="14" t="str">
        <f t="shared" si="0"/>
        <v>4014</v>
      </c>
    </row>
    <row r="27" spans="1:17" s="2" customFormat="1" x14ac:dyDescent="0.25">
      <c r="A27" s="78">
        <v>42548.601631944446</v>
      </c>
      <c r="B27" s="66" t="s">
        <v>185</v>
      </c>
      <c r="C27" s="66" t="s">
        <v>298</v>
      </c>
      <c r="D27" s="66" t="s">
        <v>50</v>
      </c>
      <c r="E27" s="66" t="s">
        <v>76</v>
      </c>
      <c r="F27" s="66">
        <v>0</v>
      </c>
      <c r="G27" s="66">
        <v>268</v>
      </c>
      <c r="H27" s="66">
        <v>59523</v>
      </c>
      <c r="I27" s="66" t="s">
        <v>77</v>
      </c>
      <c r="J27" s="66">
        <v>58301</v>
      </c>
      <c r="K27" s="66" t="s">
        <v>54</v>
      </c>
      <c r="L27" s="16" t="str">
        <f>VLOOKUP(C27,'Trips&amp;Operators'!$C$2:$E$10000,3,FALSE)</f>
        <v>STAMBAUGH</v>
      </c>
      <c r="M27" s="15" t="s">
        <v>134</v>
      </c>
      <c r="N27" s="16" t="s">
        <v>564</v>
      </c>
      <c r="P27" s="54" t="str">
        <f>VLOOKUP(C27,'Train Runs'!$A$13:$V$156,22,0)</f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7" s="14" t="str">
        <f t="shared" si="0"/>
        <v>4013</v>
      </c>
    </row>
    <row r="28" spans="1:17" s="2" customFormat="1" x14ac:dyDescent="0.25">
      <c r="A28" s="78">
        <v>42548.617303240739</v>
      </c>
      <c r="B28" s="66" t="s">
        <v>164</v>
      </c>
      <c r="C28" s="66" t="s">
        <v>300</v>
      </c>
      <c r="D28" s="66" t="s">
        <v>50</v>
      </c>
      <c r="E28" s="66" t="s">
        <v>76</v>
      </c>
      <c r="F28" s="66">
        <v>0</v>
      </c>
      <c r="G28" s="66">
        <v>268</v>
      </c>
      <c r="H28" s="66">
        <v>61709</v>
      </c>
      <c r="I28" s="66" t="s">
        <v>77</v>
      </c>
      <c r="J28" s="66">
        <v>63068</v>
      </c>
      <c r="K28" s="66" t="s">
        <v>53</v>
      </c>
      <c r="L28" s="16" t="str">
        <f>VLOOKUP(C28,'Trips&amp;Operators'!$C$2:$E$10000,3,FALSE)</f>
        <v>DAVIS</v>
      </c>
      <c r="M28" s="15" t="s">
        <v>134</v>
      </c>
      <c r="N28" s="16" t="s">
        <v>564</v>
      </c>
      <c r="P28" s="54" t="str">
        <f>VLOOKUP(C28,'Train Runs'!$A$13:$V$156,22,0)</f>
        <v>https://search-rtdc-monitor-bjffxe2xuh6vdkpspy63sjmuny.us-east-1.es.amazonaws.com/_plugin/kibana/#/discover/Steve-Slow-Train-Analysis-(2080s-and-2083s)?_g=(refreshInterval:(display:Off,section:0,value:0),time:(from:'2016-06-27 14:31:40-0600',mode:absolute,to:'2016-06-27 15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8" s="14" t="str">
        <f t="shared" si="0"/>
        <v>4024</v>
      </c>
    </row>
    <row r="29" spans="1:17" s="2" customFormat="1" x14ac:dyDescent="0.25">
      <c r="A29" s="78">
        <v>42548.707465277781</v>
      </c>
      <c r="B29" s="66" t="s">
        <v>141</v>
      </c>
      <c r="C29" s="66" t="s">
        <v>311</v>
      </c>
      <c r="D29" s="66" t="s">
        <v>50</v>
      </c>
      <c r="E29" s="66" t="s">
        <v>76</v>
      </c>
      <c r="F29" s="66">
        <v>0</v>
      </c>
      <c r="G29" s="66">
        <v>106</v>
      </c>
      <c r="H29" s="66">
        <v>62775</v>
      </c>
      <c r="I29" s="66" t="s">
        <v>77</v>
      </c>
      <c r="J29" s="66">
        <v>63068</v>
      </c>
      <c r="K29" s="66" t="s">
        <v>53</v>
      </c>
      <c r="L29" s="16" t="str">
        <f>VLOOKUP(C29,'Trips&amp;Operators'!$C$2:$E$10000,3,FALSE)</f>
        <v>MOSES</v>
      </c>
      <c r="M29" s="15" t="s">
        <v>134</v>
      </c>
      <c r="N29" s="16" t="s">
        <v>564</v>
      </c>
      <c r="P29" s="54" t="str">
        <f>VLOOKUP(C29,'Train Runs'!$A$13:$V$156,22,0)</f>
        <v>https://search-rtdc-monitor-bjffxe2xuh6vdkpspy63sjmuny.us-east-1.es.amazonaws.com/_plugin/kibana/#/discover/Steve-Slow-Train-Analysis-(2080s-and-2083s)?_g=(refreshInterval:(display:Off,section:0,value:0),time:(from:'2016-06-27 16:37:55-0600',mode:absolute,to:'2016-06-27 17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9" s="14" t="str">
        <f t="shared" si="0"/>
        <v>4038</v>
      </c>
    </row>
    <row r="30" spans="1:17" s="2" customFormat="1" x14ac:dyDescent="0.25">
      <c r="A30" s="78">
        <v>42548.253750000003</v>
      </c>
      <c r="B30" s="66" t="s">
        <v>88</v>
      </c>
      <c r="C30" s="66" t="s">
        <v>259</v>
      </c>
      <c r="D30" s="66" t="s">
        <v>50</v>
      </c>
      <c r="E30" s="66" t="s">
        <v>58</v>
      </c>
      <c r="F30" s="66">
        <v>150</v>
      </c>
      <c r="G30" s="66">
        <v>379</v>
      </c>
      <c r="H30" s="66">
        <v>227662</v>
      </c>
      <c r="I30" s="66" t="s">
        <v>59</v>
      </c>
      <c r="J30" s="66">
        <v>230436</v>
      </c>
      <c r="K30" s="66" t="s">
        <v>53</v>
      </c>
      <c r="L30" s="16" t="str">
        <f>VLOOKUP(C30,'Trips&amp;Operators'!$C$2:$E$10000,3,FALSE)</f>
        <v>MALAVE</v>
      </c>
      <c r="M30" s="15"/>
      <c r="N30" s="16"/>
      <c r="P30" s="54" t="str">
        <f>VLOOKUP(C30,'Train Runs'!$A$13:$V$156,22,0)</f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0" s="14" t="str">
        <f t="shared" si="0"/>
        <v>4031</v>
      </c>
    </row>
    <row r="31" spans="1:17" s="2" customFormat="1" x14ac:dyDescent="0.25">
      <c r="A31" s="18">
        <v>42548.385462962964</v>
      </c>
      <c r="B31" s="17" t="s">
        <v>165</v>
      </c>
      <c r="C31" s="17" t="s">
        <v>278</v>
      </c>
      <c r="D31" s="17" t="s">
        <v>50</v>
      </c>
      <c r="E31" s="17" t="s">
        <v>58</v>
      </c>
      <c r="F31" s="17">
        <v>450</v>
      </c>
      <c r="G31" s="17">
        <v>446</v>
      </c>
      <c r="H31" s="17">
        <v>17484</v>
      </c>
      <c r="I31" s="17" t="s">
        <v>59</v>
      </c>
      <c r="J31" s="17">
        <v>15167</v>
      </c>
      <c r="K31" s="16" t="s">
        <v>54</v>
      </c>
      <c r="L31" s="16" t="str">
        <f>VLOOKUP(C31,'Trips&amp;Operators'!$C$2:$E$10000,3,FALSE)</f>
        <v>ROCHA</v>
      </c>
      <c r="M31" s="15"/>
      <c r="N31" s="16"/>
      <c r="P31" s="54" t="str">
        <f>VLOOKUP(C31,'Train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4" t="str">
        <f t="shared" ref="Q31:Q32" si="1">MID(B31,13,4)</f>
        <v>4023</v>
      </c>
    </row>
    <row r="32" spans="1:17" s="2" customFormat="1" x14ac:dyDescent="0.25">
      <c r="A32" s="18">
        <v>42548.401979166665</v>
      </c>
      <c r="B32" s="17" t="s">
        <v>165</v>
      </c>
      <c r="C32" s="17" t="s">
        <v>278</v>
      </c>
      <c r="D32" s="17" t="s">
        <v>50</v>
      </c>
      <c r="E32" s="17" t="s">
        <v>58</v>
      </c>
      <c r="F32" s="17">
        <v>300</v>
      </c>
      <c r="G32" s="17">
        <v>248</v>
      </c>
      <c r="H32" s="17">
        <v>19710</v>
      </c>
      <c r="I32" s="17" t="s">
        <v>59</v>
      </c>
      <c r="J32" s="17">
        <v>20338</v>
      </c>
      <c r="K32" s="16" t="s">
        <v>53</v>
      </c>
      <c r="L32" s="16" t="str">
        <f>VLOOKUP(C32,'Trips&amp;Operators'!$C$2:$E$10000,3,FALSE)</f>
        <v>ROCHA</v>
      </c>
      <c r="M32" s="15"/>
      <c r="N32" s="16"/>
      <c r="P32" s="54" t="str">
        <f>VLOOKUP(C32,'Train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4" t="str">
        <f t="shared" si="1"/>
        <v>4023</v>
      </c>
    </row>
    <row r="33" spans="1:17" x14ac:dyDescent="0.25">
      <c r="A33" s="78">
        <v>42548.481064814812</v>
      </c>
      <c r="B33" s="66" t="s">
        <v>187</v>
      </c>
      <c r="C33" s="66" t="s">
        <v>283</v>
      </c>
      <c r="D33" s="66" t="s">
        <v>50</v>
      </c>
      <c r="E33" s="66" t="s">
        <v>58</v>
      </c>
      <c r="F33" s="66">
        <v>450</v>
      </c>
      <c r="G33" s="66">
        <v>452</v>
      </c>
      <c r="H33" s="66">
        <v>191691</v>
      </c>
      <c r="I33" s="66" t="s">
        <v>59</v>
      </c>
      <c r="J33" s="66">
        <v>191108</v>
      </c>
      <c r="K33" s="66" t="s">
        <v>54</v>
      </c>
      <c r="L33" s="16" t="str">
        <f>VLOOKUP(C33,'Trips&amp;Operators'!$C$2:$E$10000,3,FALSE)</f>
        <v>MAELZER</v>
      </c>
      <c r="M33" s="15"/>
      <c r="N33" s="16"/>
      <c r="O33" s="2"/>
      <c r="P33" s="54" t="str">
        <f>VLOOKUP(C33,'Train Runs'!$A$13:$V$156,22,0)</f>
        <v>https://search-rtdc-monitor-bjffxe2xuh6vdkpspy63sjmuny.us-east-1.es.amazonaws.com/_plugin/kibana/#/discover/Steve-Slow-Train-Analysis-(2080s-and-2083s)?_g=(refreshInterval:(display:Off,section:0,value:0),time:(from:'2016-06-27 11:15:41-0600',mode:absolute,to:'2016-06-27 12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3" s="14" t="str">
        <f t="shared" ref="Q33:Q57" si="2">MID(B33,13,4)</f>
        <v>4028</v>
      </c>
    </row>
    <row r="34" spans="1:17" x14ac:dyDescent="0.25">
      <c r="A34" s="78">
        <v>42548.513842592591</v>
      </c>
      <c r="B34" s="66" t="s">
        <v>70</v>
      </c>
      <c r="C34" s="66" t="s">
        <v>287</v>
      </c>
      <c r="D34" s="66" t="s">
        <v>50</v>
      </c>
      <c r="E34" s="66" t="s">
        <v>58</v>
      </c>
      <c r="F34" s="66">
        <v>450</v>
      </c>
      <c r="G34" s="66">
        <v>451</v>
      </c>
      <c r="H34" s="66">
        <v>17478</v>
      </c>
      <c r="I34" s="66" t="s">
        <v>59</v>
      </c>
      <c r="J34" s="66">
        <v>15167</v>
      </c>
      <c r="K34" s="66" t="s">
        <v>54</v>
      </c>
      <c r="L34" s="16" t="str">
        <f>VLOOKUP(C34,'Trips&amp;Operators'!$C$2:$E$10000,3,FALSE)</f>
        <v>HELVIE</v>
      </c>
      <c r="M34" s="15"/>
      <c r="N34" s="16"/>
      <c r="O34" s="2"/>
      <c r="P34" s="54" t="str">
        <f>VLOOKUP(C34,'Train Runs'!$A$13:$V$156,22,0)</f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4" s="14" t="str">
        <f t="shared" si="2"/>
        <v>4032</v>
      </c>
    </row>
    <row r="35" spans="1:17" x14ac:dyDescent="0.25">
      <c r="A35" s="78">
        <v>42548.610925925925</v>
      </c>
      <c r="B35" s="66" t="s">
        <v>184</v>
      </c>
      <c r="C35" s="66" t="s">
        <v>293</v>
      </c>
      <c r="D35" s="66" t="s">
        <v>50</v>
      </c>
      <c r="E35" s="66" t="s">
        <v>58</v>
      </c>
      <c r="F35" s="66">
        <v>150</v>
      </c>
      <c r="G35" s="66">
        <v>193</v>
      </c>
      <c r="H35" s="66">
        <v>5046</v>
      </c>
      <c r="I35" s="66" t="s">
        <v>59</v>
      </c>
      <c r="J35" s="66">
        <v>4677</v>
      </c>
      <c r="K35" s="66" t="s">
        <v>54</v>
      </c>
      <c r="L35" s="16" t="str">
        <f>VLOOKUP(C35,'Trips&amp;Operators'!$C$2:$E$10000,3,FALSE)</f>
        <v>STAMBAUGH</v>
      </c>
      <c r="M35" s="66"/>
      <c r="N35" s="66"/>
      <c r="O35" s="2"/>
      <c r="P35" s="54" t="str">
        <f>VLOOKUP(C35,'Train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5" s="14" t="str">
        <f t="shared" si="2"/>
        <v>4014</v>
      </c>
    </row>
    <row r="36" spans="1:17" x14ac:dyDescent="0.25">
      <c r="A36" s="78">
        <v>42548.641631944447</v>
      </c>
      <c r="B36" s="66" t="s">
        <v>141</v>
      </c>
      <c r="C36" s="66" t="s">
        <v>302</v>
      </c>
      <c r="D36" s="66" t="s">
        <v>50</v>
      </c>
      <c r="E36" s="66" t="s">
        <v>58</v>
      </c>
      <c r="F36" s="66">
        <v>400</v>
      </c>
      <c r="G36" s="66">
        <v>460</v>
      </c>
      <c r="H36" s="66">
        <v>115768</v>
      </c>
      <c r="I36" s="66" t="s">
        <v>59</v>
      </c>
      <c r="J36" s="66">
        <v>116838</v>
      </c>
      <c r="K36" s="66" t="s">
        <v>53</v>
      </c>
      <c r="L36" s="16" t="str">
        <f>VLOOKUP(C36,'Trips&amp;Operators'!$C$2:$E$10000,3,FALSE)</f>
        <v>MOSES</v>
      </c>
      <c r="M36" s="66"/>
      <c r="N36" s="66"/>
      <c r="O36" s="2"/>
      <c r="P36" s="54" t="str">
        <f>VLOOKUP(C36,'Train Runs'!$A$13:$V$156,22,0)</f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6" s="14" t="str">
        <f t="shared" si="2"/>
        <v>4038</v>
      </c>
    </row>
    <row r="37" spans="1:17" x14ac:dyDescent="0.25">
      <c r="A37" s="18">
        <v>42548.383831018517</v>
      </c>
      <c r="B37" s="17" t="s">
        <v>251</v>
      </c>
      <c r="C37" s="17" t="s">
        <v>276</v>
      </c>
      <c r="D37" s="17" t="s">
        <v>50</v>
      </c>
      <c r="E37" s="17" t="s">
        <v>56</v>
      </c>
      <c r="F37" s="17">
        <v>0</v>
      </c>
      <c r="G37" s="17">
        <v>707</v>
      </c>
      <c r="H37" s="17">
        <v>197544</v>
      </c>
      <c r="I37" s="17" t="s">
        <v>57</v>
      </c>
      <c r="J37" s="17">
        <v>198242</v>
      </c>
      <c r="K37" s="16" t="s">
        <v>53</v>
      </c>
      <c r="L37" s="16" t="str">
        <f>VLOOKUP(C37,'Trips&amp;Operators'!$C$2:$E$10000,3,FALSE)</f>
        <v>MAELZER</v>
      </c>
      <c r="M37" s="15" t="s">
        <v>133</v>
      </c>
      <c r="N37" s="16" t="s">
        <v>566</v>
      </c>
      <c r="O37" s="2"/>
      <c r="P37" s="54" t="str">
        <f>VLOOKUP(C37,'Train Runs'!$A$13:$V$156,22,0)</f>
        <v>https://search-rtdc-monitor-bjffxe2xuh6vdkpspy63sjmuny.us-east-1.es.amazonaws.com/_plugin/kibana/#/discover/Steve-Slow-Train-Analysis-(2080s-and-2083s)?_g=(refreshInterval:(display:Off,section:0,value:0),time:(from:'2016-06-27 08:28:20-0600',mode:absolute,to:'2016-06-27 09:13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7" s="14" t="str">
        <f t="shared" si="2"/>
        <v>4029</v>
      </c>
    </row>
    <row r="38" spans="1:17" x14ac:dyDescent="0.25">
      <c r="A38" s="78">
        <v>42548.497986111113</v>
      </c>
      <c r="B38" s="66" t="s">
        <v>70</v>
      </c>
      <c r="C38" s="66" t="s">
        <v>287</v>
      </c>
      <c r="D38" s="66" t="s">
        <v>50</v>
      </c>
      <c r="E38" s="66" t="s">
        <v>56</v>
      </c>
      <c r="F38" s="66">
        <v>0</v>
      </c>
      <c r="G38" s="66">
        <v>357</v>
      </c>
      <c r="H38" s="66">
        <v>128975</v>
      </c>
      <c r="I38" s="66" t="s">
        <v>57</v>
      </c>
      <c r="J38" s="66">
        <v>127587</v>
      </c>
      <c r="K38" s="66" t="s">
        <v>54</v>
      </c>
      <c r="L38" s="16" t="str">
        <f>VLOOKUP(C38,'Trips&amp;Operators'!$C$2:$E$10000,3,FALSE)</f>
        <v>HELVIE</v>
      </c>
      <c r="M38" s="15" t="s">
        <v>134</v>
      </c>
      <c r="N38" s="16" t="s">
        <v>571</v>
      </c>
      <c r="O38" s="2"/>
      <c r="P38" s="54" t="str">
        <f>VLOOKUP(C38,'Train Runs'!$A$13:$V$156,22,0)</f>
        <v>https://search-rtdc-monitor-bjffxe2xuh6vdkpspy63sjmuny.us-east-1.es.amazonaws.com/_plugin/kibana/#/discover/Steve-Slow-Train-Analysis-(2080s-and-2083s)?_g=(refreshInterval:(display:Off,section:0,value:0),time:(from:'2016-06-27 11:31:38-0600',mode:absolute,to:'2016-06-27 12:26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8" s="14" t="str">
        <f t="shared" si="2"/>
        <v>4032</v>
      </c>
    </row>
    <row r="39" spans="1:17" x14ac:dyDescent="0.25">
      <c r="A39" s="78">
        <v>42548.684884259259</v>
      </c>
      <c r="B39" s="66" t="s">
        <v>183</v>
      </c>
      <c r="C39" s="66" t="s">
        <v>308</v>
      </c>
      <c r="D39" s="66" t="s">
        <v>50</v>
      </c>
      <c r="E39" s="66" t="s">
        <v>56</v>
      </c>
      <c r="F39" s="66">
        <v>0</v>
      </c>
      <c r="G39" s="66">
        <v>77</v>
      </c>
      <c r="H39" s="66">
        <v>128038</v>
      </c>
      <c r="I39" s="66" t="s">
        <v>57</v>
      </c>
      <c r="J39" s="66">
        <v>127587</v>
      </c>
      <c r="K39" s="66" t="s">
        <v>54</v>
      </c>
      <c r="L39" s="16" t="str">
        <f>VLOOKUP(C39,'Trips&amp;Operators'!$C$2:$E$10000,3,FALSE)</f>
        <v>LOCKLEAR</v>
      </c>
      <c r="M39" s="15" t="s">
        <v>134</v>
      </c>
      <c r="N39" s="16" t="s">
        <v>571</v>
      </c>
      <c r="O39" s="2"/>
      <c r="P39" s="54" t="str">
        <f>VLOOKUP(C39,'Train Runs'!$A$13:$V$156,22,0)</f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9" s="14" t="str">
        <f t="shared" si="2"/>
        <v>4026</v>
      </c>
    </row>
    <row r="40" spans="1:17" x14ac:dyDescent="0.25">
      <c r="A40" s="78">
        <v>42548.752118055556</v>
      </c>
      <c r="B40" s="66" t="s">
        <v>87</v>
      </c>
      <c r="C40" s="66" t="s">
        <v>315</v>
      </c>
      <c r="D40" s="66" t="s">
        <v>50</v>
      </c>
      <c r="E40" s="66" t="s">
        <v>56</v>
      </c>
      <c r="F40" s="66">
        <v>0</v>
      </c>
      <c r="G40" s="66">
        <v>775</v>
      </c>
      <c r="H40" s="66">
        <v>80400</v>
      </c>
      <c r="I40" s="66" t="s">
        <v>57</v>
      </c>
      <c r="J40" s="66">
        <v>81738</v>
      </c>
      <c r="K40" s="66" t="s">
        <v>53</v>
      </c>
      <c r="L40" s="16" t="str">
        <f>VLOOKUP(C40,'Trips&amp;Operators'!$C$2:$E$10000,3,FALSE)</f>
        <v>DE LA ROSA</v>
      </c>
      <c r="M40" s="66" t="s">
        <v>133</v>
      </c>
      <c r="N40" s="66" t="s">
        <v>569</v>
      </c>
      <c r="O40" s="2"/>
      <c r="P40" s="54" t="str">
        <f>VLOOKUP(C40,'Train Runs'!$A$13:$V$156,22,0)</f>
        <v>https://search-rtdc-monitor-bjffxe2xuh6vdkpspy63sjmuny.us-east-1.es.amazonaws.com/_plugin/kibana/#/discover/Steve-Slow-Train-Analysis-(2080s-and-2083s)?_g=(refreshInterval:(display:Off,section:0,value:0),time:(from:'2016-06-27 17:36:38-0600',mode:absolute,to:'2016-06-27 18:25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0" s="14" t="str">
        <f t="shared" si="2"/>
        <v>4007</v>
      </c>
    </row>
    <row r="41" spans="1:17" x14ac:dyDescent="0.25">
      <c r="A41" s="78">
        <v>42548.589872685188</v>
      </c>
      <c r="B41" s="66" t="s">
        <v>184</v>
      </c>
      <c r="C41" s="66" t="s">
        <v>293</v>
      </c>
      <c r="D41" s="66" t="s">
        <v>55</v>
      </c>
      <c r="E41" s="66" t="s">
        <v>131</v>
      </c>
      <c r="F41" s="66">
        <v>0</v>
      </c>
      <c r="G41" s="66">
        <v>346</v>
      </c>
      <c r="H41" s="66">
        <v>229343</v>
      </c>
      <c r="I41" s="66" t="s">
        <v>132</v>
      </c>
      <c r="J41" s="66">
        <v>231650</v>
      </c>
      <c r="K41" s="66" t="s">
        <v>54</v>
      </c>
      <c r="L41" s="16" t="str">
        <f>VLOOKUP(C41,'Trips&amp;Operators'!$C$2:$E$10000,3,FALSE)</f>
        <v>STAMBAUGH</v>
      </c>
      <c r="M41" s="66" t="s">
        <v>133</v>
      </c>
      <c r="N41" s="66" t="s">
        <v>569</v>
      </c>
      <c r="O41" s="2"/>
      <c r="P41" s="54" t="str">
        <f>VLOOKUP(C41,'Train Runs'!$A$13:$V$156,22,0)</f>
        <v>https://search-rtdc-monitor-bjffxe2xuh6vdkpspy63sjmuny.us-east-1.es.amazonaws.com/_plugin/kibana/#/discover/Steve-Slow-Train-Analysis-(2080s-and-2083s)?_g=(refreshInterval:(display:Off,section:0,value:0),time:(from:'2016-06-27 13:04:51-0600',mode:absolute,to:'2016-06-27 13:49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1" s="14" t="str">
        <f t="shared" si="2"/>
        <v>4014</v>
      </c>
    </row>
    <row r="42" spans="1:17" x14ac:dyDescent="0.25">
      <c r="A42" s="78">
        <v>42548.884548611109</v>
      </c>
      <c r="B42" s="66" t="s">
        <v>329</v>
      </c>
      <c r="C42" s="66" t="s">
        <v>330</v>
      </c>
      <c r="D42" s="66" t="s">
        <v>50</v>
      </c>
      <c r="E42" s="66" t="s">
        <v>131</v>
      </c>
      <c r="F42" s="66">
        <v>0</v>
      </c>
      <c r="G42" s="66">
        <v>645</v>
      </c>
      <c r="H42" s="66">
        <v>106032</v>
      </c>
      <c r="I42" s="66" t="s">
        <v>132</v>
      </c>
      <c r="J42" s="66">
        <v>104776</v>
      </c>
      <c r="K42" s="66" t="s">
        <v>54</v>
      </c>
      <c r="L42" s="16" t="str">
        <f>VLOOKUP(C42,'Trips&amp;Operators'!$C$2:$E$10000,3,FALSE)</f>
        <v>BRUDER</v>
      </c>
      <c r="M42" s="66" t="s">
        <v>133</v>
      </c>
      <c r="N42" s="66" t="s">
        <v>569</v>
      </c>
      <c r="O42" s="2"/>
      <c r="P42" s="54" t="str">
        <f>VLOOKUP(C42,'Train Runs'!$A$13:$V$156,22,0)</f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2" s="14" t="str">
        <f t="shared" si="2"/>
        <v>4039</v>
      </c>
    </row>
    <row r="43" spans="1:17" x14ac:dyDescent="0.25">
      <c r="A43" s="18">
        <v>42548.161678240744</v>
      </c>
      <c r="B43" s="17" t="s">
        <v>251</v>
      </c>
      <c r="C43" s="17" t="s">
        <v>252</v>
      </c>
      <c r="D43" s="17" t="s">
        <v>50</v>
      </c>
      <c r="E43" s="17" t="s">
        <v>51</v>
      </c>
      <c r="F43" s="17">
        <v>0</v>
      </c>
      <c r="G43" s="17">
        <v>9</v>
      </c>
      <c r="H43" s="17">
        <v>233332</v>
      </c>
      <c r="I43" s="17" t="s">
        <v>52</v>
      </c>
      <c r="J43" s="17">
        <v>233491</v>
      </c>
      <c r="K43" s="16" t="s">
        <v>53</v>
      </c>
      <c r="L43" s="16" t="str">
        <f>VLOOKUP(C43,'Trips&amp;Operators'!$C$2:$E$10000,3,FALSE)</f>
        <v>CANFIELD</v>
      </c>
      <c r="M43" s="15"/>
      <c r="N43" s="16"/>
      <c r="O43" s="2"/>
      <c r="P43" s="54" t="str">
        <f>VLOOKUP(C43,'Train Runs'!$A$13:$V$156,22,0)</f>
        <v>https://search-rtdc-monitor-bjffxe2xuh6vdkpspy63sjmuny.us-east-1.es.amazonaws.com/_plugin/kibana/#/discover/Steve-Slow-Train-Analysis-(2080s-and-2083s)?_g=(refreshInterval:(display:Off,section:0,value:0),time:(from:'2016-06-27 03:07:17-0600',mode:absolute,to:'2016-06-27 03:53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3" s="14" t="str">
        <f t="shared" si="2"/>
        <v>4029</v>
      </c>
    </row>
    <row r="44" spans="1:17" x14ac:dyDescent="0.25">
      <c r="A44" s="18">
        <v>42548.201817129629</v>
      </c>
      <c r="B44" s="17" t="s">
        <v>164</v>
      </c>
      <c r="C44" s="17" t="s">
        <v>253</v>
      </c>
      <c r="D44" s="17" t="s">
        <v>50</v>
      </c>
      <c r="E44" s="17" t="s">
        <v>51</v>
      </c>
      <c r="F44" s="17">
        <v>0</v>
      </c>
      <c r="G44" s="17">
        <v>3</v>
      </c>
      <c r="H44" s="17">
        <v>233332</v>
      </c>
      <c r="I44" s="17" t="s">
        <v>52</v>
      </c>
      <c r="J44" s="17">
        <v>233491</v>
      </c>
      <c r="K44" s="16" t="s">
        <v>53</v>
      </c>
      <c r="L44" s="16" t="str">
        <f>VLOOKUP(C44,'Trips&amp;Operators'!$C$2:$E$10000,3,FALSE)</f>
        <v>ROCHA</v>
      </c>
      <c r="M44" s="15"/>
      <c r="N44" s="16"/>
      <c r="O44" s="2"/>
      <c r="P44" s="54" t="str">
        <f>VLOOKUP(C44,'Train Runs'!$A$13:$V$156,22,0)</f>
        <v>https://search-rtdc-monitor-bjffxe2xuh6vdkpspy63sjmuny.us-east-1.es.amazonaws.com/_plugin/kibana/#/discover/Steve-Slow-Train-Analysis-(2080s-and-2083s)?_g=(refreshInterval:(display:Off,section:0,value:0),time:(from:'2016-06-27 04:05:13-0600',mode:absolute,to:'2016-06-27 04:51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4" s="14" t="str">
        <f t="shared" si="2"/>
        <v>4024</v>
      </c>
    </row>
    <row r="45" spans="1:17" x14ac:dyDescent="0.25">
      <c r="A45" s="78">
        <v>42548.244803240741</v>
      </c>
      <c r="B45" s="66" t="s">
        <v>185</v>
      </c>
      <c r="C45" s="66" t="s">
        <v>256</v>
      </c>
      <c r="D45" s="66" t="s">
        <v>50</v>
      </c>
      <c r="E45" s="66" t="s">
        <v>51</v>
      </c>
      <c r="F45" s="66">
        <v>0</v>
      </c>
      <c r="G45" s="66">
        <v>112</v>
      </c>
      <c r="H45" s="66">
        <v>575</v>
      </c>
      <c r="I45" s="66" t="s">
        <v>52</v>
      </c>
      <c r="J45" s="66">
        <v>1</v>
      </c>
      <c r="K45" s="66" t="s">
        <v>54</v>
      </c>
      <c r="L45" s="16" t="str">
        <f>VLOOKUP(C45,'Trips&amp;Operators'!$C$2:$E$10000,3,FALSE)</f>
        <v>ROCHA</v>
      </c>
      <c r="M45" s="15"/>
      <c r="N45" s="16"/>
      <c r="O45" s="2"/>
      <c r="P45" s="54" t="str">
        <f>VLOOKUP(C45,'Train Runs'!$A$13:$V$156,22,0)</f>
        <v>https://search-rtdc-monitor-bjffxe2xuh6vdkpspy63sjmuny.us-east-1.es.amazonaws.com/_plugin/kibana/#/discover/Steve-Slow-Train-Analysis-(2080s-and-2083s)?_g=(refreshInterval:(display:Off,section:0,value:0),time:(from:'2016-06-27 04:58:23-0600',mode:absolute,to:'2016-06-27 05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45" s="14" t="str">
        <f t="shared" si="2"/>
        <v>4013</v>
      </c>
    </row>
    <row r="46" spans="1:17" x14ac:dyDescent="0.25">
      <c r="A46" s="18">
        <v>42548.263310185182</v>
      </c>
      <c r="B46" s="17" t="s">
        <v>183</v>
      </c>
      <c r="C46" s="17" t="s">
        <v>260</v>
      </c>
      <c r="D46" s="17" t="s">
        <v>50</v>
      </c>
      <c r="E46" s="17" t="s">
        <v>51</v>
      </c>
      <c r="F46" s="17">
        <v>0</v>
      </c>
      <c r="G46" s="17">
        <v>62</v>
      </c>
      <c r="H46" s="17">
        <v>218</v>
      </c>
      <c r="I46" s="17" t="s">
        <v>52</v>
      </c>
      <c r="J46" s="17">
        <v>1</v>
      </c>
      <c r="K46" s="16" t="s">
        <v>54</v>
      </c>
      <c r="L46" s="16" t="str">
        <f>VLOOKUP(C46,'Trips&amp;Operators'!$C$2:$E$10000,3,FALSE)</f>
        <v>SPECTOR</v>
      </c>
      <c r="M46" s="15"/>
      <c r="N46" s="16"/>
      <c r="O46" s="2"/>
      <c r="P46" s="54" t="str">
        <f>VLOOKUP(C46,'Train Runs'!$A$13:$V$156,22,0)</f>
        <v>https://search-rtdc-monitor-bjffxe2xuh6vdkpspy63sjmuny.us-east-1.es.amazonaws.com/_plugin/kibana/#/discover/Steve-Slow-Train-Analysis-(2080s-and-2083s)?_g=(refreshInterval:(display:Off,section:0,value:0),time:(from:'2016-06-27 05:35:44-0600',mode:absolute,to:'2016-06-27 06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6" s="14" t="str">
        <f t="shared" si="2"/>
        <v>4026</v>
      </c>
    </row>
    <row r="47" spans="1:17" x14ac:dyDescent="0.25">
      <c r="A47" s="18">
        <v>42548.234733796293</v>
      </c>
      <c r="B47" s="17" t="s">
        <v>251</v>
      </c>
      <c r="C47" s="17" t="s">
        <v>255</v>
      </c>
      <c r="D47" s="17" t="s">
        <v>50</v>
      </c>
      <c r="E47" s="17" t="s">
        <v>51</v>
      </c>
      <c r="F47" s="17">
        <v>0</v>
      </c>
      <c r="G47" s="17">
        <v>89</v>
      </c>
      <c r="H47" s="17">
        <v>233138</v>
      </c>
      <c r="I47" s="17" t="s">
        <v>52</v>
      </c>
      <c r="J47" s="17">
        <v>233491</v>
      </c>
      <c r="K47" s="16" t="s">
        <v>53</v>
      </c>
      <c r="L47" s="16" t="str">
        <f>VLOOKUP(C47,'Trips&amp;Operators'!$C$2:$E$10000,3,FALSE)</f>
        <v>MAELZER</v>
      </c>
      <c r="M47" s="15"/>
      <c r="N47" s="16"/>
      <c r="O47" s="2"/>
      <c r="P47" s="54" t="str">
        <f>VLOOKUP(C47,'Train Runs'!$A$13:$V$156,22,0)</f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14" t="str">
        <f t="shared" si="2"/>
        <v>4029</v>
      </c>
    </row>
    <row r="48" spans="1:17" x14ac:dyDescent="0.25">
      <c r="A48" s="18">
        <v>42548.235150462962</v>
      </c>
      <c r="B48" s="17" t="s">
        <v>251</v>
      </c>
      <c r="C48" s="17" t="s">
        <v>255</v>
      </c>
      <c r="D48" s="17" t="s">
        <v>50</v>
      </c>
      <c r="E48" s="17" t="s">
        <v>51</v>
      </c>
      <c r="F48" s="17">
        <v>0</v>
      </c>
      <c r="G48" s="17">
        <v>52</v>
      </c>
      <c r="H48" s="17">
        <v>233323</v>
      </c>
      <c r="I48" s="17" t="s">
        <v>52</v>
      </c>
      <c r="J48" s="17">
        <v>233491</v>
      </c>
      <c r="K48" s="16" t="s">
        <v>53</v>
      </c>
      <c r="L48" s="16" t="str">
        <f>VLOOKUP(C48,'Trips&amp;Operators'!$C$2:$E$10000,3,FALSE)</f>
        <v>MAELZER</v>
      </c>
      <c r="M48" s="15"/>
      <c r="N48" s="16"/>
      <c r="O48" s="2"/>
      <c r="P48" s="54" t="str">
        <f>VLOOKUP(C48,'Train Runs'!$A$13:$V$156,22,0)</f>
        <v>https://search-rtdc-monitor-bjffxe2xuh6vdkpspy63sjmuny.us-east-1.es.amazonaws.com/_plugin/kibana/#/discover/Steve-Slow-Train-Analysis-(2080s-and-2083s)?_g=(refreshInterval:(display:Off,section:0,value:0),time:(from:'2016-06-27 04:53:10-0600',mode:absolute,to:'2016-06-27 05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8" s="14" t="str">
        <f t="shared" si="2"/>
        <v>4029</v>
      </c>
    </row>
    <row r="49" spans="1:17" x14ac:dyDescent="0.25">
      <c r="A49" s="78">
        <v>42548.255671296298</v>
      </c>
      <c r="B49" s="66" t="s">
        <v>88</v>
      </c>
      <c r="C49" s="66" t="s">
        <v>259</v>
      </c>
      <c r="D49" s="66" t="s">
        <v>50</v>
      </c>
      <c r="E49" s="66" t="s">
        <v>51</v>
      </c>
      <c r="F49" s="66">
        <v>0</v>
      </c>
      <c r="G49" s="66">
        <v>5</v>
      </c>
      <c r="H49" s="66">
        <v>233329</v>
      </c>
      <c r="I49" s="66" t="s">
        <v>52</v>
      </c>
      <c r="J49" s="66">
        <v>233491</v>
      </c>
      <c r="K49" s="66" t="s">
        <v>53</v>
      </c>
      <c r="L49" s="16" t="str">
        <f>VLOOKUP(C49,'Trips&amp;Operators'!$C$2:$E$10000,3,FALSE)</f>
        <v>MALAVE</v>
      </c>
      <c r="M49" s="15"/>
      <c r="N49" s="16"/>
      <c r="O49" s="2"/>
      <c r="P49" s="54" t="str">
        <f>VLOOKUP(C49,'Train Runs'!$A$13:$V$156,22,0)</f>
        <v>https://search-rtdc-monitor-bjffxe2xuh6vdkpspy63sjmuny.us-east-1.es.amazonaws.com/_plugin/kibana/#/discover/Steve-Slow-Train-Analysis-(2080s-and-2083s)?_g=(refreshInterval:(display:Off,section:0,value:0),time:(from:'2016-06-27 05:24:43-0600',mode:absolute,to:'2016-06-27 06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9" s="14" t="str">
        <f t="shared" si="2"/>
        <v>4031</v>
      </c>
    </row>
    <row r="50" spans="1:17" x14ac:dyDescent="0.25">
      <c r="A50" s="78">
        <v>42548.294918981483</v>
      </c>
      <c r="B50" s="66" t="s">
        <v>70</v>
      </c>
      <c r="C50" s="66" t="s">
        <v>265</v>
      </c>
      <c r="D50" s="66" t="s">
        <v>50</v>
      </c>
      <c r="E50" s="66" t="s">
        <v>51</v>
      </c>
      <c r="F50" s="66">
        <v>0</v>
      </c>
      <c r="G50" s="66">
        <v>61</v>
      </c>
      <c r="H50" s="66">
        <v>269</v>
      </c>
      <c r="I50" s="66" t="s">
        <v>52</v>
      </c>
      <c r="J50" s="66">
        <v>1</v>
      </c>
      <c r="K50" s="66" t="s">
        <v>54</v>
      </c>
      <c r="L50" s="16" t="str">
        <f>VLOOKUP(C50,'Trips&amp;Operators'!$C$2:$E$10000,3,FALSE)</f>
        <v>MALAVE</v>
      </c>
      <c r="M50" s="15"/>
      <c r="N50" s="16"/>
      <c r="O50" s="2"/>
      <c r="P50" s="54" t="str">
        <f>VLOOKUP(C50,'Train Runs'!$A$13:$V$156,22,0)</f>
        <v>https://search-rtdc-monitor-bjffxe2xuh6vdkpspy63sjmuny.us-east-1.es.amazonaws.com/_plugin/kibana/#/discover/Steve-Slow-Train-Analysis-(2080s-and-2083s)?_g=(refreshInterval:(display:Off,section:0,value:0),time:(from:'2016-06-27 06:14:59-0600',mode:absolute,to:'2016-06-27 07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0" s="14" t="str">
        <f t="shared" si="2"/>
        <v>4032</v>
      </c>
    </row>
    <row r="51" spans="1:17" x14ac:dyDescent="0.25">
      <c r="A51" s="18">
        <v>42548.275451388887</v>
      </c>
      <c r="B51" s="17" t="s">
        <v>164</v>
      </c>
      <c r="C51" s="17" t="s">
        <v>263</v>
      </c>
      <c r="D51" s="17" t="s">
        <v>50</v>
      </c>
      <c r="E51" s="17" t="s">
        <v>51</v>
      </c>
      <c r="F51" s="17">
        <v>0</v>
      </c>
      <c r="G51" s="17">
        <v>4</v>
      </c>
      <c r="H51" s="17">
        <v>231390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ROCHA</v>
      </c>
      <c r="M51" s="15"/>
      <c r="N51" s="16"/>
      <c r="O51" s="2"/>
      <c r="P51" s="54" t="str">
        <f>VLOOKUP(C51,'Train Runs'!$A$13:$V$156,22,0)</f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1" s="14" t="str">
        <f t="shared" si="2"/>
        <v>4024</v>
      </c>
    </row>
    <row r="52" spans="1:17" x14ac:dyDescent="0.25">
      <c r="A52" s="78">
        <v>42548.276562500003</v>
      </c>
      <c r="B52" s="66" t="s">
        <v>164</v>
      </c>
      <c r="C52" s="66" t="s">
        <v>263</v>
      </c>
      <c r="D52" s="66" t="s">
        <v>50</v>
      </c>
      <c r="E52" s="66" t="s">
        <v>51</v>
      </c>
      <c r="F52" s="66">
        <v>0</v>
      </c>
      <c r="G52" s="66">
        <v>7</v>
      </c>
      <c r="H52" s="66">
        <v>233332</v>
      </c>
      <c r="I52" s="66" t="s">
        <v>52</v>
      </c>
      <c r="J52" s="66">
        <v>233491</v>
      </c>
      <c r="K52" s="66" t="s">
        <v>53</v>
      </c>
      <c r="L52" s="16" t="str">
        <f>VLOOKUP(C52,'Trips&amp;Operators'!$C$2:$E$10000,3,FALSE)</f>
        <v>ROCHA</v>
      </c>
      <c r="M52" s="15"/>
      <c r="N52" s="16"/>
      <c r="O52" s="2"/>
      <c r="P52" s="54" t="str">
        <f>VLOOKUP(C52,'Train Runs'!$A$13:$V$156,22,0)</f>
        <v>https://search-rtdc-monitor-bjffxe2xuh6vdkpspy63sjmuny.us-east-1.es.amazonaws.com/_plugin/kibana/#/discover/Steve-Slow-Train-Analysis-(2080s-and-2083s)?_g=(refreshInterval:(display:Off,section:0,value:0),time:(from:'2016-06-27 05:57:36-0600',mode:absolute,to:'2016-06-27 06:39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4" t="str">
        <f t="shared" si="2"/>
        <v>4024</v>
      </c>
    </row>
    <row r="53" spans="1:17" x14ac:dyDescent="0.25">
      <c r="A53" s="78">
        <v>42548.315034722225</v>
      </c>
      <c r="B53" s="66" t="s">
        <v>165</v>
      </c>
      <c r="C53" s="66" t="s">
        <v>268</v>
      </c>
      <c r="D53" s="66" t="s">
        <v>50</v>
      </c>
      <c r="E53" s="66" t="s">
        <v>51</v>
      </c>
      <c r="F53" s="66">
        <v>0</v>
      </c>
      <c r="G53" s="66">
        <v>7</v>
      </c>
      <c r="H53" s="66">
        <v>121</v>
      </c>
      <c r="I53" s="66" t="s">
        <v>52</v>
      </c>
      <c r="J53" s="66">
        <v>1</v>
      </c>
      <c r="K53" s="66" t="s">
        <v>54</v>
      </c>
      <c r="L53" s="16" t="str">
        <f>VLOOKUP(C53,'Trips&amp;Operators'!$C$2:$E$10000,3,FALSE)</f>
        <v>ROCHA</v>
      </c>
      <c r="M53" s="15"/>
      <c r="N53" s="16"/>
      <c r="O53" s="2"/>
      <c r="P53" s="54" t="str">
        <f>VLOOKUP(C53,'Train Runs'!$A$13:$V$156,22,0)</f>
        <v>https://search-rtdc-monitor-bjffxe2xuh6vdkpspy63sjmuny.us-east-1.es.amazonaws.com/_plugin/kibana/#/discover/Steve-Slow-Train-Analysis-(2080s-and-2083s)?_g=(refreshInterval:(display:Off,section:0,value:0),time:(from:'2016-06-27 06:54:42-0600',mode:absolute,to:'2016-06-27 07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3" s="14" t="str">
        <f t="shared" si="2"/>
        <v>4023</v>
      </c>
    </row>
    <row r="54" spans="1:17" x14ac:dyDescent="0.25">
      <c r="A54" s="18">
        <v>42548.357164351852</v>
      </c>
      <c r="B54" s="17" t="s">
        <v>185</v>
      </c>
      <c r="C54" s="17" t="s">
        <v>273</v>
      </c>
      <c r="D54" s="17" t="s">
        <v>50</v>
      </c>
      <c r="E54" s="17" t="s">
        <v>51</v>
      </c>
      <c r="F54" s="17">
        <v>0</v>
      </c>
      <c r="G54" s="17">
        <v>4</v>
      </c>
      <c r="H54" s="17">
        <v>1139</v>
      </c>
      <c r="I54" s="17" t="s">
        <v>52</v>
      </c>
      <c r="J54" s="17">
        <v>839</v>
      </c>
      <c r="K54" s="16" t="s">
        <v>54</v>
      </c>
      <c r="L54" s="16" t="str">
        <f>VLOOKUP(C54,'Trips&amp;Operators'!$C$2:$E$10000,3,FALSE)</f>
        <v>CANFIELD</v>
      </c>
      <c r="M54" s="15"/>
      <c r="N54" s="16"/>
      <c r="O54" s="2"/>
      <c r="P54" s="54" t="str">
        <f>VLOOKUP(C54,'Train Runs'!$A$13:$V$156,22,0)</f>
        <v>https://search-rtdc-monitor-bjffxe2xuh6vdkpspy63sjmuny.us-east-1.es.amazonaws.com/_plugin/kibana/#/discover/Steve-Slow-Train-Analysis-(2080s-and-2083s)?_g=(refreshInterval:(display:Off,section:0,value:0),time:(from:'2016-06-27 07:47:17-0600',mode:absolute,to:'2016-06-27 08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4" s="14" t="str">
        <f t="shared" si="2"/>
        <v>4013</v>
      </c>
    </row>
    <row r="55" spans="1:17" x14ac:dyDescent="0.25">
      <c r="A55" s="78">
        <v>42548.327766203707</v>
      </c>
      <c r="B55" s="66" t="s">
        <v>88</v>
      </c>
      <c r="C55" s="66" t="s">
        <v>269</v>
      </c>
      <c r="D55" s="66" t="s">
        <v>50</v>
      </c>
      <c r="E55" s="66" t="s">
        <v>51</v>
      </c>
      <c r="F55" s="66">
        <v>0</v>
      </c>
      <c r="G55" s="66">
        <v>5</v>
      </c>
      <c r="H55" s="66">
        <v>233314</v>
      </c>
      <c r="I55" s="66" t="s">
        <v>52</v>
      </c>
      <c r="J55" s="66">
        <v>233491</v>
      </c>
      <c r="K55" s="66" t="s">
        <v>53</v>
      </c>
      <c r="L55" s="16" t="str">
        <f>VLOOKUP(C55,'Trips&amp;Operators'!$C$2:$E$10000,3,FALSE)</f>
        <v>MALAVE</v>
      </c>
      <c r="M55" s="15"/>
      <c r="N55" s="16"/>
      <c r="O55" s="2"/>
      <c r="P55" s="54" t="str">
        <f>VLOOKUP(C55,'Train Runs'!$A$13:$V$156,22,0)</f>
        <v>https://search-rtdc-monitor-bjffxe2xuh6vdkpspy63sjmuny.us-east-1.es.amazonaws.com/_plugin/kibana/#/discover/Steve-Slow-Train-Analysis-(2080s-and-2083s)?_g=(refreshInterval:(display:Off,section:0,value:0),time:(from:'2016-06-27 07:13:00-0600',mode:absolute,to:'2016-06-27 07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5" s="14" t="str">
        <f t="shared" si="2"/>
        <v>4031</v>
      </c>
    </row>
    <row r="56" spans="1:17" x14ac:dyDescent="0.25">
      <c r="A56" s="78">
        <v>42548.368125000001</v>
      </c>
      <c r="B56" s="66" t="s">
        <v>70</v>
      </c>
      <c r="C56" s="66" t="s">
        <v>275</v>
      </c>
      <c r="D56" s="66" t="s">
        <v>50</v>
      </c>
      <c r="E56" s="66" t="s">
        <v>51</v>
      </c>
      <c r="F56" s="66">
        <v>0</v>
      </c>
      <c r="G56" s="66">
        <v>6</v>
      </c>
      <c r="H56" s="66">
        <v>110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MALAVE</v>
      </c>
      <c r="M56" s="15"/>
      <c r="N56" s="16"/>
      <c r="O56" s="2"/>
      <c r="P56" s="54" t="str">
        <f>VLOOKUP(C56,'Train Runs'!$A$13:$V$156,22,0)</f>
        <v>https://search-rtdc-monitor-bjffxe2xuh6vdkpspy63sjmuny.us-east-1.es.amazonaws.com/_plugin/kibana/#/discover/Steve-Slow-Train-Analysis-(2080s-and-2083s)?_g=(refreshInterval:(display:Off,section:0,value:0),time:(from:'2016-06-27 08:03:59-0600',mode:absolute,to:'2016-06-27 08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6" s="14" t="str">
        <f t="shared" si="2"/>
        <v>4032</v>
      </c>
    </row>
    <row r="57" spans="1:17" x14ac:dyDescent="0.25">
      <c r="A57" s="78">
        <v>42548.347361111111</v>
      </c>
      <c r="B57" s="66" t="s">
        <v>164</v>
      </c>
      <c r="C57" s="66" t="s">
        <v>270</v>
      </c>
      <c r="D57" s="66" t="s">
        <v>50</v>
      </c>
      <c r="E57" s="66" t="s">
        <v>51</v>
      </c>
      <c r="F57" s="66">
        <v>0</v>
      </c>
      <c r="G57" s="66">
        <v>157</v>
      </c>
      <c r="H57" s="66">
        <v>232871</v>
      </c>
      <c r="I57" s="66" t="s">
        <v>52</v>
      </c>
      <c r="J57" s="66">
        <v>233491</v>
      </c>
      <c r="K57" s="66" t="s">
        <v>53</v>
      </c>
      <c r="L57" s="16" t="str">
        <f>VLOOKUP(C57,'Trips&amp;Operators'!$C$2:$E$10000,3,FALSE)</f>
        <v>ROCHA</v>
      </c>
      <c r="M57" s="15"/>
      <c r="N57" s="16"/>
      <c r="O57" s="2"/>
      <c r="P57" s="54" t="str">
        <f>VLOOKUP(C57,'Train Runs'!$A$13:$V$156,22,0)</f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7" s="14" t="str">
        <f t="shared" si="2"/>
        <v>4024</v>
      </c>
    </row>
    <row r="58" spans="1:17" x14ac:dyDescent="0.25">
      <c r="A58" s="78">
        <v>42548.34783564815</v>
      </c>
      <c r="B58" s="66" t="s">
        <v>164</v>
      </c>
      <c r="C58" s="66" t="s">
        <v>270</v>
      </c>
      <c r="D58" s="66" t="s">
        <v>50</v>
      </c>
      <c r="E58" s="66" t="s">
        <v>51</v>
      </c>
      <c r="F58" s="66">
        <v>0</v>
      </c>
      <c r="G58" s="66">
        <v>6</v>
      </c>
      <c r="H58" s="66">
        <v>233065</v>
      </c>
      <c r="I58" s="66" t="s">
        <v>52</v>
      </c>
      <c r="J58" s="66">
        <v>233491</v>
      </c>
      <c r="K58" s="66" t="s">
        <v>53</v>
      </c>
      <c r="L58" s="16" t="str">
        <f>VLOOKUP(C58,'Trips&amp;Operators'!$C$2:$E$10000,3,FALSE)</f>
        <v>ROCHA</v>
      </c>
      <c r="M58" s="15"/>
      <c r="N58" s="16"/>
      <c r="O58" s="2"/>
      <c r="P58" s="54" t="str">
        <f>VLOOKUP(C58,'Train Runs'!$A$13:$V$156,22,0)</f>
        <v>https://search-rtdc-monitor-bjffxe2xuh6vdkpspy63sjmuny.us-east-1.es.amazonaws.com/_plugin/kibana/#/discover/Steve-Slow-Train-Analysis-(2080s-and-2083s)?_g=(refreshInterval:(display:Off,section:0,value:0),time:(from:'2016-06-27 07:42:00-0600',mode:absolute,to:'2016-06-27 08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8" s="14" t="str">
        <f t="shared" ref="Q58:Q68" si="3">MID(B58,13,4)</f>
        <v>4024</v>
      </c>
    </row>
    <row r="59" spans="1:17" x14ac:dyDescent="0.25">
      <c r="A59" s="78">
        <v>42548.420798611114</v>
      </c>
      <c r="B59" s="66" t="s">
        <v>165</v>
      </c>
      <c r="C59" s="66" t="s">
        <v>278</v>
      </c>
      <c r="D59" s="66" t="s">
        <v>50</v>
      </c>
      <c r="E59" s="66" t="s">
        <v>51</v>
      </c>
      <c r="F59" s="66">
        <v>0</v>
      </c>
      <c r="G59" s="66">
        <v>8</v>
      </c>
      <c r="H59" s="66">
        <v>233346</v>
      </c>
      <c r="I59" s="66" t="s">
        <v>52</v>
      </c>
      <c r="J59" s="66">
        <v>233491</v>
      </c>
      <c r="K59" s="66" t="s">
        <v>53</v>
      </c>
      <c r="L59" s="16" t="str">
        <f>VLOOKUP(C59,'Trips&amp;Operators'!$C$2:$E$10000,3,FALSE)</f>
        <v>ROCHA</v>
      </c>
      <c r="M59" s="15"/>
      <c r="N59" s="16"/>
      <c r="O59" s="2"/>
      <c r="P59" s="54" t="str">
        <f>VLOOKUP(C59,'Train Runs'!$A$13:$V$156,22,0)</f>
        <v>https://search-rtdc-monitor-bjffxe2xuh6vdkpspy63sjmuny.us-east-1.es.amazonaws.com/_plugin/kibana/#/discover/Steve-Slow-Train-Analysis-(2080s-and-2083s)?_g=(refreshInterval:(display:Off,section:0,value:0),time:(from:'2016-06-27 08:38:36-0600',mode:absolute,to:'2016-06-27 09:25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9" s="14" t="str">
        <f t="shared" si="3"/>
        <v>4023</v>
      </c>
    </row>
    <row r="60" spans="1:17" x14ac:dyDescent="0.25">
      <c r="A60" s="78">
        <v>42548.409918981481</v>
      </c>
      <c r="B60" s="66" t="s">
        <v>183</v>
      </c>
      <c r="C60" s="66" t="s">
        <v>279</v>
      </c>
      <c r="D60" s="66" t="s">
        <v>50</v>
      </c>
      <c r="E60" s="66" t="s">
        <v>51</v>
      </c>
      <c r="F60" s="66">
        <v>0</v>
      </c>
      <c r="G60" s="66">
        <v>51</v>
      </c>
      <c r="H60" s="66">
        <v>191</v>
      </c>
      <c r="I60" s="66" t="s">
        <v>52</v>
      </c>
      <c r="J60" s="66">
        <v>1</v>
      </c>
      <c r="K60" s="66" t="s">
        <v>54</v>
      </c>
      <c r="L60" s="16" t="str">
        <f>VLOOKUP(C60,'Trips&amp;Operators'!$C$2:$E$10000,3,FALSE)</f>
        <v>SPECTOR</v>
      </c>
      <c r="M60" s="15"/>
      <c r="N60" s="16"/>
      <c r="O60" s="2"/>
      <c r="P60" s="54" t="str">
        <f>VLOOKUP(C60,'Train Runs'!$A$13:$V$156,22,0)</f>
        <v>https://search-rtdc-monitor-bjffxe2xuh6vdkpspy63sjmuny.us-east-1.es.amazonaws.com/_plugin/kibana/#/discover/Steve-Slow-Train-Analysis-(2080s-and-2083s)?_g=(refreshInterval:(display:Off,section:0,value:0),time:(from:'2016-06-27 09:01:22-0600',mode:absolute,to:'2016-06-27 09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0" s="14" t="str">
        <f t="shared" si="3"/>
        <v>4026</v>
      </c>
    </row>
    <row r="61" spans="1:17" x14ac:dyDescent="0.25">
      <c r="A61" s="78">
        <v>42548.442870370367</v>
      </c>
      <c r="B61" s="66" t="s">
        <v>186</v>
      </c>
      <c r="C61" s="66" t="s">
        <v>281</v>
      </c>
      <c r="D61" s="66" t="s">
        <v>50</v>
      </c>
      <c r="E61" s="66" t="s">
        <v>51</v>
      </c>
      <c r="F61" s="66">
        <v>0</v>
      </c>
      <c r="G61" s="66">
        <v>94</v>
      </c>
      <c r="H61" s="66">
        <v>233127</v>
      </c>
      <c r="I61" s="66" t="s">
        <v>52</v>
      </c>
      <c r="J61" s="66">
        <v>233491</v>
      </c>
      <c r="K61" s="66" t="s">
        <v>53</v>
      </c>
      <c r="L61" s="16" t="str">
        <f>VLOOKUP(C61,'Trips&amp;Operators'!$C$2:$E$10000,3,FALSE)</f>
        <v>SPECTOR</v>
      </c>
      <c r="M61" s="15"/>
      <c r="N61" s="16"/>
      <c r="O61" s="2"/>
      <c r="P61" s="54" t="str">
        <f>VLOOKUP(C61,'Train Runs'!$A$13:$V$156,22,0)</f>
        <v>https://search-rtdc-monitor-bjffxe2xuh6vdkpspy63sjmuny.us-east-1.es.amazonaws.com/_plugin/kibana/#/discover/Steve-Slow-Train-Analysis-(2080s-and-2083s)?_g=(refreshInterval:(display:Off,section:0,value:0),time:(from:'2016-06-27 09:54:58-0600',mode:absolute,to:'2016-06-27 10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1" s="14" t="str">
        <f t="shared" si="3"/>
        <v>4025</v>
      </c>
    </row>
    <row r="62" spans="1:17" x14ac:dyDescent="0.25">
      <c r="A62" s="78">
        <v>42548.494409722225</v>
      </c>
      <c r="B62" s="66" t="s">
        <v>285</v>
      </c>
      <c r="C62" s="66" t="s">
        <v>286</v>
      </c>
      <c r="D62" s="66" t="s">
        <v>50</v>
      </c>
      <c r="E62" s="66" t="s">
        <v>51</v>
      </c>
      <c r="F62" s="66">
        <v>0</v>
      </c>
      <c r="G62" s="66">
        <v>3</v>
      </c>
      <c r="H62" s="66">
        <v>125</v>
      </c>
      <c r="I62" s="66" t="s">
        <v>52</v>
      </c>
      <c r="J62" s="66">
        <v>1</v>
      </c>
      <c r="K62" s="66" t="s">
        <v>54</v>
      </c>
      <c r="L62" s="16" t="str">
        <f>VLOOKUP(C62,'Trips&amp;Operators'!$C$2:$E$10000,3,FALSE)</f>
        <v>ACKERMAN</v>
      </c>
      <c r="M62" s="15"/>
      <c r="N62" s="16"/>
      <c r="O62" s="2"/>
      <c r="P62" s="54" t="str">
        <f>VLOOKUP(C62,'Train Runs'!$A$13:$V$156,22,0)</f>
        <v>https://search-rtdc-monitor-bjffxe2xuh6vdkpspy63sjmuny.us-east-1.es.amazonaws.com/_plugin/kibana/#/discover/Steve-Slow-Train-Analysis-(2080s-and-2083s)?_g=(refreshInterval:(display:Off,section:0,value:0),time:(from:'2016-06-27 11:00:15-0600',mode:absolute,to:'2016-06-27 11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2" s="14" t="str">
        <f t="shared" si="3"/>
        <v>4030</v>
      </c>
    </row>
    <row r="63" spans="1:17" x14ac:dyDescent="0.25">
      <c r="A63" s="78">
        <v>42548.526377314818</v>
      </c>
      <c r="B63" s="66" t="s">
        <v>251</v>
      </c>
      <c r="C63" s="66" t="s">
        <v>288</v>
      </c>
      <c r="D63" s="66" t="s">
        <v>50</v>
      </c>
      <c r="E63" s="66" t="s">
        <v>51</v>
      </c>
      <c r="F63" s="66">
        <v>0</v>
      </c>
      <c r="G63" s="66">
        <v>54</v>
      </c>
      <c r="H63" s="66">
        <v>233300</v>
      </c>
      <c r="I63" s="66" t="s">
        <v>52</v>
      </c>
      <c r="J63" s="66">
        <v>233491</v>
      </c>
      <c r="K63" s="66" t="s">
        <v>53</v>
      </c>
      <c r="L63" s="16" t="str">
        <f>VLOOKUP(C63,'Trips&amp;Operators'!$C$2:$E$10000,3,FALSE)</f>
        <v>ACKERMAN</v>
      </c>
      <c r="M63" s="15"/>
      <c r="N63" s="16"/>
      <c r="O63" s="2"/>
      <c r="P63" s="54" t="str">
        <f>VLOOKUP(C63,'Train Runs'!$A$13:$V$156,22,0)</f>
        <v>https://search-rtdc-monitor-bjffxe2xuh6vdkpspy63sjmuny.us-east-1.es.amazonaws.com/_plugin/kibana/#/discover/Steve-Slow-Train-Analysis-(2080s-and-2083s)?_g=(refreshInterval:(display:Off,section:0,value:0),time:(from:'2016-06-27 11:53:19-0600',mode:absolute,to:'2016-06-27 12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3" s="14" t="str">
        <f t="shared" si="3"/>
        <v>4029</v>
      </c>
    </row>
    <row r="64" spans="1:17" x14ac:dyDescent="0.25">
      <c r="A64" s="78">
        <v>42548.600312499999</v>
      </c>
      <c r="B64" s="66" t="s">
        <v>86</v>
      </c>
      <c r="C64" s="66" t="s">
        <v>297</v>
      </c>
      <c r="D64" s="66" t="s">
        <v>50</v>
      </c>
      <c r="E64" s="66" t="s">
        <v>51</v>
      </c>
      <c r="F64" s="66">
        <v>0</v>
      </c>
      <c r="G64" s="66">
        <v>2</v>
      </c>
      <c r="H64" s="66">
        <v>1156</v>
      </c>
      <c r="I64" s="66" t="s">
        <v>52</v>
      </c>
      <c r="J64" s="66">
        <v>839</v>
      </c>
      <c r="K64" s="66" t="s">
        <v>54</v>
      </c>
      <c r="L64" s="16" t="str">
        <f>VLOOKUP(C64,'Trips&amp;Operators'!$C$2:$E$10000,3,FALSE)</f>
        <v>DAVIS</v>
      </c>
      <c r="M64" s="66"/>
      <c r="N64" s="66"/>
      <c r="O64" s="2"/>
      <c r="P64" s="54" t="str">
        <f>VLOOKUP(C64,'Train Runs'!$A$13:$V$156,22,0)</f>
        <v>https://search-rtdc-monitor-bjffxe2xuh6vdkpspy63sjmuny.us-east-1.es.amazonaws.com/_plugin/kibana/#/discover/Steve-Slow-Train-Analysis-(2080s-and-2083s)?_g=(refreshInterval:(display:Off,section:0,value:0),time:(from:'2016-06-27 13:38:40-0600',mode:absolute,to:'2016-06-27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4" s="14" t="str">
        <f t="shared" si="3"/>
        <v>4008</v>
      </c>
    </row>
    <row r="65" spans="1:17" x14ac:dyDescent="0.25">
      <c r="A65" s="78">
        <v>42548.610925925925</v>
      </c>
      <c r="B65" s="66" t="s">
        <v>185</v>
      </c>
      <c r="C65" s="66" t="s">
        <v>298</v>
      </c>
      <c r="D65" s="66" t="s">
        <v>50</v>
      </c>
      <c r="E65" s="66" t="s">
        <v>51</v>
      </c>
      <c r="F65" s="66">
        <v>0</v>
      </c>
      <c r="G65" s="66">
        <v>54</v>
      </c>
      <c r="H65" s="66">
        <v>160</v>
      </c>
      <c r="I65" s="66" t="s">
        <v>52</v>
      </c>
      <c r="J65" s="66">
        <v>1</v>
      </c>
      <c r="K65" s="66" t="s">
        <v>54</v>
      </c>
      <c r="L65" s="16" t="str">
        <f>VLOOKUP(C65,'Trips&amp;Operators'!$C$2:$E$10000,3,FALSE)</f>
        <v>STAMBAUGH</v>
      </c>
      <c r="M65" s="66"/>
      <c r="N65" s="66"/>
      <c r="O65" s="2"/>
      <c r="P65" s="54" t="str">
        <f>VLOOKUP(C65,'Train Runs'!$A$13:$V$156,22,0)</f>
        <v>https://search-rtdc-monitor-bjffxe2xuh6vdkpspy63sjmuny.us-east-1.es.amazonaws.com/_plugin/kibana/#/discover/Steve-Slow-Train-Analysis-(2080s-and-2083s)?_g=(refreshInterval:(display:Off,section:0,value:0),time:(from:'2016-06-27 13:52:35-0600',mode:absolute,to:'2016-06-27 14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65" s="14" t="str">
        <f t="shared" si="3"/>
        <v>4013</v>
      </c>
    </row>
    <row r="66" spans="1:17" x14ac:dyDescent="0.25">
      <c r="A66" s="78">
        <v>42548.58971064815</v>
      </c>
      <c r="B66" s="66" t="s">
        <v>186</v>
      </c>
      <c r="C66" s="66" t="s">
        <v>294</v>
      </c>
      <c r="D66" s="66" t="s">
        <v>50</v>
      </c>
      <c r="E66" s="66" t="s">
        <v>51</v>
      </c>
      <c r="F66" s="66">
        <v>0</v>
      </c>
      <c r="G66" s="66">
        <v>9</v>
      </c>
      <c r="H66" s="66">
        <v>233370</v>
      </c>
      <c r="I66" s="66" t="s">
        <v>52</v>
      </c>
      <c r="J66" s="66">
        <v>233491</v>
      </c>
      <c r="K66" s="66" t="s">
        <v>53</v>
      </c>
      <c r="L66" s="16" t="str">
        <f>VLOOKUP(C66,'Trips&amp;Operators'!$C$2:$E$10000,3,FALSE)</f>
        <v>LOCKLEAR</v>
      </c>
      <c r="M66" s="66"/>
      <c r="N66" s="66"/>
      <c r="O66" s="2"/>
      <c r="P66" s="54" t="str">
        <f>VLOOKUP(C66,'Train Runs'!$A$13:$V$156,22,0)</f>
        <v>https://search-rtdc-monitor-bjffxe2xuh6vdkpspy63sjmuny.us-east-1.es.amazonaws.com/_plugin/kibana/#/discover/Steve-Slow-Train-Analysis-(2080s-and-2083s)?_g=(refreshInterval:(display:Off,section:0,value:0),time:(from:'2016-06-27 13:25:40-0600',mode:absolute,to:'2016-06-27 14:10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6" s="14" t="str">
        <f t="shared" si="3"/>
        <v>4025</v>
      </c>
    </row>
    <row r="67" spans="1:17" x14ac:dyDescent="0.25">
      <c r="A67" s="78">
        <v>42548.627881944441</v>
      </c>
      <c r="B67" s="66" t="s">
        <v>183</v>
      </c>
      <c r="C67" s="66" t="s">
        <v>301</v>
      </c>
      <c r="D67" s="66" t="s">
        <v>50</v>
      </c>
      <c r="E67" s="66" t="s">
        <v>51</v>
      </c>
      <c r="F67" s="66">
        <v>0</v>
      </c>
      <c r="G67" s="66">
        <v>6</v>
      </c>
      <c r="H67" s="66">
        <v>141</v>
      </c>
      <c r="I67" s="66" t="s">
        <v>52</v>
      </c>
      <c r="J67" s="66">
        <v>1</v>
      </c>
      <c r="K67" s="66" t="s">
        <v>54</v>
      </c>
      <c r="L67" s="16" t="str">
        <f>VLOOKUP(C67,'Trips&amp;Operators'!$C$2:$E$10000,3,FALSE)</f>
        <v>LOCKLEAR</v>
      </c>
      <c r="M67" s="66"/>
      <c r="N67" s="66"/>
      <c r="O67" s="2"/>
      <c r="P67" s="54" t="str">
        <f>VLOOKUP(C67,'Train Runs'!$A$13:$V$156,22,0)</f>
        <v>https://search-rtdc-monitor-bjffxe2xuh6vdkpspy63sjmuny.us-east-1.es.amazonaws.com/_plugin/kibana/#/discover/Steve-Slow-Train-Analysis-(2080s-and-2083s)?_g=(refreshInterval:(display:Off,section:0,value:0),time:(from:'2016-06-27 14:21:12-0600',mode:absolute,to:'2016-06-27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67" s="14" t="str">
        <f t="shared" si="3"/>
        <v>4026</v>
      </c>
    </row>
    <row r="68" spans="1:17" x14ac:dyDescent="0.25">
      <c r="A68" s="78">
        <v>42548.599189814813</v>
      </c>
      <c r="B68" s="66" t="s">
        <v>251</v>
      </c>
      <c r="C68" s="66" t="s">
        <v>296</v>
      </c>
      <c r="D68" s="66" t="s">
        <v>50</v>
      </c>
      <c r="E68" s="66" t="s">
        <v>51</v>
      </c>
      <c r="F68" s="66">
        <v>0</v>
      </c>
      <c r="G68" s="66">
        <v>31</v>
      </c>
      <c r="H68" s="66">
        <v>233378</v>
      </c>
      <c r="I68" s="66" t="s">
        <v>52</v>
      </c>
      <c r="J68" s="66">
        <v>233491</v>
      </c>
      <c r="K68" s="66" t="s">
        <v>53</v>
      </c>
      <c r="L68" s="16" t="str">
        <f>VLOOKUP(C68,'Trips&amp;Operators'!$C$2:$E$10000,3,FALSE)</f>
        <v>ACKERMAN</v>
      </c>
      <c r="M68" s="66"/>
      <c r="N68" s="66"/>
      <c r="O68" s="2"/>
      <c r="P68" s="54" t="str">
        <f>VLOOKUP(C68,'Train Runs'!$A$13:$V$156,22,0)</f>
        <v>https://search-rtdc-monitor-bjffxe2xuh6vdkpspy63sjmuny.us-east-1.es.amazonaws.com/_plugin/kibana/#/discover/Steve-Slow-Train-Analysis-(2080s-and-2083s)?_g=(refreshInterval:(display:Off,section:0,value:0),time:(from:'2016-06-27 13:41:36-0600',mode:absolute,to:'2016-06-27 14:23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8" s="14" t="str">
        <f t="shared" si="3"/>
        <v>4029</v>
      </c>
    </row>
    <row r="69" spans="1:17" x14ac:dyDescent="0.25">
      <c r="A69" s="78">
        <v>42548.649502314816</v>
      </c>
      <c r="B69" s="66" t="s">
        <v>187</v>
      </c>
      <c r="C69" s="66" t="s">
        <v>304</v>
      </c>
      <c r="D69" s="66" t="s">
        <v>50</v>
      </c>
      <c r="E69" s="66" t="s">
        <v>51</v>
      </c>
      <c r="F69" s="66">
        <v>0</v>
      </c>
      <c r="G69" s="66">
        <v>89</v>
      </c>
      <c r="H69" s="66">
        <v>367</v>
      </c>
      <c r="I69" s="66" t="s">
        <v>52</v>
      </c>
      <c r="J69" s="66">
        <v>1</v>
      </c>
      <c r="K69" s="66" t="s">
        <v>54</v>
      </c>
      <c r="L69" s="16" t="str">
        <f>VLOOKUP(C69,'Trips&amp;Operators'!$C$2:$E$10000,3,FALSE)</f>
        <v>SHOOK</v>
      </c>
      <c r="M69" s="66"/>
      <c r="N69" s="66"/>
      <c r="P69" s="54" t="str">
        <f>VLOOKUP(C69,'Train Runs'!$A$13:$V$156,22,0)</f>
        <v>https://search-rtdc-monitor-bjffxe2xuh6vdkpspy63sjmuny.us-east-1.es.amazonaws.com/_plugin/kibana/#/discover/Steve-Slow-Train-Analysis-(2080s-and-2083s)?_g=(refreshInterval:(display:Off,section:0,value:0),time:(from:'2016-06-27 14:52:01-0600',mode:absolute,to:'2016-06-27 15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9" s="14" t="str">
        <f t="shared" ref="Q69:Q89" si="4">MID(B69,13,4)</f>
        <v>4028</v>
      </c>
    </row>
    <row r="70" spans="1:17" x14ac:dyDescent="0.25">
      <c r="A70" s="78">
        <v>42548.674004629633</v>
      </c>
      <c r="B70" s="66" t="s">
        <v>165</v>
      </c>
      <c r="C70" s="66" t="s">
        <v>307</v>
      </c>
      <c r="D70" s="66" t="s">
        <v>50</v>
      </c>
      <c r="E70" s="66" t="s">
        <v>51</v>
      </c>
      <c r="F70" s="66">
        <v>0</v>
      </c>
      <c r="G70" s="66">
        <v>40</v>
      </c>
      <c r="H70" s="66">
        <v>127</v>
      </c>
      <c r="I70" s="66" t="s">
        <v>52</v>
      </c>
      <c r="J70" s="66">
        <v>1</v>
      </c>
      <c r="K70" s="66" t="s">
        <v>54</v>
      </c>
      <c r="L70" s="16" t="str">
        <f>VLOOKUP(C70,'Trips&amp;Operators'!$C$2:$E$10000,3,FALSE)</f>
        <v>DAVIS</v>
      </c>
      <c r="M70" s="66"/>
      <c r="N70" s="66"/>
      <c r="P70" s="54" t="str">
        <f>VLOOKUP(C70,'Train Runs'!$A$13:$V$156,22,0)</f>
        <v>https://search-rtdc-monitor-bjffxe2xuh6vdkpspy63sjmuny.us-east-1.es.amazonaws.com/_plugin/kibana/#/discover/Steve-Slow-Train-Analysis-(2080s-and-2083s)?_g=(refreshInterval:(display:Off,section:0,value:0),time:(from:'2016-06-27 15:20:56-0600',mode:absolute,to:'2016-06-27 16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70" s="14" t="str">
        <f t="shared" si="4"/>
        <v>4023</v>
      </c>
    </row>
    <row r="71" spans="1:17" x14ac:dyDescent="0.25">
      <c r="A71" s="78">
        <v>42548.652719907404</v>
      </c>
      <c r="B71" s="66" t="s">
        <v>141</v>
      </c>
      <c r="C71" s="66" t="s">
        <v>302</v>
      </c>
      <c r="D71" s="66" t="s">
        <v>50</v>
      </c>
      <c r="E71" s="66" t="s">
        <v>51</v>
      </c>
      <c r="F71" s="66">
        <v>0</v>
      </c>
      <c r="G71" s="66">
        <v>9</v>
      </c>
      <c r="H71" s="66">
        <v>233325</v>
      </c>
      <c r="I71" s="66" t="s">
        <v>52</v>
      </c>
      <c r="J71" s="66">
        <v>233491</v>
      </c>
      <c r="K71" s="66" t="s">
        <v>53</v>
      </c>
      <c r="L71" s="16" t="str">
        <f>VLOOKUP(C71,'Trips&amp;Operators'!$C$2:$E$10000,3,FALSE)</f>
        <v>MOSES</v>
      </c>
      <c r="M71" s="66"/>
      <c r="N71" s="66"/>
      <c r="P71" s="54" t="str">
        <f>VLOOKUP(C71,'Train Runs'!$A$13:$V$156,22,0)</f>
        <v>https://search-rtdc-monitor-bjffxe2xuh6vdkpspy63sjmuny.us-east-1.es.amazonaws.com/_plugin/kibana/#/discover/Steve-Slow-Train-Analysis-(2080s-and-2083s)?_g=(refreshInterval:(display:Off,section:0,value:0),time:(from:'2016-06-27 14:53:41-0600',mode:absolute,to:'2016-06-27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71" s="14" t="str">
        <f t="shared" si="4"/>
        <v>4038</v>
      </c>
    </row>
    <row r="72" spans="1:17" x14ac:dyDescent="0.25">
      <c r="A72" s="78">
        <v>42548.702164351853</v>
      </c>
      <c r="B72" s="66" t="s">
        <v>183</v>
      </c>
      <c r="C72" s="66" t="s">
        <v>308</v>
      </c>
      <c r="D72" s="66" t="s">
        <v>50</v>
      </c>
      <c r="E72" s="66" t="s">
        <v>51</v>
      </c>
      <c r="F72" s="66">
        <v>0</v>
      </c>
      <c r="G72" s="66">
        <v>8</v>
      </c>
      <c r="H72" s="66">
        <v>1145</v>
      </c>
      <c r="I72" s="66" t="s">
        <v>52</v>
      </c>
      <c r="J72" s="66">
        <v>839</v>
      </c>
      <c r="K72" s="66" t="s">
        <v>54</v>
      </c>
      <c r="L72" s="16" t="str">
        <f>VLOOKUP(C72,'Trips&amp;Operators'!$C$2:$E$10000,3,FALSE)</f>
        <v>LOCKLEAR</v>
      </c>
      <c r="M72" s="66"/>
      <c r="N72" s="66"/>
      <c r="P72" s="54" t="str">
        <f>VLOOKUP(C72,'Train Runs'!$A$13:$V$156,22,0)</f>
        <v>https://search-rtdc-monitor-bjffxe2xuh6vdkpspy63sjmuny.us-east-1.es.amazonaws.com/_plugin/kibana/#/discover/Steve-Slow-Train-Analysis-(2080s-and-2083s)?_g=(refreshInterval:(display:Off,section:0,value:0),time:(from:'2016-06-27 16:06:04-0600',mode:absolute,to:'2016-06-27 16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72" s="14" t="str">
        <f t="shared" si="4"/>
        <v>4026</v>
      </c>
    </row>
    <row r="73" spans="1:17" x14ac:dyDescent="0.25">
      <c r="A73" s="78">
        <v>42548.671400462961</v>
      </c>
      <c r="B73" s="66" t="s">
        <v>251</v>
      </c>
      <c r="C73" s="66" t="s">
        <v>306</v>
      </c>
      <c r="D73" s="66" t="s">
        <v>50</v>
      </c>
      <c r="E73" s="66" t="s">
        <v>51</v>
      </c>
      <c r="F73" s="66">
        <v>0</v>
      </c>
      <c r="G73" s="66">
        <v>41</v>
      </c>
      <c r="H73" s="66">
        <v>233374</v>
      </c>
      <c r="I73" s="66" t="s">
        <v>52</v>
      </c>
      <c r="J73" s="66">
        <v>233491</v>
      </c>
      <c r="K73" s="66" t="s">
        <v>53</v>
      </c>
      <c r="L73" s="16" t="str">
        <f>VLOOKUP(C73,'Trips&amp;Operators'!$C$2:$E$10000,3,FALSE)</f>
        <v>ACKERMAN</v>
      </c>
      <c r="M73" s="66"/>
      <c r="N73" s="66"/>
      <c r="P73" s="54" t="str">
        <f>VLOOKUP(C73,'Train Runs'!$A$13:$V$156,22,0)</f>
        <v>https://search-rtdc-monitor-bjffxe2xuh6vdkpspy63sjmuny.us-east-1.es.amazonaws.com/_plugin/kibana/#/discover/Steve-Slow-Train-Analysis-(2080s-and-2083s)?_g=(refreshInterval:(display:Off,section:0,value:0),time:(from:'2016-06-27 15:25:33-0600',mode:absolute,to:'2016-06-27 16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3" s="14" t="str">
        <f t="shared" si="4"/>
        <v>4029</v>
      </c>
    </row>
    <row r="74" spans="1:17" x14ac:dyDescent="0.25">
      <c r="A74" s="78">
        <v>42548.747465277775</v>
      </c>
      <c r="B74" s="66" t="s">
        <v>251</v>
      </c>
      <c r="C74" s="66" t="s">
        <v>314</v>
      </c>
      <c r="D74" s="66" t="s">
        <v>50</v>
      </c>
      <c r="E74" s="66" t="s">
        <v>51</v>
      </c>
      <c r="F74" s="66">
        <v>0</v>
      </c>
      <c r="G74" s="66">
        <v>18</v>
      </c>
      <c r="H74" s="66">
        <v>233443</v>
      </c>
      <c r="I74" s="66" t="s">
        <v>52</v>
      </c>
      <c r="J74" s="66">
        <v>233491</v>
      </c>
      <c r="K74" s="66" t="s">
        <v>53</v>
      </c>
      <c r="L74" s="16" t="str">
        <f>VLOOKUP(C74,'Trips&amp;Operators'!$C$2:$E$10000,3,FALSE)</f>
        <v>YOUNG</v>
      </c>
      <c r="M74" s="66"/>
      <c r="N74" s="66"/>
      <c r="P74" s="54" t="str">
        <f>VLOOKUP(C74,'Train Runs'!$A$13:$V$156,22,0)</f>
        <v>https://search-rtdc-monitor-bjffxe2xuh6vdkpspy63sjmuny.us-east-1.es.amazonaws.com/_plugin/kibana/#/discover/Steve-Slow-Train-Analysis-(2080s-and-2083s)?_g=(refreshInterval:(display:Off,section:0,value:0),time:(from:'2016-06-27 17:13:00-0600',mode:absolute,to:'2016-06-27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4" s="14" t="str">
        <f t="shared" si="4"/>
        <v>4029</v>
      </c>
    </row>
    <row r="75" spans="1:17" x14ac:dyDescent="0.25">
      <c r="A75" s="78">
        <v>42548.754733796297</v>
      </c>
      <c r="B75" s="66" t="s">
        <v>317</v>
      </c>
      <c r="C75" s="66" t="s">
        <v>318</v>
      </c>
      <c r="D75" s="66" t="s">
        <v>50</v>
      </c>
      <c r="E75" s="66" t="s">
        <v>51</v>
      </c>
      <c r="F75" s="66">
        <v>0</v>
      </c>
      <c r="G75" s="66">
        <v>28</v>
      </c>
      <c r="H75" s="66">
        <v>233400</v>
      </c>
      <c r="I75" s="66" t="s">
        <v>52</v>
      </c>
      <c r="J75" s="66">
        <v>233491</v>
      </c>
      <c r="K75" s="66" t="s">
        <v>53</v>
      </c>
      <c r="L75" s="16" t="str">
        <f>VLOOKUP(C75,'Trips&amp;Operators'!$C$2:$E$10000,3,FALSE)</f>
        <v>SHOOK</v>
      </c>
      <c r="M75" s="66"/>
      <c r="N75" s="66"/>
      <c r="P75" s="54" t="str">
        <f>VLOOKUP(C75,'Train Runs'!$A$13:$V$156,22,0)</f>
        <v>https://search-rtdc-monitor-bjffxe2xuh6vdkpspy63sjmuny.us-east-1.es.amazonaws.com/_plugin/kibana/#/discover/Steve-Slow-Train-Analysis-(2080s-and-2083s)?_g=(refreshInterval:(display:Off,section:0,value:0),time:(from:'2016-06-27 17:23:59-0600',mode:absolute,to:'2016-06-27 18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5" s="14" t="str">
        <f t="shared" si="4"/>
        <v>4027</v>
      </c>
    </row>
    <row r="76" spans="1:17" x14ac:dyDescent="0.25">
      <c r="A76" s="78">
        <v>42548.77753472222</v>
      </c>
      <c r="B76" s="66" t="s">
        <v>164</v>
      </c>
      <c r="C76" s="66" t="s">
        <v>319</v>
      </c>
      <c r="D76" s="66" t="s">
        <v>50</v>
      </c>
      <c r="E76" s="66" t="s">
        <v>51</v>
      </c>
      <c r="F76" s="66">
        <v>0</v>
      </c>
      <c r="G76" s="66">
        <v>9</v>
      </c>
      <c r="H76" s="66">
        <v>233259</v>
      </c>
      <c r="I76" s="66" t="s">
        <v>52</v>
      </c>
      <c r="J76" s="66">
        <v>233491</v>
      </c>
      <c r="K76" s="66" t="s">
        <v>53</v>
      </c>
      <c r="L76" s="16" t="str">
        <f>VLOOKUP(C76,'Trips&amp;Operators'!$C$2:$E$10000,3,FALSE)</f>
        <v>DAVIS</v>
      </c>
      <c r="M76" s="66"/>
      <c r="N76" s="66"/>
      <c r="P76" s="54" t="str">
        <f>VLOOKUP(C76,'Train Runs'!$A$13:$V$156,22,0)</f>
        <v>https://search-rtdc-monitor-bjffxe2xuh6vdkpspy63sjmuny.us-east-1.es.amazonaws.com/_plugin/kibana/#/discover/Steve-Slow-Train-Analysis-(2080s-and-2083s)?_g=(refreshInterval:(display:Off,section:0,value:0),time:(from:'2016-06-27 17:54:19-0600',mode:absolute,to:'2016-06-27 18:41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6" s="14" t="str">
        <f t="shared" si="4"/>
        <v>4024</v>
      </c>
    </row>
    <row r="77" spans="1:17" x14ac:dyDescent="0.25">
      <c r="A77" s="78">
        <v>42548.785787037035</v>
      </c>
      <c r="B77" s="66" t="s">
        <v>320</v>
      </c>
      <c r="C77" s="66" t="s">
        <v>321</v>
      </c>
      <c r="D77" s="66" t="s">
        <v>50</v>
      </c>
      <c r="E77" s="66" t="s">
        <v>51</v>
      </c>
      <c r="F77" s="66">
        <v>0</v>
      </c>
      <c r="G77" s="66">
        <v>6</v>
      </c>
      <c r="H77" s="66">
        <v>233278</v>
      </c>
      <c r="I77" s="66" t="s">
        <v>52</v>
      </c>
      <c r="J77" s="66">
        <v>233491</v>
      </c>
      <c r="K77" s="66" t="s">
        <v>53</v>
      </c>
      <c r="L77" s="16" t="str">
        <f>VLOOKUP(C77,'Trips&amp;Operators'!$C$2:$E$10000,3,FALSE)</f>
        <v>BRUDER</v>
      </c>
      <c r="M77" s="66"/>
      <c r="N77" s="66"/>
      <c r="P77" s="54" t="str">
        <f>VLOOKUP(C77,'Train Runs'!$A$13:$V$156,22,0)</f>
        <v>https://search-rtdc-monitor-bjffxe2xuh6vdkpspy63sjmuny.us-east-1.es.amazonaws.com/_plugin/kibana/#/discover/Steve-Slow-Train-Analysis-(2080s-and-2083s)?_g=(refreshInterval:(display:Off,section:0,value:0),time:(from:'2016-06-27 18:09:25-0600',mode:absolute,to:'2016-06-27 18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7" s="14" t="str">
        <f t="shared" si="4"/>
        <v>4040</v>
      </c>
    </row>
    <row r="78" spans="1:17" x14ac:dyDescent="0.25">
      <c r="A78" s="78">
        <v>42548.819340277776</v>
      </c>
      <c r="B78" s="66" t="s">
        <v>251</v>
      </c>
      <c r="C78" s="66" t="s">
        <v>323</v>
      </c>
      <c r="D78" s="66" t="s">
        <v>50</v>
      </c>
      <c r="E78" s="66" t="s">
        <v>51</v>
      </c>
      <c r="F78" s="66">
        <v>0</v>
      </c>
      <c r="G78" s="66">
        <v>6</v>
      </c>
      <c r="H78" s="66">
        <v>233433</v>
      </c>
      <c r="I78" s="66" t="s">
        <v>52</v>
      </c>
      <c r="J78" s="66">
        <v>233491</v>
      </c>
      <c r="K78" s="66" t="s">
        <v>53</v>
      </c>
      <c r="L78" s="16" t="str">
        <f>VLOOKUP(C78,'Trips&amp;Operators'!$C$2:$E$10000,3,FALSE)</f>
        <v>YOUNG</v>
      </c>
      <c r="M78" s="66"/>
      <c r="N78" s="66"/>
      <c r="P78" s="54" t="str">
        <f>VLOOKUP(C78,'Train Runs'!$A$13:$V$156,22,0)</f>
        <v>https://search-rtdc-monitor-bjffxe2xuh6vdkpspy63sjmuny.us-east-1.es.amazonaws.com/_plugin/kibana/#/discover/Steve-Slow-Train-Analysis-(2080s-and-2083s)?_g=(refreshInterval:(display:Off,section:0,value:0),time:(from:'2016-06-27 18:55:05-0600',mode:absolute,to:'2016-06-27 19:40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8" s="14" t="str">
        <f t="shared" si="4"/>
        <v>4029</v>
      </c>
    </row>
    <row r="79" spans="1:17" x14ac:dyDescent="0.25">
      <c r="A79" s="78">
        <v>42548.838425925926</v>
      </c>
      <c r="B79" s="66" t="s">
        <v>87</v>
      </c>
      <c r="C79" s="66" t="s">
        <v>325</v>
      </c>
      <c r="D79" s="66" t="s">
        <v>50</v>
      </c>
      <c r="E79" s="66" t="s">
        <v>51</v>
      </c>
      <c r="F79" s="66">
        <v>0</v>
      </c>
      <c r="G79" s="66">
        <v>7</v>
      </c>
      <c r="H79" s="66">
        <v>233355</v>
      </c>
      <c r="I79" s="66" t="s">
        <v>52</v>
      </c>
      <c r="J79" s="66">
        <v>233491</v>
      </c>
      <c r="K79" s="66" t="s">
        <v>53</v>
      </c>
      <c r="L79" s="16" t="str">
        <f>VLOOKUP(C79,'Trips&amp;Operators'!$C$2:$E$10000,3,FALSE)</f>
        <v>DE LA ROSA</v>
      </c>
      <c r="M79" s="66"/>
      <c r="N79" s="66"/>
      <c r="P79" s="54" t="str">
        <f>VLOOKUP(C79,'Train Runs'!$A$13:$V$156,22,0)</f>
        <v>https://search-rtdc-monitor-bjffxe2xuh6vdkpspy63sjmuny.us-east-1.es.amazonaws.com/_plugin/kibana/#/discover/Steve-Slow-Train-Analysis-(2080s-and-2083s)?_g=(refreshInterval:(display:Off,section:0,value:0),time:(from:'2016-06-27 19:22:55-0600',mode:absolute,to:'2016-06-27 20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79" s="14" t="str">
        <f t="shared" si="4"/>
        <v>4007</v>
      </c>
    </row>
    <row r="80" spans="1:17" x14ac:dyDescent="0.25">
      <c r="A80" s="78">
        <v>42548.858055555553</v>
      </c>
      <c r="B80" s="66" t="s">
        <v>320</v>
      </c>
      <c r="C80" s="66" t="s">
        <v>327</v>
      </c>
      <c r="D80" s="66" t="s">
        <v>50</v>
      </c>
      <c r="E80" s="66" t="s">
        <v>51</v>
      </c>
      <c r="F80" s="66">
        <v>0</v>
      </c>
      <c r="G80" s="66">
        <v>6</v>
      </c>
      <c r="H80" s="66">
        <v>233288</v>
      </c>
      <c r="I80" s="66" t="s">
        <v>52</v>
      </c>
      <c r="J80" s="66">
        <v>233491</v>
      </c>
      <c r="K80" s="66" t="s">
        <v>53</v>
      </c>
      <c r="L80" s="16" t="str">
        <f>VLOOKUP(C80,'Trips&amp;Operators'!$C$2:$E$10000,3,FALSE)</f>
        <v>BRUDER</v>
      </c>
      <c r="M80" s="66"/>
      <c r="N80" s="66"/>
      <c r="P80" s="54" t="str">
        <f>VLOOKUP(C80,'Train Runs'!$A$13:$V$156,22,0)</f>
        <v>https://search-rtdc-monitor-bjffxe2xuh6vdkpspy63sjmuny.us-east-1.es.amazonaws.com/_plugin/kibana/#/discover/Steve-Slow-Train-Analysis-(2080s-and-2083s)?_g=(refreshInterval:(display:Off,section:0,value:0),time:(from:'2016-06-27 19:51:25-0600',mode:absolute,to:'2016-06-27 20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0" s="14" t="str">
        <f t="shared" si="4"/>
        <v>4040</v>
      </c>
    </row>
    <row r="81" spans="1:17" x14ac:dyDescent="0.25">
      <c r="A81" s="78">
        <v>42548.900972222225</v>
      </c>
      <c r="B81" s="66" t="s">
        <v>329</v>
      </c>
      <c r="C81" s="66" t="s">
        <v>330</v>
      </c>
      <c r="D81" s="66" t="s">
        <v>50</v>
      </c>
      <c r="E81" s="66" t="s">
        <v>51</v>
      </c>
      <c r="F81" s="66">
        <v>0</v>
      </c>
      <c r="G81" s="66">
        <v>8</v>
      </c>
      <c r="H81" s="66">
        <v>147</v>
      </c>
      <c r="I81" s="66" t="s">
        <v>52</v>
      </c>
      <c r="J81" s="66">
        <v>1</v>
      </c>
      <c r="K81" s="66" t="s">
        <v>54</v>
      </c>
      <c r="L81" s="16" t="str">
        <f>VLOOKUP(C81,'Trips&amp;Operators'!$C$2:$E$10000,3,FALSE)</f>
        <v>BRUDER</v>
      </c>
      <c r="M81" s="66"/>
      <c r="N81" s="66"/>
      <c r="P81" s="54" t="str">
        <f>VLOOKUP(C81,'Train Runs'!$A$13:$V$156,22,0)</f>
        <v>https://search-rtdc-monitor-bjffxe2xuh6vdkpspy63sjmuny.us-east-1.es.amazonaws.com/_plugin/kibana/#/discover/Steve-Slow-Train-Analysis-(2080s-and-2083s)?_g=(refreshInterval:(display:Off,section:0,value:0),time:(from:'2016-06-27 20:47:45-0600',mode:absolute,to:'2016-06-27 21:14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81" s="14" t="str">
        <f t="shared" si="4"/>
        <v>4039</v>
      </c>
    </row>
    <row r="82" spans="1:17" x14ac:dyDescent="0.25">
      <c r="A82" s="78">
        <v>42548.88616898148</v>
      </c>
      <c r="B82" s="66" t="s">
        <v>88</v>
      </c>
      <c r="C82" s="66" t="s">
        <v>331</v>
      </c>
      <c r="D82" s="66" t="s">
        <v>50</v>
      </c>
      <c r="E82" s="66" t="s">
        <v>51</v>
      </c>
      <c r="F82" s="66">
        <v>0</v>
      </c>
      <c r="G82" s="66">
        <v>68</v>
      </c>
      <c r="H82" s="66">
        <v>233232</v>
      </c>
      <c r="I82" s="66" t="s">
        <v>52</v>
      </c>
      <c r="J82" s="66">
        <v>233491</v>
      </c>
      <c r="K82" s="66" t="s">
        <v>53</v>
      </c>
      <c r="L82" s="16" t="str">
        <f>VLOOKUP(C82,'Trips&amp;Operators'!$C$2:$E$10000,3,FALSE)</f>
        <v>BARTLETT</v>
      </c>
      <c r="M82" s="66"/>
      <c r="N82" s="66"/>
      <c r="P82" s="54" t="str">
        <f>VLOOKUP(C82,'Train Runs'!$A$13:$V$156,22,0)</f>
        <v>https://search-rtdc-monitor-bjffxe2xuh6vdkpspy63sjmuny.us-east-1.es.amazonaws.com/_plugin/kibana/#/discover/Steve-Slow-Train-Analysis-(2080s-and-2083s)?_g=(refreshInterval:(display:Off,section:0,value:0),time:(from:'2016-06-27 20:16:48-0600',mode:absolute,to:'2016-06-27 21:17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2" s="14" t="str">
        <f t="shared" si="4"/>
        <v>4031</v>
      </c>
    </row>
    <row r="83" spans="1:17" x14ac:dyDescent="0.25">
      <c r="A83" s="78">
        <v>42548.903854166667</v>
      </c>
      <c r="B83" s="66" t="s">
        <v>251</v>
      </c>
      <c r="C83" s="66" t="s">
        <v>332</v>
      </c>
      <c r="D83" s="66" t="s">
        <v>50</v>
      </c>
      <c r="E83" s="66" t="s">
        <v>51</v>
      </c>
      <c r="F83" s="66">
        <v>0</v>
      </c>
      <c r="G83" s="66">
        <v>15</v>
      </c>
      <c r="H83" s="66">
        <v>233460</v>
      </c>
      <c r="I83" s="66" t="s">
        <v>52</v>
      </c>
      <c r="J83" s="66">
        <v>233491</v>
      </c>
      <c r="K83" s="66" t="s">
        <v>53</v>
      </c>
      <c r="L83" s="16" t="str">
        <f>VLOOKUP(C83,'Trips&amp;Operators'!$C$2:$E$10000,3,FALSE)</f>
        <v>YOUNG</v>
      </c>
      <c r="M83" s="66"/>
      <c r="N83" s="66"/>
      <c r="P83" s="54" t="str">
        <f>VLOOKUP(C83,'Train Runs'!$A$13:$V$156,22,0)</f>
        <v>https://search-rtdc-monitor-bjffxe2xuh6vdkpspy63sjmuny.us-east-1.es.amazonaws.com/_plugin/kibana/#/discover/Steve-Slow-Train-Analysis-(2080s-and-2083s)?_g=(refreshInterval:(display:Off,section:0,value:0),time:(from:'2016-06-27 20:41:28-0600',mode:absolute,to:'2016-06-27 21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83" s="14" t="str">
        <f t="shared" si="4"/>
        <v>4029</v>
      </c>
    </row>
    <row r="84" spans="1:17" x14ac:dyDescent="0.25">
      <c r="A84" s="78">
        <v>42548.942662037036</v>
      </c>
      <c r="B84" s="66" t="s">
        <v>320</v>
      </c>
      <c r="C84" s="66" t="s">
        <v>334</v>
      </c>
      <c r="D84" s="66" t="s">
        <v>50</v>
      </c>
      <c r="E84" s="66" t="s">
        <v>51</v>
      </c>
      <c r="F84" s="66">
        <v>0</v>
      </c>
      <c r="G84" s="66">
        <v>5</v>
      </c>
      <c r="H84" s="66">
        <v>233284</v>
      </c>
      <c r="I84" s="66" t="s">
        <v>52</v>
      </c>
      <c r="J84" s="66">
        <v>233491</v>
      </c>
      <c r="K84" s="66" t="s">
        <v>53</v>
      </c>
      <c r="L84" s="16" t="str">
        <f>VLOOKUP(C84,'Trips&amp;Operators'!$C$2:$E$10000,3,FALSE)</f>
        <v>BRUDER</v>
      </c>
      <c r="M84" s="66"/>
      <c r="N84" s="66"/>
      <c r="P84" s="54" t="str">
        <f>VLOOKUP(C84,'Train Runs'!$A$13:$V$156,22,0)</f>
        <v>https://search-rtdc-monitor-bjffxe2xuh6vdkpspy63sjmuny.us-east-1.es.amazonaws.com/_plugin/kibana/#/discover/Steve-Slow-Train-Analysis-(2080s-and-2083s)?_g=(refreshInterval:(display:Off,section:0,value:0),time:(from:'2016-06-27 21:52:51-0600',mode:absolute,to:'2016-06-27 22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4" s="14" t="str">
        <f t="shared" si="4"/>
        <v>4040</v>
      </c>
    </row>
    <row r="85" spans="1:17" x14ac:dyDescent="0.25">
      <c r="A85" s="78">
        <v>42548.986770833333</v>
      </c>
      <c r="B85" s="66" t="s">
        <v>141</v>
      </c>
      <c r="C85" s="66" t="s">
        <v>335</v>
      </c>
      <c r="D85" s="66" t="s">
        <v>50</v>
      </c>
      <c r="E85" s="66" t="s">
        <v>51</v>
      </c>
      <c r="F85" s="66">
        <v>0</v>
      </c>
      <c r="G85" s="66">
        <v>6</v>
      </c>
      <c r="H85" s="66">
        <v>233343</v>
      </c>
      <c r="I85" s="66" t="s">
        <v>52</v>
      </c>
      <c r="J85" s="66">
        <v>233491</v>
      </c>
      <c r="K85" s="66" t="s">
        <v>53</v>
      </c>
      <c r="L85" s="16" t="str">
        <f>VLOOKUP(C85,'Trips&amp;Operators'!$C$2:$E$10000,3,FALSE)</f>
        <v>YOUNG</v>
      </c>
      <c r="M85" s="66"/>
      <c r="N85" s="66"/>
      <c r="P85" s="54" t="str">
        <f>VLOOKUP(C85,'Train Runs'!$A$13:$V$156,22,0)</f>
        <v>https://search-rtdc-monitor-bjffxe2xuh6vdkpspy63sjmuny.us-east-1.es.amazonaws.com/_plugin/kibana/#/discover/Steve-Slow-Train-Analysis-(2080s-and-2083s)?_g=(refreshInterval:(display:Off,section:0,value:0),time:(from:'2016-06-27 22:45:19-0600',mode:absolute,to:'2016-06-27 23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85" s="14" t="str">
        <f t="shared" si="4"/>
        <v>4038</v>
      </c>
    </row>
    <row r="86" spans="1:17" x14ac:dyDescent="0.25">
      <c r="A86" s="78">
        <v>42549.005208333336</v>
      </c>
      <c r="B86" s="66" t="s">
        <v>87</v>
      </c>
      <c r="C86" s="66" t="s">
        <v>336</v>
      </c>
      <c r="D86" s="66" t="s">
        <v>50</v>
      </c>
      <c r="E86" s="66" t="s">
        <v>51</v>
      </c>
      <c r="F86" s="66">
        <v>0</v>
      </c>
      <c r="G86" s="66">
        <v>4</v>
      </c>
      <c r="H86" s="66">
        <v>233337</v>
      </c>
      <c r="I86" s="66" t="s">
        <v>52</v>
      </c>
      <c r="J86" s="66">
        <v>233491</v>
      </c>
      <c r="K86" s="66" t="s">
        <v>53</v>
      </c>
      <c r="L86" s="16" t="str">
        <f>VLOOKUP(C86,'Trips&amp;Operators'!$C$2:$E$10000,3,FALSE)</f>
        <v>CHANDLER</v>
      </c>
      <c r="M86" s="66"/>
      <c r="N86" s="66"/>
      <c r="P86" s="54" t="str">
        <f>VLOOKUP(C86,'Train Runs'!$A$13:$V$156,22,0)</f>
        <v>https://search-rtdc-monitor-bjffxe2xuh6vdkpspy63sjmuny.us-east-1.es.amazonaws.com/_plugin/kibana/#/discover/Steve-Slow-Train-Analysis-(2080s-and-2083s)?_g=(refreshInterval:(display:Off,section:0,value:0),time:(from:'2016-06-27 23:19:45-0600',mode:absolute,to:'2016-06-28 00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86" s="14" t="str">
        <f t="shared" si="4"/>
        <v>4007</v>
      </c>
    </row>
    <row r="87" spans="1:17" x14ac:dyDescent="0.25">
      <c r="A87" s="78">
        <v>42549.046631944446</v>
      </c>
      <c r="B87" s="66" t="s">
        <v>86</v>
      </c>
      <c r="C87" s="66" t="s">
        <v>338</v>
      </c>
      <c r="D87" s="66" t="s">
        <v>50</v>
      </c>
      <c r="E87" s="66" t="s">
        <v>51</v>
      </c>
      <c r="F87" s="66">
        <v>0</v>
      </c>
      <c r="G87" s="66">
        <v>4</v>
      </c>
      <c r="H87" s="66">
        <v>305</v>
      </c>
      <c r="I87" s="66" t="s">
        <v>52</v>
      </c>
      <c r="J87" s="66">
        <v>1</v>
      </c>
      <c r="K87" s="66" t="s">
        <v>54</v>
      </c>
      <c r="L87" s="16" t="str">
        <f>VLOOKUP(C87,'Trips&amp;Operators'!$C$2:$E$10000,3,FALSE)</f>
        <v>CHANDLER</v>
      </c>
      <c r="M87" s="66"/>
      <c r="N87" s="66"/>
      <c r="P87" s="54" t="str">
        <f>VLOOKUP(C87,'Train Runs'!$A$13:$V$156,22,0)</f>
        <v>https://search-rtdc-monitor-bjffxe2xuh6vdkpspy63sjmuny.us-east-1.es.amazonaws.com/_plugin/kibana/#/discover/Steve-Slow-Train-Analysis-(2080s-and-2083s)?_g=(refreshInterval:(display:Off,section:0,value:0),time:(from:'2016-06-28 00:22:06-0600',mode:absolute,to:'2016-06-28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87" s="14" t="str">
        <f t="shared" si="4"/>
        <v>4008</v>
      </c>
    </row>
    <row r="88" spans="1:17" x14ac:dyDescent="0.25">
      <c r="A88" s="78">
        <v>42549.024745370371</v>
      </c>
      <c r="B88" s="66" t="s">
        <v>320</v>
      </c>
      <c r="C88" s="66" t="s">
        <v>337</v>
      </c>
      <c r="D88" s="66" t="s">
        <v>50</v>
      </c>
      <c r="E88" s="66" t="s">
        <v>51</v>
      </c>
      <c r="F88" s="66">
        <v>0</v>
      </c>
      <c r="G88" s="66">
        <v>5</v>
      </c>
      <c r="H88" s="66">
        <v>233288</v>
      </c>
      <c r="I88" s="66" t="s">
        <v>52</v>
      </c>
      <c r="J88" s="66">
        <v>233491</v>
      </c>
      <c r="K88" s="66" t="s">
        <v>53</v>
      </c>
      <c r="L88" s="16" t="str">
        <f>VLOOKUP(C88,'Trips&amp;Operators'!$C$2:$E$10000,3,FALSE)</f>
        <v>BRUDER</v>
      </c>
      <c r="M88" s="66"/>
      <c r="N88" s="66"/>
      <c r="P88" s="54" t="str">
        <f>VLOOKUP(C88,'Train Runs'!$A$13:$V$156,22,0)</f>
        <v>https://search-rtdc-monitor-bjffxe2xuh6vdkpspy63sjmuny.us-east-1.es.amazonaws.com/_plugin/kibana/#/discover/Steve-Slow-Train-Analysis-(2080s-and-2083s)?_g=(refreshInterval:(display:Off,section:0,value:0),time:(from:'2016-06-27 23:52:55-0600',mode:absolute,to:'2016-06-28 00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8" s="14" t="str">
        <f t="shared" si="4"/>
        <v>4040</v>
      </c>
    </row>
    <row r="89" spans="1:17" x14ac:dyDescent="0.25">
      <c r="A89" s="5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87"/>
      <c r="M89" s="86"/>
      <c r="N89" s="85"/>
      <c r="P89" s="54" t="e">
        <f>VLOOKUP(C89,'Train Runs'!$A$13:$V$156,22,0)</f>
        <v>#N/A</v>
      </c>
      <c r="Q89" s="14" t="str">
        <f t="shared" si="4"/>
        <v/>
      </c>
    </row>
    <row r="90" spans="1:17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16"/>
      <c r="M90" s="86"/>
      <c r="N90" s="85"/>
    </row>
    <row r="91" spans="1:17" x14ac:dyDescent="0.25">
      <c r="A91" s="5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16"/>
      <c r="M91" s="86"/>
      <c r="N91" s="85"/>
    </row>
    <row r="92" spans="1:17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16"/>
      <c r="M92" s="86"/>
      <c r="N92" s="85"/>
    </row>
    <row r="93" spans="1:17" x14ac:dyDescent="0.25">
      <c r="A93" s="83"/>
      <c r="B93" s="84"/>
      <c r="C93" s="84"/>
      <c r="D93" s="84"/>
      <c r="E93" s="84"/>
      <c r="F93" s="84"/>
      <c r="G93" s="84"/>
      <c r="H93" s="84"/>
      <c r="I93" s="84"/>
      <c r="J93" s="84"/>
      <c r="K93" s="85"/>
      <c r="L93" s="16"/>
      <c r="M93" s="86"/>
      <c r="N93" s="85"/>
    </row>
    <row r="94" spans="1:17" x14ac:dyDescent="0.25">
      <c r="A94" s="83"/>
      <c r="B94" s="84"/>
      <c r="C94" s="84"/>
      <c r="D94" s="84"/>
      <c r="E94" s="84"/>
      <c r="F94" s="84"/>
      <c r="G94" s="84"/>
      <c r="H94" s="84"/>
      <c r="I94" s="84"/>
      <c r="J94" s="84"/>
      <c r="K94" s="85"/>
      <c r="L94" s="16"/>
      <c r="M94" s="86"/>
      <c r="N94" s="85"/>
    </row>
    <row r="95" spans="1:17" x14ac:dyDescent="0.25">
      <c r="A95" s="5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16"/>
      <c r="M95" s="86"/>
      <c r="N95" s="85"/>
    </row>
    <row r="96" spans="1:17" x14ac:dyDescent="0.25">
      <c r="A96" s="5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16"/>
      <c r="M96" s="86"/>
      <c r="N96" s="85"/>
    </row>
    <row r="97" spans="1:14" x14ac:dyDescent="0.25">
      <c r="A97" s="83"/>
      <c r="B97" s="84"/>
      <c r="C97" s="84"/>
      <c r="D97" s="84"/>
      <c r="E97" s="84"/>
      <c r="F97" s="84"/>
      <c r="G97" s="84"/>
      <c r="H97" s="84"/>
      <c r="I97" s="84"/>
      <c r="J97" s="84"/>
      <c r="K97" s="85"/>
      <c r="L97" s="16"/>
      <c r="M97" s="86"/>
      <c r="N97" s="85"/>
    </row>
    <row r="98" spans="1:14" x14ac:dyDescent="0.25">
      <c r="A98" s="59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16"/>
      <c r="M98" s="86"/>
      <c r="N98" s="85"/>
    </row>
    <row r="99" spans="1:14" x14ac:dyDescent="0.25">
      <c r="A99" s="83"/>
      <c r="B99" s="84"/>
      <c r="C99" s="84"/>
      <c r="D99" s="84"/>
      <c r="E99" s="84"/>
      <c r="F99" s="84"/>
      <c r="G99" s="84"/>
      <c r="H99" s="84"/>
      <c r="I99" s="84"/>
      <c r="J99" s="84"/>
      <c r="K99" s="85"/>
      <c r="L99" s="16"/>
      <c r="M99" s="86"/>
      <c r="N99" s="85"/>
    </row>
    <row r="100" spans="1:14" x14ac:dyDescent="0.25">
      <c r="A100" s="83"/>
      <c r="B100" s="84"/>
      <c r="C100" s="84"/>
      <c r="D100" s="84"/>
      <c r="E100" s="84"/>
      <c r="F100" s="84"/>
      <c r="G100" s="84"/>
      <c r="H100" s="84"/>
      <c r="I100" s="84"/>
      <c r="J100" s="84"/>
      <c r="K100" s="85"/>
      <c r="L100" s="16"/>
      <c r="M100" s="86"/>
      <c r="N100" s="85"/>
    </row>
    <row r="101" spans="1:14" x14ac:dyDescent="0.25">
      <c r="A101" s="59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16"/>
      <c r="M101" s="86"/>
      <c r="N101" s="85"/>
    </row>
    <row r="102" spans="1:14" x14ac:dyDescent="0.25">
      <c r="A102" s="59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16"/>
      <c r="M102" s="86"/>
      <c r="N102" s="85"/>
    </row>
    <row r="103" spans="1:14" x14ac:dyDescent="0.25">
      <c r="A103" s="59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16"/>
      <c r="M103" s="86"/>
      <c r="N103" s="85"/>
    </row>
    <row r="104" spans="1:14" x14ac:dyDescent="0.25">
      <c r="A104" s="83"/>
      <c r="B104" s="84"/>
      <c r="C104" s="84"/>
      <c r="D104" s="84"/>
      <c r="E104" s="84"/>
      <c r="F104" s="84"/>
      <c r="G104" s="84"/>
      <c r="H104" s="84"/>
      <c r="I104" s="84"/>
      <c r="J104" s="84"/>
      <c r="K104" s="85"/>
      <c r="L104" s="16"/>
      <c r="M104" s="86"/>
      <c r="N104" s="85"/>
    </row>
    <row r="105" spans="1:14" x14ac:dyDescent="0.25">
      <c r="A105" s="59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16"/>
      <c r="M105" s="86"/>
      <c r="N105" s="85"/>
    </row>
    <row r="106" spans="1:14" x14ac:dyDescent="0.25">
      <c r="A106" s="59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16"/>
      <c r="M106" s="86"/>
      <c r="N106" s="85"/>
    </row>
    <row r="107" spans="1:14" x14ac:dyDescent="0.25">
      <c r="A107" s="59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16"/>
      <c r="M107" s="86"/>
      <c r="N107" s="85"/>
    </row>
    <row r="108" spans="1:14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16"/>
    </row>
    <row r="109" spans="1:14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16"/>
    </row>
    <row r="110" spans="1:14" x14ac:dyDescent="0.25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16"/>
    </row>
    <row r="111" spans="1:14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16"/>
    </row>
    <row r="112" spans="1:14" x14ac:dyDescent="0.25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16"/>
    </row>
    <row r="113" spans="1:14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16"/>
    </row>
    <row r="114" spans="1:14" x14ac:dyDescent="0.25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16"/>
    </row>
    <row r="115" spans="1:14" x14ac:dyDescent="0.2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16"/>
    </row>
    <row r="116" spans="1:14" x14ac:dyDescent="0.25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16"/>
    </row>
    <row r="117" spans="1:14" x14ac:dyDescent="0.25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16"/>
    </row>
    <row r="118" spans="1:14" x14ac:dyDescent="0.25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16"/>
    </row>
    <row r="119" spans="1:14" x14ac:dyDescent="0.25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16"/>
    </row>
    <row r="120" spans="1:14" x14ac:dyDescent="0.25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16"/>
    </row>
    <row r="121" spans="1:14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16"/>
    </row>
    <row r="122" spans="1:14" x14ac:dyDescent="0.25"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16"/>
    </row>
    <row r="123" spans="1:14" x14ac:dyDescent="0.25">
      <c r="A123" s="59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16"/>
      <c r="M123" s="86"/>
      <c r="N123" s="85"/>
    </row>
    <row r="124" spans="1:14" x14ac:dyDescent="0.25"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16"/>
    </row>
  </sheetData>
  <autoFilter ref="A6:N88"/>
  <sortState ref="A7:K20">
    <sortCondition ref="F7:F20"/>
  </sortState>
  <mergeCells count="1">
    <mergeCell ref="A5:M5"/>
  </mergeCells>
  <conditionalFormatting sqref="P6 M6:N6 M7:M1048576">
    <cfRule type="cellIs" dxfId="2" priority="10" operator="equal">
      <formula>"Y"</formula>
    </cfRule>
  </conditionalFormatting>
  <conditionalFormatting sqref="A7:N7 A8:K68 L8:L124 M8:N68">
    <cfRule type="expression" dxfId="1" priority="3">
      <formula>$M7="Y"</formula>
    </cfRule>
  </conditionalFormatting>
  <conditionalFormatting sqref="M2:M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14" sqref="D14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8" t="str">
        <f>"Trips that did not appear in PTC Data "&amp;TEXT(Variables!$A$2,"YYYY-mm-dd")</f>
        <v>Trips that did not appear in PTC Data 2016-06-27</v>
      </c>
      <c r="B1" s="98"/>
      <c r="C1" s="98"/>
      <c r="D1" s="98"/>
      <c r="E1" s="98"/>
    </row>
    <row r="2" spans="1:10" s="52" customFormat="1" ht="45" x14ac:dyDescent="0.25">
      <c r="A2" s="51" t="s">
        <v>92</v>
      </c>
      <c r="B2" s="63" t="s">
        <v>93</v>
      </c>
      <c r="C2" s="61" t="s">
        <v>94</v>
      </c>
      <c r="D2" s="52" t="s">
        <v>90</v>
      </c>
      <c r="E2" s="52" t="s">
        <v>91</v>
      </c>
      <c r="F2" s="52" t="s">
        <v>105</v>
      </c>
      <c r="G2" s="64" t="s">
        <v>106</v>
      </c>
    </row>
    <row r="3" spans="1:10" x14ac:dyDescent="0.25">
      <c r="A3" s="66"/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/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/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topLeftCell="A227" workbookViewId="0">
      <selection sqref="A1:G265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42547.82917824074</v>
      </c>
      <c r="B1" s="42" t="s">
        <v>186</v>
      </c>
      <c r="C1" s="42" t="s">
        <v>222</v>
      </c>
      <c r="D1" s="42">
        <v>1770000</v>
      </c>
      <c r="E1" s="42" t="s">
        <v>145</v>
      </c>
      <c r="F1" s="42" t="str">
        <f>B1</f>
        <v>rtdc.l.rtdc.4025:itc</v>
      </c>
      <c r="G1" s="13">
        <f>A1</f>
        <v>42547.82917824074</v>
      </c>
    </row>
    <row r="2" spans="1:7" x14ac:dyDescent="0.25">
      <c r="A2" s="13">
        <v>42548.580740740741</v>
      </c>
      <c r="B2" s="42" t="s">
        <v>185</v>
      </c>
      <c r="C2" s="42" t="s">
        <v>298</v>
      </c>
      <c r="D2" s="42">
        <v>2000000</v>
      </c>
      <c r="E2" s="42" t="s">
        <v>546</v>
      </c>
      <c r="F2" s="42" t="str">
        <f t="shared" ref="F2:F65" si="0">B2</f>
        <v>rtdc.l.rtdc.4013:itc</v>
      </c>
      <c r="G2" s="13">
        <f t="shared" ref="G2:G65" si="1">A2</f>
        <v>42548.580740740741</v>
      </c>
    </row>
    <row r="3" spans="1:7" x14ac:dyDescent="0.25">
      <c r="A3" s="13">
        <v>42548.682974537034</v>
      </c>
      <c r="B3" s="42" t="s">
        <v>184</v>
      </c>
      <c r="C3" s="42" t="s">
        <v>547</v>
      </c>
      <c r="D3" s="42">
        <v>2000000</v>
      </c>
      <c r="E3" s="42" t="s">
        <v>546</v>
      </c>
      <c r="F3" s="42" t="str">
        <f t="shared" si="0"/>
        <v>rtdc.l.rtdc.4014:itc</v>
      </c>
      <c r="G3" s="13">
        <f t="shared" si="1"/>
        <v>42548.682974537034</v>
      </c>
    </row>
    <row r="4" spans="1:7" x14ac:dyDescent="0.25">
      <c r="A4" s="13">
        <v>42548.276550925926</v>
      </c>
      <c r="B4" s="42" t="s">
        <v>251</v>
      </c>
      <c r="C4" s="42" t="s">
        <v>371</v>
      </c>
      <c r="D4" s="42">
        <v>2010000</v>
      </c>
      <c r="E4" s="42" t="s">
        <v>548</v>
      </c>
      <c r="F4" s="42" t="str">
        <f t="shared" si="0"/>
        <v>rtdc.l.rtdc.4029:itc</v>
      </c>
      <c r="G4" s="13">
        <f t="shared" si="1"/>
        <v>42548.276550925926</v>
      </c>
    </row>
    <row r="5" spans="1:7" x14ac:dyDescent="0.25">
      <c r="A5" s="13">
        <v>42548.481747685182</v>
      </c>
      <c r="B5" s="42" t="s">
        <v>70</v>
      </c>
      <c r="C5" s="42" t="s">
        <v>287</v>
      </c>
      <c r="D5" s="42">
        <v>1540000</v>
      </c>
      <c r="E5" s="42" t="s">
        <v>189</v>
      </c>
      <c r="F5" s="42" t="str">
        <f t="shared" si="0"/>
        <v>rtdc.l.rtdc.4032:itc</v>
      </c>
      <c r="G5" s="13">
        <f t="shared" si="1"/>
        <v>42548.481747685182</v>
      </c>
    </row>
    <row r="6" spans="1:7" x14ac:dyDescent="0.25">
      <c r="A6" s="13">
        <v>42548.526944444442</v>
      </c>
      <c r="B6" s="42" t="s">
        <v>183</v>
      </c>
      <c r="C6" s="42" t="s">
        <v>292</v>
      </c>
      <c r="D6" s="42">
        <v>1120000</v>
      </c>
      <c r="E6" s="42" t="s">
        <v>169</v>
      </c>
      <c r="F6" s="42" t="str">
        <f t="shared" si="0"/>
        <v>rtdc.l.rtdc.4026:itc</v>
      </c>
      <c r="G6" s="13">
        <f t="shared" si="1"/>
        <v>42548.526944444442</v>
      </c>
    </row>
    <row r="7" spans="1:7" x14ac:dyDescent="0.25">
      <c r="A7" s="13">
        <v>42548.659270833334</v>
      </c>
      <c r="B7" s="42" t="s">
        <v>244</v>
      </c>
      <c r="C7" s="42" t="s">
        <v>456</v>
      </c>
      <c r="D7" s="42">
        <v>2040000</v>
      </c>
      <c r="E7" s="42" t="s">
        <v>549</v>
      </c>
      <c r="F7" s="42" t="str">
        <f t="shared" si="0"/>
        <v>rtdc.l.rtdc.4037:itc</v>
      </c>
      <c r="G7" s="13">
        <f t="shared" si="1"/>
        <v>42548.659270833334</v>
      </c>
    </row>
    <row r="8" spans="1:7" x14ac:dyDescent="0.25">
      <c r="A8" s="13">
        <v>42548.706979166665</v>
      </c>
      <c r="B8" s="42" t="s">
        <v>88</v>
      </c>
      <c r="C8" s="42" t="s">
        <v>475</v>
      </c>
      <c r="D8" s="42">
        <v>1120000</v>
      </c>
      <c r="E8" s="42" t="s">
        <v>169</v>
      </c>
      <c r="F8" s="42" t="str">
        <f t="shared" si="0"/>
        <v>rtdc.l.rtdc.4031:itc</v>
      </c>
      <c r="G8" s="13">
        <f t="shared" si="1"/>
        <v>42548.706979166665</v>
      </c>
    </row>
    <row r="9" spans="1:7" ht="15.75" thickBot="1" x14ac:dyDescent="0.3">
      <c r="A9" s="57">
        <v>42548.809039351851</v>
      </c>
      <c r="B9" s="42" t="s">
        <v>87</v>
      </c>
      <c r="C9" s="42" t="s">
        <v>325</v>
      </c>
      <c r="D9" s="42">
        <v>1780000</v>
      </c>
      <c r="E9" s="42" t="s">
        <v>249</v>
      </c>
      <c r="F9" s="42" t="str">
        <f t="shared" si="0"/>
        <v>rtdc.l.rtdc.4007:itc</v>
      </c>
      <c r="G9" s="13">
        <f t="shared" si="1"/>
        <v>42548.809039351851</v>
      </c>
    </row>
    <row r="10" spans="1:7" x14ac:dyDescent="0.25">
      <c r="A10" s="13">
        <v>42548.233460648145</v>
      </c>
      <c r="B10" s="42" t="s">
        <v>87</v>
      </c>
      <c r="C10" s="42" t="s">
        <v>363</v>
      </c>
      <c r="D10" s="42">
        <v>2030000</v>
      </c>
      <c r="E10" s="42" t="s">
        <v>550</v>
      </c>
      <c r="F10" s="42" t="str">
        <f t="shared" si="0"/>
        <v>rtdc.l.rtdc.4007:itc</v>
      </c>
      <c r="G10" s="13">
        <f t="shared" si="1"/>
        <v>42548.233460648145</v>
      </c>
    </row>
    <row r="11" spans="1:7" x14ac:dyDescent="0.25">
      <c r="A11" s="13">
        <v>42548.476770833331</v>
      </c>
      <c r="B11" s="42" t="s">
        <v>141</v>
      </c>
      <c r="C11" s="42" t="s">
        <v>284</v>
      </c>
      <c r="D11" s="42">
        <v>2040000</v>
      </c>
      <c r="E11" s="42" t="s">
        <v>549</v>
      </c>
      <c r="F11" s="42" t="str">
        <f t="shared" si="0"/>
        <v>rtdc.l.rtdc.4038:itc</v>
      </c>
      <c r="G11" s="13">
        <f t="shared" si="1"/>
        <v>42548.476770833331</v>
      </c>
    </row>
    <row r="12" spans="1:7" x14ac:dyDescent="0.25">
      <c r="A12" s="13">
        <v>42548.633206018516</v>
      </c>
      <c r="B12" s="42" t="s">
        <v>186</v>
      </c>
      <c r="C12" s="42" t="s">
        <v>551</v>
      </c>
      <c r="D12" s="42">
        <v>1120000</v>
      </c>
      <c r="E12" s="42" t="s">
        <v>169</v>
      </c>
      <c r="F12" s="42" t="str">
        <f t="shared" si="0"/>
        <v>rtdc.l.rtdc.4025:itc</v>
      </c>
      <c r="G12" s="13">
        <f t="shared" si="1"/>
        <v>42548.633206018516</v>
      </c>
    </row>
    <row r="13" spans="1:7" x14ac:dyDescent="0.25">
      <c r="A13" s="13">
        <v>42548.340856481482</v>
      </c>
      <c r="B13" s="42" t="s">
        <v>82</v>
      </c>
      <c r="C13" s="42" t="s">
        <v>272</v>
      </c>
      <c r="D13" s="42">
        <v>310000</v>
      </c>
      <c r="E13" s="42" t="s">
        <v>552</v>
      </c>
      <c r="F13" s="42" t="str">
        <f t="shared" si="0"/>
        <v>rtdc.l.rtdc.4018:itc</v>
      </c>
      <c r="G13" s="13">
        <f t="shared" si="1"/>
        <v>42548.340856481482</v>
      </c>
    </row>
    <row r="14" spans="1:7" x14ac:dyDescent="0.25">
      <c r="A14" s="13">
        <v>42548.658703703702</v>
      </c>
      <c r="B14" s="42" t="s">
        <v>100</v>
      </c>
      <c r="C14" s="42" t="s">
        <v>305</v>
      </c>
      <c r="D14" s="42">
        <v>1800000</v>
      </c>
      <c r="E14" s="42" t="s">
        <v>170</v>
      </c>
      <c r="F14" s="42" t="str">
        <f t="shared" si="0"/>
        <v>rtdc.l.rtdc.4042:itc</v>
      </c>
      <c r="G14" s="13">
        <f t="shared" si="1"/>
        <v>42548.658703703702</v>
      </c>
    </row>
    <row r="15" spans="1:7" x14ac:dyDescent="0.25">
      <c r="A15" s="13">
        <v>42548.273715277777</v>
      </c>
      <c r="B15" s="42" t="s">
        <v>86</v>
      </c>
      <c r="C15" s="42" t="s">
        <v>364</v>
      </c>
      <c r="D15" s="42">
        <v>2030000</v>
      </c>
      <c r="E15" s="42" t="s">
        <v>550</v>
      </c>
      <c r="F15" s="42" t="str">
        <f t="shared" si="0"/>
        <v>rtdc.l.rtdc.4008:itc</v>
      </c>
      <c r="G15" s="13">
        <f t="shared" si="1"/>
        <v>42548.273715277777</v>
      </c>
    </row>
    <row r="16" spans="1:7" x14ac:dyDescent="0.25">
      <c r="A16" s="13">
        <v>42549.017222222225</v>
      </c>
      <c r="B16" s="42" t="s">
        <v>88</v>
      </c>
      <c r="C16" s="42" t="s">
        <v>515</v>
      </c>
      <c r="D16" s="42">
        <v>1280000</v>
      </c>
      <c r="E16" s="42" t="s">
        <v>245</v>
      </c>
      <c r="F16" s="42" t="str">
        <f t="shared" si="0"/>
        <v>rtdc.l.rtdc.4031:itc</v>
      </c>
      <c r="G16" s="13">
        <f t="shared" si="1"/>
        <v>42549.017222222225</v>
      </c>
    </row>
    <row r="17" spans="1:7" x14ac:dyDescent="0.25">
      <c r="A17" s="13">
        <v>42548.847002314818</v>
      </c>
      <c r="B17" s="42" t="s">
        <v>86</v>
      </c>
      <c r="C17" s="42" t="s">
        <v>494</v>
      </c>
      <c r="D17" s="42">
        <v>1780000</v>
      </c>
      <c r="E17" s="42" t="s">
        <v>249</v>
      </c>
      <c r="F17" s="42" t="str">
        <f t="shared" si="0"/>
        <v>rtdc.l.rtdc.4008:itc</v>
      </c>
      <c r="G17" s="13">
        <f t="shared" si="1"/>
        <v>42548.847002314818</v>
      </c>
    </row>
    <row r="18" spans="1:7" x14ac:dyDescent="0.25">
      <c r="A18" s="13">
        <v>42548.404814814814</v>
      </c>
      <c r="B18" s="42" t="s">
        <v>141</v>
      </c>
      <c r="C18" s="42" t="s">
        <v>410</v>
      </c>
      <c r="D18" s="42">
        <v>1230000</v>
      </c>
      <c r="E18" s="42" t="s">
        <v>553</v>
      </c>
      <c r="F18" s="42" t="str">
        <f t="shared" si="0"/>
        <v>rtdc.l.rtdc.4038:itc</v>
      </c>
      <c r="G18" s="13">
        <f t="shared" si="1"/>
        <v>42548.404814814814</v>
      </c>
    </row>
    <row r="19" spans="1:7" x14ac:dyDescent="0.25">
      <c r="A19" s="13">
        <v>42548.774768518517</v>
      </c>
      <c r="B19" s="42" t="s">
        <v>86</v>
      </c>
      <c r="C19" s="42" t="s">
        <v>483</v>
      </c>
      <c r="D19" s="42">
        <v>1780000</v>
      </c>
      <c r="E19" s="42" t="s">
        <v>249</v>
      </c>
      <c r="F19" s="42" t="str">
        <f t="shared" si="0"/>
        <v>rtdc.l.rtdc.4008:itc</v>
      </c>
      <c r="G19" s="13">
        <f t="shared" si="1"/>
        <v>42548.774768518517</v>
      </c>
    </row>
    <row r="20" spans="1:7" x14ac:dyDescent="0.25">
      <c r="A20" s="13">
        <v>42548.609479166669</v>
      </c>
      <c r="B20" s="42" t="s">
        <v>83</v>
      </c>
      <c r="C20" s="42" t="s">
        <v>299</v>
      </c>
      <c r="D20" s="42">
        <v>1750000</v>
      </c>
      <c r="E20" s="42" t="s">
        <v>247</v>
      </c>
      <c r="F20" s="42" t="str">
        <f t="shared" si="0"/>
        <v>rtdc.l.rtdc.4017:itc</v>
      </c>
      <c r="G20" s="13">
        <f t="shared" si="1"/>
        <v>42548.609479166669</v>
      </c>
    </row>
    <row r="21" spans="1:7" x14ac:dyDescent="0.25">
      <c r="A21" s="13">
        <v>42548.757002314815</v>
      </c>
      <c r="B21" s="42" t="s">
        <v>99</v>
      </c>
      <c r="C21" s="42" t="s">
        <v>537</v>
      </c>
      <c r="D21" s="42">
        <v>1800000</v>
      </c>
      <c r="E21" s="42" t="s">
        <v>170</v>
      </c>
      <c r="F21" s="42" t="str">
        <f t="shared" si="0"/>
        <v>rtdc.l.rtdc.4041:itc</v>
      </c>
      <c r="G21" s="13">
        <f t="shared" si="1"/>
        <v>42548.757002314815</v>
      </c>
    </row>
    <row r="22" spans="1:7" x14ac:dyDescent="0.25">
      <c r="A22" s="59">
        <v>42548.626736111109</v>
      </c>
      <c r="B22" s="42" t="s">
        <v>184</v>
      </c>
      <c r="C22" s="42" t="s">
        <v>452</v>
      </c>
      <c r="D22" s="42">
        <v>2000000</v>
      </c>
      <c r="E22" s="42" t="s">
        <v>546</v>
      </c>
      <c r="F22" s="42" t="str">
        <f t="shared" si="0"/>
        <v>rtdc.l.rtdc.4014:itc</v>
      </c>
      <c r="G22" s="13">
        <f t="shared" si="1"/>
        <v>42548.626736111109</v>
      </c>
    </row>
    <row r="23" spans="1:7" x14ac:dyDescent="0.25">
      <c r="A23" s="13">
        <v>42548.454826388886</v>
      </c>
      <c r="B23" s="42" t="s">
        <v>87</v>
      </c>
      <c r="C23" s="42" t="s">
        <v>419</v>
      </c>
      <c r="D23" s="42">
        <v>1310000</v>
      </c>
      <c r="E23" s="42" t="s">
        <v>144</v>
      </c>
      <c r="F23" s="42" t="str">
        <f t="shared" si="0"/>
        <v>rtdc.l.rtdc.4007:itc</v>
      </c>
      <c r="G23" s="13">
        <f t="shared" si="1"/>
        <v>42548.454826388886</v>
      </c>
    </row>
    <row r="24" spans="1:7" x14ac:dyDescent="0.25">
      <c r="A24" s="13">
        <v>42548.736145833333</v>
      </c>
      <c r="B24" s="42" t="s">
        <v>83</v>
      </c>
      <c r="C24" s="42" t="s">
        <v>536</v>
      </c>
      <c r="D24" s="42">
        <v>1750000</v>
      </c>
      <c r="E24" s="42" t="s">
        <v>247</v>
      </c>
      <c r="F24" s="42" t="str">
        <f t="shared" si="0"/>
        <v>rtdc.l.rtdc.4017:itc</v>
      </c>
      <c r="G24" s="13">
        <f t="shared" si="1"/>
        <v>42548.736145833333</v>
      </c>
    </row>
    <row r="25" spans="1:7" x14ac:dyDescent="0.25">
      <c r="A25" s="13">
        <v>42548.245127314818</v>
      </c>
      <c r="B25" s="42" t="s">
        <v>285</v>
      </c>
      <c r="C25" s="42" t="s">
        <v>356</v>
      </c>
      <c r="D25" s="42">
        <v>2010000</v>
      </c>
      <c r="E25" s="42" t="s">
        <v>548</v>
      </c>
      <c r="F25" s="42" t="str">
        <f t="shared" si="0"/>
        <v>rtdc.l.rtdc.4030:itc</v>
      </c>
      <c r="G25" s="13">
        <f t="shared" si="1"/>
        <v>42548.245127314818</v>
      </c>
    </row>
    <row r="26" spans="1:7" x14ac:dyDescent="0.25">
      <c r="A26" s="13">
        <v>42548.769166666665</v>
      </c>
      <c r="B26" s="42" t="s">
        <v>141</v>
      </c>
      <c r="C26" s="42" t="s">
        <v>489</v>
      </c>
      <c r="D26" s="42">
        <v>1280000</v>
      </c>
      <c r="E26" s="42" t="s">
        <v>245</v>
      </c>
      <c r="F26" s="42" t="str">
        <f t="shared" si="0"/>
        <v>rtdc.l.rtdc.4038:itc</v>
      </c>
      <c r="G26" s="13">
        <f t="shared" si="1"/>
        <v>42548.769166666665</v>
      </c>
    </row>
    <row r="27" spans="1:7" x14ac:dyDescent="0.25">
      <c r="A27" s="13">
        <v>42548.726574074077</v>
      </c>
      <c r="B27" s="42" t="s">
        <v>317</v>
      </c>
      <c r="C27" s="42" t="s">
        <v>318</v>
      </c>
      <c r="D27" s="42">
        <v>2020000</v>
      </c>
      <c r="E27" s="42" t="s">
        <v>554</v>
      </c>
      <c r="F27" s="42" t="str">
        <f t="shared" si="0"/>
        <v>rtdc.l.rtdc.4027:itc</v>
      </c>
      <c r="G27" s="13">
        <f t="shared" si="1"/>
        <v>42548.726574074077</v>
      </c>
    </row>
    <row r="28" spans="1:7" x14ac:dyDescent="0.25">
      <c r="A28" s="13">
        <v>42548.279722222222</v>
      </c>
      <c r="B28" s="42" t="s">
        <v>251</v>
      </c>
      <c r="C28" s="42" t="s">
        <v>371</v>
      </c>
      <c r="D28" s="42">
        <v>2010000</v>
      </c>
      <c r="E28" s="42" t="s">
        <v>548</v>
      </c>
      <c r="F28" s="42" t="str">
        <f t="shared" si="0"/>
        <v>rtdc.l.rtdc.4029:itc</v>
      </c>
      <c r="G28" s="13">
        <f t="shared" si="1"/>
        <v>42548.279722222222</v>
      </c>
    </row>
    <row r="29" spans="1:7" x14ac:dyDescent="0.25">
      <c r="A29" s="13">
        <v>42548.466145833336</v>
      </c>
      <c r="B29" s="42" t="s">
        <v>164</v>
      </c>
      <c r="C29" s="42" t="s">
        <v>422</v>
      </c>
      <c r="D29" s="42">
        <v>2000000</v>
      </c>
      <c r="E29" s="42" t="s">
        <v>546</v>
      </c>
      <c r="F29" s="42" t="str">
        <f t="shared" si="0"/>
        <v>rtdc.l.rtdc.4024:itc</v>
      </c>
      <c r="G29" s="13">
        <f t="shared" si="1"/>
        <v>42548.466145833336</v>
      </c>
    </row>
    <row r="30" spans="1:7" x14ac:dyDescent="0.25">
      <c r="A30" s="13">
        <v>42548.319131944445</v>
      </c>
      <c r="B30" s="42" t="s">
        <v>164</v>
      </c>
      <c r="C30" s="42" t="s">
        <v>270</v>
      </c>
      <c r="D30" s="42">
        <v>900000</v>
      </c>
      <c r="E30" s="42" t="s">
        <v>555</v>
      </c>
      <c r="F30" s="42" t="str">
        <f t="shared" si="0"/>
        <v>rtdc.l.rtdc.4024:itc</v>
      </c>
      <c r="G30" s="13">
        <f t="shared" si="1"/>
        <v>42548.319131944445</v>
      </c>
    </row>
    <row r="31" spans="1:7" x14ac:dyDescent="0.25">
      <c r="A31" s="13">
        <v>42548.457951388889</v>
      </c>
      <c r="B31" s="42" t="s">
        <v>82</v>
      </c>
      <c r="C31" s="42" t="s">
        <v>526</v>
      </c>
      <c r="D31" s="42">
        <v>1460000</v>
      </c>
      <c r="E31" s="42" t="s">
        <v>143</v>
      </c>
      <c r="F31" s="42" t="str">
        <f t="shared" si="0"/>
        <v>rtdc.l.rtdc.4018:itc</v>
      </c>
      <c r="G31" s="13">
        <f t="shared" si="1"/>
        <v>42548.457951388889</v>
      </c>
    </row>
    <row r="32" spans="1:7" x14ac:dyDescent="0.25">
      <c r="A32" s="13">
        <v>42548.534513888888</v>
      </c>
      <c r="B32" s="42" t="s">
        <v>285</v>
      </c>
      <c r="C32" s="42" t="s">
        <v>427</v>
      </c>
      <c r="D32" s="42">
        <v>1260000</v>
      </c>
      <c r="E32" s="42" t="s">
        <v>188</v>
      </c>
      <c r="F32" s="42" t="str">
        <f t="shared" si="0"/>
        <v>rtdc.l.rtdc.4030:itc</v>
      </c>
      <c r="G32" s="13">
        <f t="shared" si="1"/>
        <v>42548.534513888888</v>
      </c>
    </row>
    <row r="33" spans="1:7" x14ac:dyDescent="0.25">
      <c r="A33" s="13">
        <v>42548.393159722225</v>
      </c>
      <c r="B33" s="42" t="s">
        <v>164</v>
      </c>
      <c r="C33" s="42" t="s">
        <v>407</v>
      </c>
      <c r="D33" s="42">
        <v>900000</v>
      </c>
      <c r="E33" s="42" t="s">
        <v>555</v>
      </c>
      <c r="F33" s="42" t="str">
        <f t="shared" si="0"/>
        <v>rtdc.l.rtdc.4024:itc</v>
      </c>
      <c r="G33" s="13">
        <f t="shared" si="1"/>
        <v>42548.393159722225</v>
      </c>
    </row>
    <row r="34" spans="1:7" x14ac:dyDescent="0.25">
      <c r="A34" s="13">
        <v>42548.58929398148</v>
      </c>
      <c r="B34" s="42" t="s">
        <v>244</v>
      </c>
      <c r="C34" s="42" t="s">
        <v>441</v>
      </c>
      <c r="D34" s="42">
        <v>2040000</v>
      </c>
      <c r="E34" s="42" t="s">
        <v>549</v>
      </c>
      <c r="F34" s="42" t="str">
        <f t="shared" si="0"/>
        <v>rtdc.l.rtdc.4037:itc</v>
      </c>
      <c r="G34" s="13">
        <f t="shared" si="1"/>
        <v>42548.58929398148</v>
      </c>
    </row>
    <row r="35" spans="1:7" x14ac:dyDescent="0.25">
      <c r="A35" s="13">
        <v>42547.945729166669</v>
      </c>
      <c r="B35" s="42" t="s">
        <v>70</v>
      </c>
      <c r="C35" s="42" t="s">
        <v>210</v>
      </c>
      <c r="D35" s="42">
        <v>1750000</v>
      </c>
      <c r="E35" s="42" t="s">
        <v>247</v>
      </c>
      <c r="F35" s="42" t="str">
        <f t="shared" si="0"/>
        <v>rtdc.l.rtdc.4032:itc</v>
      </c>
      <c r="G35" s="13">
        <f t="shared" si="1"/>
        <v>42547.945729166669</v>
      </c>
    </row>
    <row r="36" spans="1:7" x14ac:dyDescent="0.25">
      <c r="A36" s="13">
        <v>42548.599328703705</v>
      </c>
      <c r="B36" s="42" t="s">
        <v>183</v>
      </c>
      <c r="C36" s="42" t="s">
        <v>301</v>
      </c>
      <c r="D36" s="42">
        <v>1120000</v>
      </c>
      <c r="E36" s="42" t="s">
        <v>169</v>
      </c>
      <c r="F36" s="42" t="str">
        <f t="shared" si="0"/>
        <v>rtdc.l.rtdc.4026:itc</v>
      </c>
      <c r="G36" s="13">
        <f t="shared" si="1"/>
        <v>42548.599328703705</v>
      </c>
    </row>
    <row r="37" spans="1:7" x14ac:dyDescent="0.25">
      <c r="A37" s="13">
        <v>42547.88989583333</v>
      </c>
      <c r="B37" s="42" t="s">
        <v>79</v>
      </c>
      <c r="C37" s="42" t="s">
        <v>226</v>
      </c>
      <c r="D37" s="42">
        <v>1280000</v>
      </c>
      <c r="E37" s="42" t="s">
        <v>245</v>
      </c>
      <c r="F37" s="42" t="str">
        <f t="shared" si="0"/>
        <v>rtdc.l.rtdc.4019:itc</v>
      </c>
      <c r="G37" s="13">
        <f t="shared" si="1"/>
        <v>42547.88989583333</v>
      </c>
    </row>
    <row r="38" spans="1:7" x14ac:dyDescent="0.25">
      <c r="A38" s="13">
        <v>42548.628483796296</v>
      </c>
      <c r="B38" s="42" t="s">
        <v>70</v>
      </c>
      <c r="C38" s="42" t="s">
        <v>451</v>
      </c>
      <c r="D38" s="42">
        <v>1540000</v>
      </c>
      <c r="E38" s="42" t="s">
        <v>189</v>
      </c>
      <c r="F38" s="42" t="str">
        <f t="shared" si="0"/>
        <v>rtdc.l.rtdc.4032:itc</v>
      </c>
      <c r="G38" s="13">
        <f t="shared" si="1"/>
        <v>42548.628483796296</v>
      </c>
    </row>
    <row r="39" spans="1:7" x14ac:dyDescent="0.25">
      <c r="A39" s="13">
        <v>42548.201481481483</v>
      </c>
      <c r="B39" s="42" t="s">
        <v>141</v>
      </c>
      <c r="C39" s="42" t="s">
        <v>348</v>
      </c>
      <c r="D39" s="42">
        <v>1230000</v>
      </c>
      <c r="E39" s="42" t="s">
        <v>553</v>
      </c>
      <c r="F39" s="42" t="str">
        <f t="shared" si="0"/>
        <v>rtdc.l.rtdc.4038:itc</v>
      </c>
      <c r="G39" s="13">
        <f t="shared" si="1"/>
        <v>42548.201481481483</v>
      </c>
    </row>
    <row r="40" spans="1:7" x14ac:dyDescent="0.25">
      <c r="A40" s="13">
        <v>42548.675995370373</v>
      </c>
      <c r="B40" s="58" t="s">
        <v>99</v>
      </c>
      <c r="C40" s="42" t="s">
        <v>309</v>
      </c>
      <c r="D40" s="42">
        <v>1800000</v>
      </c>
      <c r="E40" s="42" t="s">
        <v>170</v>
      </c>
      <c r="F40" s="42" t="str">
        <f t="shared" si="0"/>
        <v>rtdc.l.rtdc.4041:itc</v>
      </c>
      <c r="G40" s="13">
        <f t="shared" si="1"/>
        <v>42548.675995370373</v>
      </c>
    </row>
    <row r="41" spans="1:7" x14ac:dyDescent="0.25">
      <c r="A41" s="13">
        <v>42548.031423611108</v>
      </c>
      <c r="B41" s="42" t="s">
        <v>183</v>
      </c>
      <c r="C41" s="42" t="s">
        <v>240</v>
      </c>
      <c r="D41" s="42">
        <v>1770000</v>
      </c>
      <c r="E41" s="42" t="s">
        <v>145</v>
      </c>
      <c r="F41" s="42" t="str">
        <f t="shared" si="0"/>
        <v>rtdc.l.rtdc.4026:itc</v>
      </c>
      <c r="G41" s="13">
        <f t="shared" si="1"/>
        <v>42548.031423611108</v>
      </c>
    </row>
    <row r="42" spans="1:7" x14ac:dyDescent="0.25">
      <c r="A42" s="13">
        <v>42548.747303240743</v>
      </c>
      <c r="B42" s="42" t="s">
        <v>164</v>
      </c>
      <c r="C42" s="42" t="s">
        <v>319</v>
      </c>
      <c r="D42" s="42">
        <v>1990000</v>
      </c>
      <c r="E42" s="42" t="s">
        <v>556</v>
      </c>
      <c r="F42" s="42" t="str">
        <f t="shared" si="0"/>
        <v>rtdc.l.rtdc.4024:itc</v>
      </c>
      <c r="G42" s="13">
        <f t="shared" si="1"/>
        <v>42548.747303240743</v>
      </c>
    </row>
    <row r="43" spans="1:7" x14ac:dyDescent="0.25">
      <c r="A43" s="13">
        <v>42547.872789351852</v>
      </c>
      <c r="B43" s="42" t="s">
        <v>141</v>
      </c>
      <c r="C43" s="42" t="s">
        <v>227</v>
      </c>
      <c r="D43" s="42">
        <v>1290000</v>
      </c>
      <c r="E43" s="42" t="s">
        <v>246</v>
      </c>
      <c r="F43" s="42" t="str">
        <f t="shared" si="0"/>
        <v>rtdc.l.rtdc.4038:itc</v>
      </c>
      <c r="G43" s="13">
        <f t="shared" si="1"/>
        <v>42547.872789351852</v>
      </c>
    </row>
    <row r="44" spans="1:7" x14ac:dyDescent="0.25">
      <c r="A44" s="13">
        <v>42548.845659722225</v>
      </c>
      <c r="B44" s="42" t="s">
        <v>86</v>
      </c>
      <c r="C44" s="42" t="s">
        <v>494</v>
      </c>
      <c r="D44" s="42">
        <v>1780000</v>
      </c>
      <c r="E44" s="42" t="s">
        <v>249</v>
      </c>
      <c r="F44" s="42" t="str">
        <f t="shared" si="0"/>
        <v>rtdc.l.rtdc.4008:itc</v>
      </c>
      <c r="G44" s="13">
        <f t="shared" si="1"/>
        <v>42548.845659722225</v>
      </c>
    </row>
    <row r="45" spans="1:7" x14ac:dyDescent="0.25">
      <c r="A45" s="13">
        <v>42547.81045138889</v>
      </c>
      <c r="B45" s="42" t="s">
        <v>166</v>
      </c>
      <c r="C45" s="42" t="s">
        <v>219</v>
      </c>
      <c r="D45" s="42">
        <v>1800000</v>
      </c>
      <c r="E45" s="42" t="s">
        <v>170</v>
      </c>
      <c r="F45" s="42" t="str">
        <f t="shared" si="0"/>
        <v>rtdc.l.rtdc.4011:itc</v>
      </c>
      <c r="G45" s="13">
        <f t="shared" si="1"/>
        <v>42547.81045138889</v>
      </c>
    </row>
    <row r="46" spans="1:7" x14ac:dyDescent="0.25">
      <c r="A46" s="13">
        <v>42548.912754629629</v>
      </c>
      <c r="B46" s="42" t="s">
        <v>320</v>
      </c>
      <c r="C46" s="42" t="s">
        <v>334</v>
      </c>
      <c r="D46" s="42">
        <v>1770000</v>
      </c>
      <c r="E46" s="42" t="s">
        <v>145</v>
      </c>
      <c r="F46" s="42" t="str">
        <f t="shared" si="0"/>
        <v>rtdc.l.rtdc.4040:itc</v>
      </c>
      <c r="G46" s="13">
        <f t="shared" si="1"/>
        <v>42548.912754629629</v>
      </c>
    </row>
    <row r="47" spans="1:7" x14ac:dyDescent="0.25">
      <c r="A47" s="13">
        <v>42548.216585648152</v>
      </c>
      <c r="B47" s="42" t="s">
        <v>99</v>
      </c>
      <c r="C47" s="42" t="s">
        <v>254</v>
      </c>
      <c r="D47" s="42">
        <v>1460000</v>
      </c>
      <c r="E47" s="42" t="s">
        <v>143</v>
      </c>
      <c r="F47" s="42" t="str">
        <f t="shared" si="0"/>
        <v>rtdc.l.rtdc.4041:itc</v>
      </c>
      <c r="G47" s="13">
        <f t="shared" si="1"/>
        <v>42548.216585648152</v>
      </c>
    </row>
    <row r="48" spans="1:7" x14ac:dyDescent="0.25">
      <c r="A48" s="13">
        <v>42547.866493055553</v>
      </c>
      <c r="B48" s="42" t="s">
        <v>183</v>
      </c>
      <c r="C48" s="42" t="s">
        <v>223</v>
      </c>
      <c r="D48" s="42">
        <v>1770000</v>
      </c>
      <c r="E48" s="42" t="s">
        <v>145</v>
      </c>
      <c r="F48" s="42" t="str">
        <f t="shared" si="0"/>
        <v>rtdc.l.rtdc.4026:itc</v>
      </c>
      <c r="G48" s="13">
        <f t="shared" si="1"/>
        <v>42547.866493055553</v>
      </c>
    </row>
    <row r="49" spans="1:7" x14ac:dyDescent="0.25">
      <c r="A49" s="13">
        <v>42547.928217592591</v>
      </c>
      <c r="B49" s="42" t="s">
        <v>80</v>
      </c>
      <c r="C49" s="42" t="s">
        <v>248</v>
      </c>
      <c r="D49" s="42">
        <v>1280000</v>
      </c>
      <c r="E49" s="42" t="s">
        <v>245</v>
      </c>
      <c r="F49" s="42" t="str">
        <f t="shared" si="0"/>
        <v>rtdc.l.rtdc.4020:itc</v>
      </c>
      <c r="G49" s="13">
        <f t="shared" si="1"/>
        <v>42547.928217592591</v>
      </c>
    </row>
    <row r="50" spans="1:7" x14ac:dyDescent="0.25">
      <c r="A50" s="13">
        <v>42547.909444444442</v>
      </c>
      <c r="B50" s="42" t="s">
        <v>186</v>
      </c>
      <c r="C50" s="42" t="s">
        <v>231</v>
      </c>
      <c r="D50" s="42">
        <v>1770000</v>
      </c>
      <c r="E50" s="42" t="s">
        <v>145</v>
      </c>
      <c r="F50" s="42" t="str">
        <f t="shared" si="0"/>
        <v>rtdc.l.rtdc.4025:itc</v>
      </c>
      <c r="G50" s="13">
        <f t="shared" si="1"/>
        <v>42547.909444444442</v>
      </c>
    </row>
    <row r="51" spans="1:7" x14ac:dyDescent="0.25">
      <c r="A51" s="13">
        <v>42548.211782407408</v>
      </c>
      <c r="B51" s="42" t="s">
        <v>317</v>
      </c>
      <c r="C51" s="42" t="s">
        <v>358</v>
      </c>
      <c r="D51" s="42">
        <v>1840000</v>
      </c>
      <c r="E51" s="42" t="s">
        <v>142</v>
      </c>
      <c r="F51" s="42" t="str">
        <f t="shared" si="0"/>
        <v>rtdc.l.rtdc.4027:itc</v>
      </c>
      <c r="G51" s="13">
        <f t="shared" si="1"/>
        <v>42548.211782407408</v>
      </c>
    </row>
    <row r="52" spans="1:7" x14ac:dyDescent="0.25">
      <c r="A52" s="13">
        <v>42548.184398148151</v>
      </c>
      <c r="B52" s="42" t="s">
        <v>141</v>
      </c>
      <c r="C52" s="42" t="s">
        <v>348</v>
      </c>
      <c r="D52" s="42">
        <v>1230000</v>
      </c>
      <c r="E52" s="42" t="s">
        <v>553</v>
      </c>
      <c r="F52" s="42" t="str">
        <f t="shared" si="0"/>
        <v>rtdc.l.rtdc.4038:itc</v>
      </c>
      <c r="G52" s="13">
        <f t="shared" si="1"/>
        <v>42548.184398148151</v>
      </c>
    </row>
    <row r="53" spans="1:7" x14ac:dyDescent="0.25">
      <c r="A53" s="13">
        <v>42548.199097222219</v>
      </c>
      <c r="B53" s="42" t="s">
        <v>186</v>
      </c>
      <c r="C53" s="42" t="s">
        <v>352</v>
      </c>
      <c r="D53" s="42">
        <v>1090000</v>
      </c>
      <c r="E53" s="42" t="s">
        <v>557</v>
      </c>
      <c r="F53" s="42" t="str">
        <f t="shared" si="0"/>
        <v>rtdc.l.rtdc.4025:itc</v>
      </c>
      <c r="G53" s="13">
        <f t="shared" si="1"/>
        <v>42548.199097222219</v>
      </c>
    </row>
    <row r="54" spans="1:7" x14ac:dyDescent="0.25">
      <c r="A54" s="13">
        <v>42548.257337962961</v>
      </c>
      <c r="B54" s="42" t="s">
        <v>141</v>
      </c>
      <c r="C54" s="42" t="s">
        <v>366</v>
      </c>
      <c r="D54" s="42">
        <v>1230000</v>
      </c>
      <c r="E54" s="42" t="s">
        <v>553</v>
      </c>
      <c r="F54" s="42" t="str">
        <f t="shared" si="0"/>
        <v>rtdc.l.rtdc.4038:itc</v>
      </c>
      <c r="G54" s="13">
        <f t="shared" si="1"/>
        <v>42548.257337962961</v>
      </c>
    </row>
    <row r="55" spans="1:7" x14ac:dyDescent="0.25">
      <c r="A55" s="13">
        <v>42548.191851851851</v>
      </c>
      <c r="B55" s="42" t="s">
        <v>86</v>
      </c>
      <c r="C55" s="42" t="s">
        <v>344</v>
      </c>
      <c r="D55" s="42">
        <v>1480000</v>
      </c>
      <c r="E55" s="42" t="s">
        <v>168</v>
      </c>
      <c r="F55" s="42" t="str">
        <f t="shared" si="0"/>
        <v>rtdc.l.rtdc.4008:itc</v>
      </c>
      <c r="G55" s="13">
        <f t="shared" si="1"/>
        <v>42548.191851851851</v>
      </c>
    </row>
    <row r="56" spans="1:7" x14ac:dyDescent="0.25">
      <c r="A56" s="13">
        <v>42548.361550925925</v>
      </c>
      <c r="B56" s="42" t="s">
        <v>317</v>
      </c>
      <c r="C56" s="42" t="s">
        <v>396</v>
      </c>
      <c r="D56" s="42">
        <v>1840000</v>
      </c>
      <c r="E56" s="42" t="s">
        <v>142</v>
      </c>
      <c r="F56" s="42" t="str">
        <f t="shared" si="0"/>
        <v>rtdc.l.rtdc.4027:itc</v>
      </c>
      <c r="G56" s="13">
        <f t="shared" si="1"/>
        <v>42548.361550925925</v>
      </c>
    </row>
    <row r="57" spans="1:7" x14ac:dyDescent="0.25">
      <c r="A57" s="13">
        <v>42548.130011574074</v>
      </c>
      <c r="B57" s="42" t="s">
        <v>251</v>
      </c>
      <c r="C57" s="42" t="s">
        <v>252</v>
      </c>
      <c r="D57" s="42">
        <v>1840000</v>
      </c>
      <c r="E57" s="42" t="s">
        <v>142</v>
      </c>
      <c r="F57" s="42" t="str">
        <f t="shared" si="0"/>
        <v>rtdc.l.rtdc.4029:itc</v>
      </c>
      <c r="G57" s="13">
        <f t="shared" si="1"/>
        <v>42548.130011574074</v>
      </c>
    </row>
    <row r="58" spans="1:7" x14ac:dyDescent="0.25">
      <c r="A58" s="13">
        <v>42547.894618055558</v>
      </c>
      <c r="B58" s="42" t="s">
        <v>88</v>
      </c>
      <c r="C58" s="42" t="s">
        <v>208</v>
      </c>
      <c r="D58" s="42">
        <v>1750000</v>
      </c>
      <c r="E58" s="42" t="s">
        <v>247</v>
      </c>
      <c r="F58" s="42" t="str">
        <f t="shared" si="0"/>
        <v>rtdc.l.rtdc.4031:itc</v>
      </c>
      <c r="G58" s="13">
        <f t="shared" si="1"/>
        <v>42547.894618055558</v>
      </c>
    </row>
    <row r="59" spans="1:7" x14ac:dyDescent="0.25">
      <c r="A59" s="13">
        <v>42547.905023148145</v>
      </c>
      <c r="B59" s="42" t="s">
        <v>88</v>
      </c>
      <c r="C59" s="42" t="s">
        <v>208</v>
      </c>
      <c r="D59" s="42">
        <v>1750000</v>
      </c>
      <c r="E59" s="42" t="s">
        <v>247</v>
      </c>
      <c r="F59" s="42" t="str">
        <f t="shared" si="0"/>
        <v>rtdc.l.rtdc.4031:itc</v>
      </c>
      <c r="G59" s="13">
        <f t="shared" si="1"/>
        <v>42547.905023148145</v>
      </c>
    </row>
    <row r="60" spans="1:7" x14ac:dyDescent="0.25">
      <c r="A60" s="13">
        <v>42548.151307870372</v>
      </c>
      <c r="B60" s="42" t="s">
        <v>88</v>
      </c>
      <c r="C60" s="42" t="s">
        <v>341</v>
      </c>
      <c r="D60" s="42">
        <v>1480000</v>
      </c>
      <c r="E60" s="42" t="s">
        <v>168</v>
      </c>
      <c r="F60" s="42" t="str">
        <f t="shared" si="0"/>
        <v>rtdc.l.rtdc.4031:itc</v>
      </c>
      <c r="G60" s="13">
        <f t="shared" si="1"/>
        <v>42548.151307870372</v>
      </c>
    </row>
    <row r="61" spans="1:7" x14ac:dyDescent="0.25">
      <c r="A61" s="13">
        <v>42547.972962962966</v>
      </c>
      <c r="B61" s="42" t="s">
        <v>79</v>
      </c>
      <c r="C61" s="42" t="s">
        <v>233</v>
      </c>
      <c r="D61" s="42">
        <v>1280000</v>
      </c>
      <c r="E61" s="42" t="s">
        <v>245</v>
      </c>
      <c r="F61" s="42" t="str">
        <f t="shared" si="0"/>
        <v>rtdc.l.rtdc.4019:itc</v>
      </c>
      <c r="G61" s="13">
        <f t="shared" si="1"/>
        <v>42547.972962962966</v>
      </c>
    </row>
    <row r="62" spans="1:7" x14ac:dyDescent="0.25">
      <c r="A62" s="13">
        <v>42548.308333333334</v>
      </c>
      <c r="B62" s="42" t="s">
        <v>87</v>
      </c>
      <c r="C62" s="42" t="s">
        <v>378</v>
      </c>
      <c r="D62" s="42">
        <v>2030000</v>
      </c>
      <c r="E62" s="42" t="s">
        <v>550</v>
      </c>
      <c r="F62" s="42" t="str">
        <f t="shared" si="0"/>
        <v>rtdc.l.rtdc.4007:itc</v>
      </c>
      <c r="G62" s="13">
        <f t="shared" si="1"/>
        <v>42548.308333333334</v>
      </c>
    </row>
    <row r="63" spans="1:7" x14ac:dyDescent="0.25">
      <c r="A63" s="13">
        <v>42547.84952546296</v>
      </c>
      <c r="B63" s="42" t="s">
        <v>80</v>
      </c>
      <c r="C63" s="42" t="s">
        <v>225</v>
      </c>
      <c r="D63" s="42">
        <v>1280000</v>
      </c>
      <c r="E63" s="42" t="s">
        <v>245</v>
      </c>
      <c r="F63" s="42" t="str">
        <f t="shared" si="0"/>
        <v>rtdc.l.rtdc.4020:itc</v>
      </c>
      <c r="G63" s="13">
        <f t="shared" si="1"/>
        <v>42547.84952546296</v>
      </c>
    </row>
    <row r="64" spans="1:7" x14ac:dyDescent="0.25">
      <c r="A64" s="59">
        <v>42548.414143518516</v>
      </c>
      <c r="B64" s="42" t="s">
        <v>86</v>
      </c>
      <c r="C64" s="42" t="s">
        <v>406</v>
      </c>
      <c r="D64" s="42">
        <v>2030000</v>
      </c>
      <c r="E64" s="42" t="s">
        <v>550</v>
      </c>
      <c r="F64" s="42" t="str">
        <f t="shared" si="0"/>
        <v>rtdc.l.rtdc.4008:itc</v>
      </c>
      <c r="G64" s="13">
        <f t="shared" si="1"/>
        <v>42548.414143518516</v>
      </c>
    </row>
    <row r="65" spans="1:7" x14ac:dyDescent="0.25">
      <c r="A65" s="13">
        <v>42547.951597222222</v>
      </c>
      <c r="B65" s="42" t="s">
        <v>183</v>
      </c>
      <c r="C65" s="42" t="s">
        <v>232</v>
      </c>
      <c r="D65" s="42">
        <v>1770000</v>
      </c>
      <c r="E65" s="42" t="s">
        <v>145</v>
      </c>
      <c r="F65" s="42" t="str">
        <f t="shared" si="0"/>
        <v>rtdc.l.rtdc.4026:itc</v>
      </c>
      <c r="G65" s="13">
        <f t="shared" si="1"/>
        <v>42547.951597222222</v>
      </c>
    </row>
    <row r="66" spans="1:7" x14ac:dyDescent="0.25">
      <c r="A66" s="13">
        <v>42547.89266203704</v>
      </c>
      <c r="B66" s="42" t="s">
        <v>166</v>
      </c>
      <c r="C66" s="42" t="s">
        <v>229</v>
      </c>
      <c r="D66" s="42">
        <v>1800000</v>
      </c>
      <c r="E66" s="42" t="s">
        <v>170</v>
      </c>
      <c r="F66" s="42" t="str">
        <f t="shared" ref="F66:F129" si="2">B66</f>
        <v>rtdc.l.rtdc.4011:itc</v>
      </c>
      <c r="G66" s="13">
        <f t="shared" ref="G66:G129" si="3">A66</f>
        <v>42547.89266203704</v>
      </c>
    </row>
    <row r="67" spans="1:7" x14ac:dyDescent="0.25">
      <c r="A67" s="13">
        <v>42547.842928240738</v>
      </c>
      <c r="B67" s="42" t="s">
        <v>88</v>
      </c>
      <c r="C67" s="42" t="s">
        <v>206</v>
      </c>
      <c r="D67" s="42">
        <v>1750000</v>
      </c>
      <c r="E67" s="42" t="s">
        <v>247</v>
      </c>
      <c r="F67" s="42" t="str">
        <f t="shared" si="2"/>
        <v>rtdc.l.rtdc.4031:itc</v>
      </c>
      <c r="G67" s="13">
        <f t="shared" si="3"/>
        <v>42547.842928240738</v>
      </c>
    </row>
    <row r="68" spans="1:7" x14ac:dyDescent="0.25">
      <c r="A68" s="13">
        <v>42547.95988425926</v>
      </c>
      <c r="B68" s="42" t="s">
        <v>183</v>
      </c>
      <c r="C68" s="42" t="s">
        <v>232</v>
      </c>
      <c r="D68" s="42">
        <v>1770000</v>
      </c>
      <c r="E68" s="42" t="s">
        <v>145</v>
      </c>
      <c r="F68" s="42" t="str">
        <f t="shared" si="2"/>
        <v>rtdc.l.rtdc.4026:itc</v>
      </c>
      <c r="G68" s="13">
        <f t="shared" si="3"/>
        <v>42547.95988425926</v>
      </c>
    </row>
    <row r="69" spans="1:7" x14ac:dyDescent="0.25">
      <c r="A69" s="13">
        <v>42547.850439814814</v>
      </c>
      <c r="B69" s="42" t="s">
        <v>167</v>
      </c>
      <c r="C69" s="42" t="s">
        <v>221</v>
      </c>
      <c r="D69" s="42">
        <v>1800000</v>
      </c>
      <c r="E69" s="42" t="s">
        <v>170</v>
      </c>
      <c r="F69" s="42" t="str">
        <f t="shared" si="2"/>
        <v>rtdc.l.rtdc.4012:itc</v>
      </c>
      <c r="G69" s="13">
        <f t="shared" si="3"/>
        <v>42547.850439814814</v>
      </c>
    </row>
    <row r="70" spans="1:7" x14ac:dyDescent="0.25">
      <c r="A70" s="13">
        <v>42547.976446759261</v>
      </c>
      <c r="B70" s="42" t="s">
        <v>166</v>
      </c>
      <c r="C70" s="42" t="s">
        <v>236</v>
      </c>
      <c r="D70" s="42">
        <v>1800000</v>
      </c>
      <c r="E70" s="42" t="s">
        <v>170</v>
      </c>
      <c r="F70" s="42" t="str">
        <f t="shared" si="2"/>
        <v>rtdc.l.rtdc.4011:itc</v>
      </c>
      <c r="G70" s="13">
        <f t="shared" si="3"/>
        <v>42547.976446759261</v>
      </c>
    </row>
    <row r="71" spans="1:7" x14ac:dyDescent="0.25">
      <c r="A71" s="13">
        <v>42548.758101851854</v>
      </c>
      <c r="B71" s="42" t="s">
        <v>320</v>
      </c>
      <c r="C71" s="42" t="s">
        <v>321</v>
      </c>
      <c r="D71" s="42">
        <v>1770000</v>
      </c>
      <c r="E71" s="42" t="s">
        <v>145</v>
      </c>
      <c r="F71" s="42" t="str">
        <f t="shared" si="2"/>
        <v>rtdc.l.rtdc.4040:itc</v>
      </c>
      <c r="G71" s="13">
        <f t="shared" si="3"/>
        <v>42548.758101851854</v>
      </c>
    </row>
    <row r="72" spans="1:7" x14ac:dyDescent="0.25">
      <c r="A72" s="13">
        <v>42548.012731481482</v>
      </c>
      <c r="B72" s="42" t="s">
        <v>558</v>
      </c>
      <c r="C72" s="42" t="s">
        <v>241</v>
      </c>
      <c r="D72" s="42">
        <v>1280000</v>
      </c>
      <c r="E72" s="42" t="s">
        <v>245</v>
      </c>
      <c r="F72" s="42" t="str">
        <f t="shared" si="2"/>
        <v>rtdc.l.rtdc.4044:itc</v>
      </c>
      <c r="G72" s="13">
        <f t="shared" si="3"/>
        <v>42548.012731481482</v>
      </c>
    </row>
    <row r="73" spans="1:7" x14ac:dyDescent="0.25">
      <c r="A73" s="13">
        <v>42548.739490740743</v>
      </c>
      <c r="B73" s="42" t="s">
        <v>100</v>
      </c>
      <c r="C73" s="42" t="s">
        <v>316</v>
      </c>
      <c r="D73" s="42">
        <v>1800000</v>
      </c>
      <c r="E73" s="42" t="s">
        <v>170</v>
      </c>
      <c r="F73" s="42" t="str">
        <f t="shared" si="2"/>
        <v>rtdc.l.rtdc.4042:itc</v>
      </c>
      <c r="G73" s="13">
        <f t="shared" si="3"/>
        <v>42548.739490740743</v>
      </c>
    </row>
    <row r="74" spans="1:7" x14ac:dyDescent="0.25">
      <c r="A74" s="13">
        <v>42548.238854166666</v>
      </c>
      <c r="B74" s="42" t="s">
        <v>100</v>
      </c>
      <c r="C74" s="42" t="s">
        <v>258</v>
      </c>
      <c r="D74" s="42">
        <v>1460000</v>
      </c>
      <c r="E74" s="42" t="s">
        <v>143</v>
      </c>
      <c r="F74" s="42" t="str">
        <f t="shared" si="2"/>
        <v>rtdc.l.rtdc.4042:itc</v>
      </c>
      <c r="G74" s="13">
        <f t="shared" si="3"/>
        <v>42548.238854166666</v>
      </c>
    </row>
    <row r="75" spans="1:7" x14ac:dyDescent="0.25">
      <c r="A75" s="13">
        <v>42548.71534722222</v>
      </c>
      <c r="B75" s="42" t="s">
        <v>165</v>
      </c>
      <c r="C75" s="42" t="s">
        <v>470</v>
      </c>
      <c r="D75" s="42">
        <v>1990000</v>
      </c>
      <c r="E75" s="42" t="s">
        <v>556</v>
      </c>
      <c r="F75" s="42" t="str">
        <f t="shared" si="2"/>
        <v>rtdc.l.rtdc.4023:itc</v>
      </c>
      <c r="G75" s="13">
        <f t="shared" si="3"/>
        <v>42548.71534722222</v>
      </c>
    </row>
    <row r="76" spans="1:7" x14ac:dyDescent="0.25">
      <c r="A76" s="13">
        <v>42548.256747685184</v>
      </c>
      <c r="B76" s="42" t="s">
        <v>141</v>
      </c>
      <c r="C76" s="42" t="s">
        <v>366</v>
      </c>
      <c r="D76" s="42">
        <v>1230000</v>
      </c>
      <c r="E76" s="42" t="s">
        <v>553</v>
      </c>
      <c r="F76" s="42" t="str">
        <f t="shared" si="2"/>
        <v>rtdc.l.rtdc.4038:itc</v>
      </c>
      <c r="G76" s="13">
        <f t="shared" si="3"/>
        <v>42548.256747685184</v>
      </c>
    </row>
    <row r="77" spans="1:7" x14ac:dyDescent="0.25">
      <c r="A77" s="13">
        <v>42548.94327546296</v>
      </c>
      <c r="B77" s="42" t="s">
        <v>83</v>
      </c>
      <c r="C77" s="42" t="s">
        <v>545</v>
      </c>
      <c r="D77" s="42">
        <v>1750000</v>
      </c>
      <c r="E77" s="42" t="s">
        <v>247</v>
      </c>
      <c r="F77" s="42" t="str">
        <f t="shared" si="2"/>
        <v>rtdc.l.rtdc.4017:itc</v>
      </c>
      <c r="G77" s="13">
        <f t="shared" si="3"/>
        <v>42548.94327546296</v>
      </c>
    </row>
    <row r="78" spans="1:7" x14ac:dyDescent="0.25">
      <c r="A78" s="13">
        <v>42548.29515046296</v>
      </c>
      <c r="B78" s="42" t="s">
        <v>244</v>
      </c>
      <c r="C78" s="42" t="s">
        <v>367</v>
      </c>
      <c r="D78" s="42">
        <v>1230000</v>
      </c>
      <c r="E78" s="42" t="s">
        <v>553</v>
      </c>
      <c r="F78" s="42" t="str">
        <f t="shared" si="2"/>
        <v>rtdc.l.rtdc.4037:itc</v>
      </c>
      <c r="G78" s="13">
        <f t="shared" si="3"/>
        <v>42548.29515046296</v>
      </c>
    </row>
    <row r="79" spans="1:7" x14ac:dyDescent="0.25">
      <c r="A79" s="13">
        <v>42548.794548611113</v>
      </c>
      <c r="B79" s="42" t="s">
        <v>329</v>
      </c>
      <c r="C79" s="42" t="s">
        <v>486</v>
      </c>
      <c r="D79" s="42">
        <v>1770000</v>
      </c>
      <c r="E79" s="42" t="s">
        <v>145</v>
      </c>
      <c r="F79" s="42" t="str">
        <f t="shared" si="2"/>
        <v>rtdc.l.rtdc.4039:itc</v>
      </c>
      <c r="G79" s="13">
        <f t="shared" si="3"/>
        <v>42548.794548611113</v>
      </c>
    </row>
    <row r="80" spans="1:7" x14ac:dyDescent="0.25">
      <c r="A80" s="13">
        <v>42548.345543981479</v>
      </c>
      <c r="B80" s="42" t="s">
        <v>86</v>
      </c>
      <c r="C80" s="42" t="s">
        <v>380</v>
      </c>
      <c r="D80" s="42">
        <v>2030000</v>
      </c>
      <c r="E80" s="42" t="s">
        <v>550</v>
      </c>
      <c r="F80" s="42" t="str">
        <f t="shared" si="2"/>
        <v>rtdc.l.rtdc.4008:itc</v>
      </c>
      <c r="G80" s="13">
        <f t="shared" si="3"/>
        <v>42548.345543981479</v>
      </c>
    </row>
    <row r="81" spans="1:7" x14ac:dyDescent="0.25">
      <c r="A81" s="13">
        <v>42548.652546296296</v>
      </c>
      <c r="B81" s="42" t="s">
        <v>317</v>
      </c>
      <c r="C81" s="42" t="s">
        <v>461</v>
      </c>
      <c r="D81" s="42">
        <v>2020000</v>
      </c>
      <c r="E81" s="42" t="s">
        <v>554</v>
      </c>
      <c r="F81" s="42" t="str">
        <f t="shared" si="2"/>
        <v>rtdc.l.rtdc.4027:itc</v>
      </c>
      <c r="G81" s="13">
        <f t="shared" si="3"/>
        <v>42548.652546296296</v>
      </c>
    </row>
    <row r="82" spans="1:7" x14ac:dyDescent="0.25">
      <c r="A82" s="13">
        <v>42548.289224537039</v>
      </c>
      <c r="B82" s="42" t="s">
        <v>165</v>
      </c>
      <c r="C82" s="42" t="s">
        <v>268</v>
      </c>
      <c r="D82" s="42">
        <v>900000</v>
      </c>
      <c r="E82" s="42" t="s">
        <v>555</v>
      </c>
      <c r="F82" s="42" t="str">
        <f t="shared" si="2"/>
        <v>rtdc.l.rtdc.4023:itc</v>
      </c>
      <c r="G82" s="13">
        <f t="shared" si="3"/>
        <v>42548.289224537039</v>
      </c>
    </row>
    <row r="83" spans="1:7" x14ac:dyDescent="0.25">
      <c r="A83" s="13">
        <v>42548.589745370373</v>
      </c>
      <c r="B83" s="42" t="s">
        <v>88</v>
      </c>
      <c r="C83" s="42" t="s">
        <v>295</v>
      </c>
      <c r="D83" s="42">
        <v>1540000</v>
      </c>
      <c r="E83" s="42" t="s">
        <v>189</v>
      </c>
      <c r="F83" s="42" t="str">
        <f t="shared" si="2"/>
        <v>rtdc.l.rtdc.4031:itc</v>
      </c>
      <c r="G83" s="13">
        <f t="shared" si="3"/>
        <v>42548.589745370373</v>
      </c>
    </row>
    <row r="84" spans="1:7" x14ac:dyDescent="0.25">
      <c r="A84" s="13">
        <v>42548.01662037037</v>
      </c>
      <c r="B84" s="42" t="s">
        <v>167</v>
      </c>
      <c r="C84" s="42" t="s">
        <v>237</v>
      </c>
      <c r="D84" s="42">
        <v>1800000</v>
      </c>
      <c r="E84" s="42" t="s">
        <v>170</v>
      </c>
      <c r="F84" s="42" t="str">
        <f t="shared" si="2"/>
        <v>rtdc.l.rtdc.4012:itc</v>
      </c>
      <c r="G84" s="13">
        <f t="shared" si="3"/>
        <v>42548.01662037037</v>
      </c>
    </row>
    <row r="85" spans="1:7" x14ac:dyDescent="0.25">
      <c r="A85" s="13">
        <v>42549.059525462966</v>
      </c>
      <c r="B85" s="42" t="s">
        <v>70</v>
      </c>
      <c r="C85" s="42" t="s">
        <v>517</v>
      </c>
      <c r="D85" s="42">
        <v>1280000</v>
      </c>
      <c r="E85" s="42" t="s">
        <v>245</v>
      </c>
      <c r="F85" s="42" t="str">
        <f t="shared" si="2"/>
        <v>rtdc.l.rtdc.4032:itc</v>
      </c>
      <c r="G85" s="13">
        <f t="shared" si="3"/>
        <v>42549.059525462966</v>
      </c>
    </row>
    <row r="86" spans="1:7" x14ac:dyDescent="0.25">
      <c r="A86" s="13">
        <v>42548.226226851853</v>
      </c>
      <c r="B86" s="42" t="s">
        <v>244</v>
      </c>
      <c r="C86" s="42" t="s">
        <v>350</v>
      </c>
      <c r="D86" s="42">
        <v>1230000</v>
      </c>
      <c r="E86" s="42" t="s">
        <v>553</v>
      </c>
      <c r="F86" s="42" t="str">
        <f t="shared" si="2"/>
        <v>rtdc.l.rtdc.4037:itc</v>
      </c>
      <c r="G86" s="13">
        <f t="shared" si="3"/>
        <v>42548.226226851853</v>
      </c>
    </row>
    <row r="87" spans="1:7" x14ac:dyDescent="0.25">
      <c r="A87" s="13">
        <v>42548.730509259258</v>
      </c>
      <c r="B87" s="42" t="s">
        <v>244</v>
      </c>
      <c r="C87" s="42" t="s">
        <v>474</v>
      </c>
      <c r="D87" s="42">
        <v>2040000</v>
      </c>
      <c r="E87" s="42" t="s">
        <v>549</v>
      </c>
      <c r="F87" s="42" t="str">
        <f t="shared" si="2"/>
        <v>rtdc.l.rtdc.4037:itc</v>
      </c>
      <c r="G87" s="13">
        <f t="shared" si="3"/>
        <v>42548.730509259258</v>
      </c>
    </row>
    <row r="88" spans="1:7" x14ac:dyDescent="0.25">
      <c r="A88" s="13">
        <v>42548.279594907406</v>
      </c>
      <c r="B88" s="42" t="s">
        <v>83</v>
      </c>
      <c r="C88" s="42" t="s">
        <v>520</v>
      </c>
      <c r="D88" s="42">
        <v>1820000</v>
      </c>
      <c r="E88" s="42" t="s">
        <v>130</v>
      </c>
      <c r="F88" s="42" t="str">
        <f t="shared" si="2"/>
        <v>rtdc.l.rtdc.4017:itc</v>
      </c>
      <c r="G88" s="13">
        <f t="shared" si="3"/>
        <v>42548.279594907406</v>
      </c>
    </row>
    <row r="89" spans="1:7" x14ac:dyDescent="0.25">
      <c r="A89" s="13">
        <v>42548.693043981482</v>
      </c>
      <c r="B89" s="42" t="s">
        <v>187</v>
      </c>
      <c r="C89" s="42" t="s">
        <v>463</v>
      </c>
      <c r="D89" s="42">
        <v>2020000</v>
      </c>
      <c r="E89" s="42" t="s">
        <v>554</v>
      </c>
      <c r="F89" s="42" t="str">
        <f t="shared" si="2"/>
        <v>rtdc.l.rtdc.4028:itc</v>
      </c>
      <c r="G89" s="13">
        <f t="shared" si="3"/>
        <v>42548.693043981482</v>
      </c>
    </row>
    <row r="90" spans="1:7" x14ac:dyDescent="0.25">
      <c r="A90" s="13">
        <v>42548.319837962961</v>
      </c>
      <c r="B90" s="42" t="s">
        <v>83</v>
      </c>
      <c r="C90" s="42" t="s">
        <v>522</v>
      </c>
      <c r="D90" s="42">
        <v>1820000</v>
      </c>
      <c r="E90" s="42" t="s">
        <v>130</v>
      </c>
      <c r="F90" s="42" t="str">
        <f t="shared" si="2"/>
        <v>rtdc.l.rtdc.4017:itc</v>
      </c>
      <c r="G90" s="13">
        <f t="shared" si="3"/>
        <v>42548.319837962961</v>
      </c>
    </row>
    <row r="91" spans="1:7" x14ac:dyDescent="0.25">
      <c r="A91" s="13">
        <v>42548.612905092596</v>
      </c>
      <c r="B91" s="42" t="s">
        <v>184</v>
      </c>
      <c r="C91" s="42" t="s">
        <v>452</v>
      </c>
      <c r="D91" s="42">
        <v>2000000</v>
      </c>
      <c r="E91" s="42" t="s">
        <v>546</v>
      </c>
      <c r="F91" s="42" t="str">
        <f t="shared" si="2"/>
        <v>rtdc.l.rtdc.4014:itc</v>
      </c>
      <c r="G91" s="13">
        <f t="shared" si="3"/>
        <v>42548.612905092596</v>
      </c>
    </row>
    <row r="92" spans="1:7" x14ac:dyDescent="0.25">
      <c r="A92" s="13">
        <v>42548.330960648149</v>
      </c>
      <c r="B92" s="42" t="s">
        <v>141</v>
      </c>
      <c r="C92" s="42" t="s">
        <v>385</v>
      </c>
      <c r="D92" s="42">
        <v>1230000</v>
      </c>
      <c r="E92" s="42" t="s">
        <v>553</v>
      </c>
      <c r="F92" s="42" t="str">
        <f t="shared" si="2"/>
        <v>rtdc.l.rtdc.4038:itc</v>
      </c>
      <c r="G92" s="13">
        <f t="shared" si="3"/>
        <v>42548.330960648149</v>
      </c>
    </row>
    <row r="93" spans="1:7" x14ac:dyDescent="0.25">
      <c r="A93" s="13">
        <v>42548.525671296295</v>
      </c>
      <c r="B93" s="42" t="s">
        <v>83</v>
      </c>
      <c r="C93" s="42" t="s">
        <v>529</v>
      </c>
      <c r="D93" s="42">
        <v>1460000</v>
      </c>
      <c r="E93" s="42" t="s">
        <v>143</v>
      </c>
      <c r="F93" s="42" t="str">
        <f t="shared" si="2"/>
        <v>rtdc.l.rtdc.4017:itc</v>
      </c>
      <c r="G93" s="13">
        <f t="shared" si="3"/>
        <v>42548.525671296295</v>
      </c>
    </row>
    <row r="94" spans="1:7" x14ac:dyDescent="0.25">
      <c r="A94" s="13">
        <v>42547.806516203702</v>
      </c>
      <c r="B94" s="42" t="s">
        <v>79</v>
      </c>
      <c r="C94" s="42" t="s">
        <v>217</v>
      </c>
      <c r="D94" s="42">
        <v>1280000</v>
      </c>
      <c r="E94" s="42" t="s">
        <v>245</v>
      </c>
      <c r="F94" s="42" t="str">
        <f t="shared" si="2"/>
        <v>rtdc.l.rtdc.4019:itc</v>
      </c>
      <c r="G94" s="13">
        <f t="shared" si="3"/>
        <v>42547.806516203702</v>
      </c>
    </row>
    <row r="95" spans="1:7" x14ac:dyDescent="0.25">
      <c r="A95" s="13">
        <v>42548.548379629632</v>
      </c>
      <c r="B95" s="42" t="s">
        <v>141</v>
      </c>
      <c r="C95" s="42" t="s">
        <v>439</v>
      </c>
      <c r="D95" s="42">
        <v>2040000</v>
      </c>
      <c r="E95" s="42" t="s">
        <v>549</v>
      </c>
      <c r="F95" s="42" t="str">
        <f t="shared" si="2"/>
        <v>rtdc.l.rtdc.4038:itc</v>
      </c>
      <c r="G95" s="13">
        <f t="shared" si="3"/>
        <v>42548.548379629632</v>
      </c>
    </row>
    <row r="96" spans="1:7" x14ac:dyDescent="0.25">
      <c r="A96" s="13">
        <v>42548.131145833337</v>
      </c>
      <c r="B96" s="42" t="s">
        <v>251</v>
      </c>
      <c r="C96" s="42" t="s">
        <v>252</v>
      </c>
      <c r="D96" s="42">
        <v>1840000</v>
      </c>
      <c r="E96" s="42" t="s">
        <v>142</v>
      </c>
      <c r="F96" s="42" t="str">
        <f t="shared" si="2"/>
        <v>rtdc.l.rtdc.4029:itc</v>
      </c>
      <c r="G96" s="13">
        <f t="shared" si="3"/>
        <v>42548.131145833337</v>
      </c>
    </row>
    <row r="97" spans="1:7" x14ac:dyDescent="0.25">
      <c r="A97" s="13">
        <v>42548.78087962963</v>
      </c>
      <c r="B97" s="42" t="s">
        <v>100</v>
      </c>
      <c r="C97" s="42" t="s">
        <v>540</v>
      </c>
      <c r="D97" s="42">
        <v>1800000</v>
      </c>
      <c r="E97" s="42" t="s">
        <v>170</v>
      </c>
      <c r="F97" s="42" t="str">
        <f t="shared" si="2"/>
        <v>rtdc.l.rtdc.4042:itc</v>
      </c>
      <c r="G97" s="13">
        <f t="shared" si="3"/>
        <v>42548.78087962963</v>
      </c>
    </row>
    <row r="98" spans="1:7" x14ac:dyDescent="0.25">
      <c r="A98" s="13">
        <v>42548.29277777778</v>
      </c>
      <c r="B98" s="42" t="s">
        <v>184</v>
      </c>
      <c r="C98" s="42" t="s">
        <v>267</v>
      </c>
      <c r="D98" s="42">
        <v>1840000</v>
      </c>
      <c r="E98" s="42" t="s">
        <v>142</v>
      </c>
      <c r="F98" s="42" t="str">
        <f t="shared" si="2"/>
        <v>rtdc.l.rtdc.4014:itc</v>
      </c>
      <c r="G98" s="13">
        <f t="shared" si="3"/>
        <v>42548.29277777778</v>
      </c>
    </row>
    <row r="99" spans="1:7" x14ac:dyDescent="0.25">
      <c r="A99" s="13">
        <v>42548.735011574077</v>
      </c>
      <c r="B99" s="42" t="s">
        <v>87</v>
      </c>
      <c r="C99" s="42" t="s">
        <v>315</v>
      </c>
      <c r="D99" s="42">
        <v>1780000</v>
      </c>
      <c r="E99" s="42" t="s">
        <v>249</v>
      </c>
      <c r="F99" s="42" t="str">
        <f t="shared" si="2"/>
        <v>rtdc.l.rtdc.4007:itc</v>
      </c>
      <c r="G99" s="13">
        <f t="shared" si="3"/>
        <v>42548.735011574077</v>
      </c>
    </row>
    <row r="100" spans="1:7" x14ac:dyDescent="0.25">
      <c r="A100" s="13">
        <v>42548.337118055555</v>
      </c>
      <c r="B100" s="42" t="s">
        <v>70</v>
      </c>
      <c r="C100" s="42" t="s">
        <v>275</v>
      </c>
      <c r="D100" s="42">
        <v>1310000</v>
      </c>
      <c r="E100" s="42" t="s">
        <v>144</v>
      </c>
      <c r="F100" s="42" t="str">
        <f t="shared" si="2"/>
        <v>rtdc.l.rtdc.4032:itc</v>
      </c>
      <c r="G100" s="13">
        <f t="shared" si="3"/>
        <v>42548.337118055555</v>
      </c>
    </row>
    <row r="101" spans="1:7" x14ac:dyDescent="0.25">
      <c r="A101" s="13">
        <v>42548.676041666666</v>
      </c>
      <c r="B101" s="42" t="s">
        <v>164</v>
      </c>
      <c r="C101" s="42" t="s">
        <v>468</v>
      </c>
      <c r="D101" s="42">
        <v>1990000</v>
      </c>
      <c r="E101" s="42" t="s">
        <v>556</v>
      </c>
      <c r="F101" s="42" t="str">
        <f t="shared" si="2"/>
        <v>rtdc.l.rtdc.4024:itc</v>
      </c>
      <c r="G101" s="13">
        <f t="shared" si="3"/>
        <v>42548.676041666666</v>
      </c>
    </row>
    <row r="102" spans="1:7" x14ac:dyDescent="0.25">
      <c r="A102" s="13">
        <v>42548.241365740738</v>
      </c>
      <c r="B102" s="42" t="s">
        <v>83</v>
      </c>
      <c r="C102" s="42" t="s">
        <v>257</v>
      </c>
      <c r="D102" s="42">
        <v>1820000</v>
      </c>
      <c r="E102" s="42" t="s">
        <v>130</v>
      </c>
      <c r="F102" s="42" t="str">
        <f t="shared" si="2"/>
        <v>rtdc.l.rtdc.4017:itc</v>
      </c>
      <c r="G102" s="13">
        <f t="shared" si="3"/>
        <v>42548.241365740738</v>
      </c>
    </row>
    <row r="103" spans="1:7" x14ac:dyDescent="0.25">
      <c r="A103" s="13">
        <v>42548.652013888888</v>
      </c>
      <c r="B103" s="42" t="s">
        <v>185</v>
      </c>
      <c r="C103" s="42" t="s">
        <v>455</v>
      </c>
      <c r="D103" s="42">
        <v>2000000</v>
      </c>
      <c r="E103" s="42" t="s">
        <v>546</v>
      </c>
      <c r="F103" s="42" t="str">
        <f t="shared" si="2"/>
        <v>rtdc.l.rtdc.4013:itc</v>
      </c>
      <c r="G103" s="13">
        <f t="shared" si="3"/>
        <v>42548.652013888888</v>
      </c>
    </row>
    <row r="104" spans="1:7" x14ac:dyDescent="0.25">
      <c r="A104" s="13">
        <v>42548.668055555558</v>
      </c>
      <c r="B104" s="42" t="s">
        <v>87</v>
      </c>
      <c r="C104" s="42" t="s">
        <v>465</v>
      </c>
      <c r="D104" s="42">
        <v>1540000</v>
      </c>
      <c r="E104" s="42" t="s">
        <v>189</v>
      </c>
      <c r="F104" s="42" t="str">
        <f t="shared" si="2"/>
        <v>rtdc.l.rtdc.4007:itc</v>
      </c>
      <c r="G104" s="13">
        <f t="shared" si="3"/>
        <v>42548.668055555558</v>
      </c>
    </row>
    <row r="105" spans="1:7" x14ac:dyDescent="0.25">
      <c r="A105" s="13">
        <v>42548.860208333332</v>
      </c>
      <c r="B105" s="42" t="s">
        <v>83</v>
      </c>
      <c r="C105" s="42" t="s">
        <v>328</v>
      </c>
      <c r="D105" s="42">
        <v>1750000</v>
      </c>
      <c r="E105" s="42" t="s">
        <v>247</v>
      </c>
      <c r="F105" s="42" t="str">
        <f t="shared" si="2"/>
        <v>rtdc.l.rtdc.4017:itc</v>
      </c>
      <c r="G105" s="13">
        <f t="shared" si="3"/>
        <v>42548.860208333332</v>
      </c>
    </row>
    <row r="106" spans="1:7" x14ac:dyDescent="0.25">
      <c r="A106" s="13">
        <v>42548.643935185188</v>
      </c>
      <c r="B106" s="42" t="s">
        <v>251</v>
      </c>
      <c r="C106" s="42" t="s">
        <v>306</v>
      </c>
      <c r="D106" s="42">
        <v>1260000</v>
      </c>
      <c r="E106" s="42" t="s">
        <v>188</v>
      </c>
      <c r="F106" s="42" t="str">
        <f t="shared" si="2"/>
        <v>rtdc.l.rtdc.4029:itc</v>
      </c>
      <c r="G106" s="13">
        <f t="shared" si="3"/>
        <v>42548.643935185188</v>
      </c>
    </row>
    <row r="107" spans="1:7" x14ac:dyDescent="0.25">
      <c r="A107" s="13">
        <v>42548.844976851855</v>
      </c>
      <c r="B107" s="42" t="s">
        <v>82</v>
      </c>
      <c r="C107" s="42" t="s">
        <v>326</v>
      </c>
      <c r="D107" s="42">
        <v>1750000</v>
      </c>
      <c r="E107" s="42" t="s">
        <v>247</v>
      </c>
      <c r="F107" s="42" t="str">
        <f t="shared" si="2"/>
        <v>rtdc.l.rtdc.4018:itc</v>
      </c>
      <c r="G107" s="13">
        <f t="shared" si="3"/>
        <v>42548.844976851855</v>
      </c>
    </row>
    <row r="108" spans="1:7" x14ac:dyDescent="0.25">
      <c r="A108" s="13">
        <v>42548.745868055557</v>
      </c>
      <c r="B108" s="42" t="s">
        <v>70</v>
      </c>
      <c r="C108" s="42" t="s">
        <v>476</v>
      </c>
      <c r="D108" s="42">
        <v>1120000</v>
      </c>
      <c r="E108" s="42" t="s">
        <v>169</v>
      </c>
      <c r="F108" s="42" t="str">
        <f t="shared" si="2"/>
        <v>rtdc.l.rtdc.4032:itc</v>
      </c>
      <c r="G108" s="13">
        <f t="shared" si="3"/>
        <v>42548.745868055557</v>
      </c>
    </row>
    <row r="109" spans="1:7" x14ac:dyDescent="0.25">
      <c r="A109" s="13">
        <v>42548.807685185187</v>
      </c>
      <c r="B109" s="42" t="s">
        <v>244</v>
      </c>
      <c r="C109" s="42" t="s">
        <v>324</v>
      </c>
      <c r="D109" s="42">
        <v>1280000</v>
      </c>
      <c r="E109" s="42" t="s">
        <v>245</v>
      </c>
      <c r="F109" s="42" t="str">
        <f t="shared" si="2"/>
        <v>rtdc.l.rtdc.4037:itc</v>
      </c>
      <c r="G109" s="13">
        <f t="shared" si="3"/>
        <v>42548.807685185187</v>
      </c>
    </row>
    <row r="110" spans="1:7" x14ac:dyDescent="0.25">
      <c r="A110" s="13">
        <v>42548.766180555554</v>
      </c>
      <c r="B110" s="42" t="s">
        <v>187</v>
      </c>
      <c r="C110" s="42" t="s">
        <v>482</v>
      </c>
      <c r="D110" s="42">
        <v>2020000</v>
      </c>
      <c r="E110" s="42" t="s">
        <v>554</v>
      </c>
      <c r="F110" s="42" t="str">
        <f t="shared" si="2"/>
        <v>rtdc.l.rtdc.4028:itc</v>
      </c>
      <c r="G110" s="13">
        <f t="shared" si="3"/>
        <v>42548.766180555554</v>
      </c>
    </row>
    <row r="111" spans="1:7" x14ac:dyDescent="0.25">
      <c r="A111" s="13">
        <v>42548.75172453704</v>
      </c>
      <c r="B111" s="42" t="s">
        <v>285</v>
      </c>
      <c r="C111" s="42" t="s">
        <v>480</v>
      </c>
      <c r="D111" s="42">
        <v>1140000</v>
      </c>
      <c r="E111" s="42" t="s">
        <v>559</v>
      </c>
      <c r="F111" s="42" t="str">
        <f t="shared" si="2"/>
        <v>rtdc.l.rtdc.4030:itc</v>
      </c>
      <c r="G111" s="13">
        <f t="shared" si="3"/>
        <v>42548.75172453704</v>
      </c>
    </row>
    <row r="112" spans="1:7" x14ac:dyDescent="0.25">
      <c r="A112" s="13">
        <v>42548.863298611112</v>
      </c>
      <c r="B112" s="42" t="s">
        <v>251</v>
      </c>
      <c r="C112" s="42" t="s">
        <v>332</v>
      </c>
      <c r="D112" s="42">
        <v>1140000</v>
      </c>
      <c r="E112" s="42" t="s">
        <v>559</v>
      </c>
      <c r="F112" s="42" t="str">
        <f t="shared" si="2"/>
        <v>rtdc.l.rtdc.4029:itc</v>
      </c>
      <c r="G112" s="13">
        <f t="shared" si="3"/>
        <v>42548.863298611112</v>
      </c>
    </row>
    <row r="113" spans="1:7" x14ac:dyDescent="0.25">
      <c r="A113" s="13">
        <v>42548.693993055553</v>
      </c>
      <c r="B113" s="42" t="s">
        <v>83</v>
      </c>
      <c r="C113" s="42" t="s">
        <v>534</v>
      </c>
      <c r="D113" s="42">
        <v>1750000</v>
      </c>
      <c r="E113" s="42" t="s">
        <v>247</v>
      </c>
      <c r="F113" s="42" t="str">
        <f t="shared" si="2"/>
        <v>rtdc.l.rtdc.4017:itc</v>
      </c>
      <c r="G113" s="13">
        <f t="shared" si="3"/>
        <v>42548.693993055553</v>
      </c>
    </row>
    <row r="114" spans="1:7" x14ac:dyDescent="0.25">
      <c r="A114" s="13">
        <v>42548.902638888889</v>
      </c>
      <c r="B114" s="42" t="s">
        <v>83</v>
      </c>
      <c r="C114" s="42" t="s">
        <v>542</v>
      </c>
      <c r="D114" s="42">
        <v>1750000</v>
      </c>
      <c r="E114" s="42" t="s">
        <v>247</v>
      </c>
      <c r="F114" s="42" t="str">
        <f t="shared" si="2"/>
        <v>rtdc.l.rtdc.4017:itc</v>
      </c>
      <c r="G114" s="13">
        <f t="shared" si="3"/>
        <v>42548.902638888889</v>
      </c>
    </row>
    <row r="115" spans="1:7" x14ac:dyDescent="0.25">
      <c r="A115" s="13">
        <v>42548.672013888892</v>
      </c>
      <c r="B115" s="42" t="s">
        <v>183</v>
      </c>
      <c r="C115" s="42" t="s">
        <v>308</v>
      </c>
      <c r="D115" s="42">
        <v>1120000</v>
      </c>
      <c r="E115" s="42" t="s">
        <v>169</v>
      </c>
      <c r="F115" s="42" t="str">
        <f t="shared" si="2"/>
        <v>rtdc.l.rtdc.4026:itc</v>
      </c>
      <c r="G115" s="13">
        <f t="shared" si="3"/>
        <v>42548.672013888892</v>
      </c>
    </row>
    <row r="116" spans="1:7" x14ac:dyDescent="0.25">
      <c r="A116" s="13">
        <v>42548.929861111108</v>
      </c>
      <c r="B116" s="42" t="s">
        <v>82</v>
      </c>
      <c r="C116" s="42" t="s">
        <v>333</v>
      </c>
      <c r="D116" s="42">
        <v>1750000</v>
      </c>
      <c r="E116" s="42" t="s">
        <v>247</v>
      </c>
      <c r="F116" s="42" t="str">
        <f t="shared" si="2"/>
        <v>rtdc.l.rtdc.4018:itc</v>
      </c>
      <c r="G116" s="13">
        <f t="shared" si="3"/>
        <v>42548.929861111108</v>
      </c>
    </row>
    <row r="117" spans="1:7" x14ac:dyDescent="0.25">
      <c r="A117" s="13">
        <v>42548.606724537036</v>
      </c>
      <c r="B117" s="42" t="s">
        <v>164</v>
      </c>
      <c r="C117" s="42" t="s">
        <v>300</v>
      </c>
      <c r="D117" s="42">
        <v>1990000</v>
      </c>
      <c r="E117" s="42" t="s">
        <v>556</v>
      </c>
      <c r="F117" s="42" t="str">
        <f t="shared" si="2"/>
        <v>rtdc.l.rtdc.4024:itc</v>
      </c>
      <c r="G117" s="13">
        <f t="shared" si="3"/>
        <v>42548.606724537036</v>
      </c>
    </row>
    <row r="118" spans="1:7" x14ac:dyDescent="0.25">
      <c r="A118" s="13">
        <v>42548.97452546296</v>
      </c>
      <c r="B118" s="42" t="s">
        <v>70</v>
      </c>
      <c r="C118" s="42" t="s">
        <v>508</v>
      </c>
      <c r="D118" s="42">
        <v>1280000</v>
      </c>
      <c r="E118" s="42" t="s">
        <v>245</v>
      </c>
      <c r="F118" s="42" t="str">
        <f t="shared" si="2"/>
        <v>rtdc.l.rtdc.4032:itc</v>
      </c>
      <c r="G118" s="13">
        <f t="shared" si="3"/>
        <v>42548.97452546296</v>
      </c>
    </row>
    <row r="119" spans="1:7" x14ac:dyDescent="0.25">
      <c r="A119" s="13">
        <v>42548.58730324074</v>
      </c>
      <c r="B119" s="42" t="s">
        <v>244</v>
      </c>
      <c r="C119" s="42" t="s">
        <v>441</v>
      </c>
      <c r="D119" s="42">
        <v>2040000</v>
      </c>
      <c r="E119" s="42" t="s">
        <v>549</v>
      </c>
      <c r="F119" s="42" t="str">
        <f t="shared" si="2"/>
        <v>rtdc.l.rtdc.4037:itc</v>
      </c>
      <c r="G119" s="13">
        <f t="shared" si="3"/>
        <v>42548.58730324074</v>
      </c>
    </row>
    <row r="120" spans="1:7" x14ac:dyDescent="0.25">
      <c r="A120" s="13">
        <v>42548.607268518521</v>
      </c>
      <c r="B120" s="42" t="s">
        <v>285</v>
      </c>
      <c r="C120" s="42" t="s">
        <v>445</v>
      </c>
      <c r="D120" s="42">
        <v>1260000</v>
      </c>
      <c r="E120" s="42" t="s">
        <v>188</v>
      </c>
      <c r="F120" s="42" t="str">
        <f t="shared" si="2"/>
        <v>rtdc.l.rtdc.4030:itc</v>
      </c>
      <c r="G120" s="13">
        <f t="shared" si="3"/>
        <v>42548.607268518521</v>
      </c>
    </row>
    <row r="121" spans="1:7" x14ac:dyDescent="0.25">
      <c r="A121" s="13">
        <v>42548.421469907407</v>
      </c>
      <c r="B121" s="42" t="s">
        <v>70</v>
      </c>
      <c r="C121" s="42" t="s">
        <v>401</v>
      </c>
      <c r="D121" s="42">
        <v>1310000</v>
      </c>
      <c r="E121" s="42" t="s">
        <v>144</v>
      </c>
      <c r="F121" s="42" t="str">
        <f t="shared" si="2"/>
        <v>rtdc.l.rtdc.4032:itc</v>
      </c>
      <c r="G121" s="13">
        <f t="shared" si="3"/>
        <v>42548.421469907407</v>
      </c>
    </row>
    <row r="122" spans="1:7" x14ac:dyDescent="0.25">
      <c r="A122" s="13">
        <v>42548.744814814818</v>
      </c>
      <c r="B122" s="58" t="s">
        <v>70</v>
      </c>
      <c r="C122" s="42" t="s">
        <v>476</v>
      </c>
      <c r="D122" s="42">
        <v>1120000</v>
      </c>
      <c r="E122" s="42" t="s">
        <v>169</v>
      </c>
      <c r="F122" s="42" t="str">
        <f t="shared" si="2"/>
        <v>rtdc.l.rtdc.4032:itc</v>
      </c>
      <c r="G122" s="13">
        <f t="shared" si="3"/>
        <v>42548.744814814818</v>
      </c>
    </row>
    <row r="123" spans="1:7" x14ac:dyDescent="0.25">
      <c r="A123" s="13">
        <v>42548.399942129632</v>
      </c>
      <c r="B123" s="42" t="s">
        <v>187</v>
      </c>
      <c r="C123" s="42" t="s">
        <v>398</v>
      </c>
      <c r="D123" s="42">
        <v>1840000</v>
      </c>
      <c r="E123" s="42" t="s">
        <v>142</v>
      </c>
      <c r="F123" s="42" t="str">
        <f t="shared" si="2"/>
        <v>rtdc.l.rtdc.4028:itc</v>
      </c>
      <c r="G123" s="13">
        <f t="shared" si="3"/>
        <v>42548.399942129632</v>
      </c>
    </row>
    <row r="124" spans="1:7" x14ac:dyDescent="0.25">
      <c r="A124" s="13">
        <v>42548.77611111111</v>
      </c>
      <c r="B124" s="42" t="s">
        <v>86</v>
      </c>
      <c r="C124" s="42" t="s">
        <v>483</v>
      </c>
      <c r="D124" s="42">
        <v>1780000</v>
      </c>
      <c r="E124" s="42" t="s">
        <v>249</v>
      </c>
      <c r="F124" s="42" t="str">
        <f t="shared" si="2"/>
        <v>rtdc.l.rtdc.4008:itc</v>
      </c>
      <c r="G124" s="13">
        <f t="shared" si="3"/>
        <v>42548.77611111111</v>
      </c>
    </row>
    <row r="125" spans="1:7" x14ac:dyDescent="0.25">
      <c r="A125" s="13">
        <v>42548.412939814814</v>
      </c>
      <c r="B125" s="42" t="s">
        <v>70</v>
      </c>
      <c r="C125" s="42" t="s">
        <v>401</v>
      </c>
      <c r="D125" s="42">
        <v>1310000</v>
      </c>
      <c r="E125" s="42" t="s">
        <v>144</v>
      </c>
      <c r="F125" s="42" t="str">
        <f t="shared" si="2"/>
        <v>rtdc.l.rtdc.4032:itc</v>
      </c>
      <c r="G125" s="13">
        <f t="shared" si="3"/>
        <v>42548.412939814814</v>
      </c>
    </row>
    <row r="126" spans="1:7" x14ac:dyDescent="0.25">
      <c r="A126" s="13">
        <v>42548.819409722222</v>
      </c>
      <c r="B126" s="42" t="s">
        <v>83</v>
      </c>
      <c r="C126" s="42" t="s">
        <v>541</v>
      </c>
      <c r="D126" s="42">
        <v>1750000</v>
      </c>
      <c r="E126" s="42" t="s">
        <v>247</v>
      </c>
      <c r="F126" s="42" t="str">
        <f t="shared" si="2"/>
        <v>rtdc.l.rtdc.4017:itc</v>
      </c>
      <c r="G126" s="13">
        <f t="shared" si="3"/>
        <v>42548.819409722222</v>
      </c>
    </row>
    <row r="127" spans="1:7" x14ac:dyDescent="0.25">
      <c r="A127" s="13">
        <v>42548.368518518517</v>
      </c>
      <c r="B127" s="42" t="s">
        <v>244</v>
      </c>
      <c r="C127" s="42" t="s">
        <v>387</v>
      </c>
      <c r="D127" s="42">
        <v>1230000</v>
      </c>
      <c r="E127" s="42" t="s">
        <v>553</v>
      </c>
      <c r="F127" s="42" t="str">
        <f t="shared" si="2"/>
        <v>rtdc.l.rtdc.4037:itc</v>
      </c>
      <c r="G127" s="13">
        <f t="shared" si="3"/>
        <v>42548.368518518517</v>
      </c>
    </row>
    <row r="128" spans="1:7" x14ac:dyDescent="0.25">
      <c r="A128" s="13">
        <v>42548.892743055556</v>
      </c>
      <c r="B128" s="42" t="s">
        <v>70</v>
      </c>
      <c r="C128" s="42" t="s">
        <v>498</v>
      </c>
      <c r="D128" s="42">
        <v>1280000</v>
      </c>
      <c r="E128" s="42" t="s">
        <v>245</v>
      </c>
      <c r="F128" s="42" t="str">
        <f t="shared" si="2"/>
        <v>rtdc.l.rtdc.4032:itc</v>
      </c>
      <c r="G128" s="13">
        <f t="shared" si="3"/>
        <v>42548.892743055556</v>
      </c>
    </row>
    <row r="129" spans="1:7" x14ac:dyDescent="0.25">
      <c r="A129" s="13">
        <v>42548.318009259259</v>
      </c>
      <c r="B129" s="42" t="s">
        <v>164</v>
      </c>
      <c r="C129" s="42" t="s">
        <v>270</v>
      </c>
      <c r="D129" s="42">
        <v>900000</v>
      </c>
      <c r="E129" s="42" t="s">
        <v>555</v>
      </c>
      <c r="F129" s="42" t="str">
        <f t="shared" si="2"/>
        <v>rtdc.l.rtdc.4024:itc</v>
      </c>
      <c r="G129" s="13">
        <f t="shared" si="3"/>
        <v>42548.318009259259</v>
      </c>
    </row>
    <row r="130" spans="1:7" x14ac:dyDescent="0.25">
      <c r="A130" s="13">
        <v>42548.973414351851</v>
      </c>
      <c r="B130" s="42" t="s">
        <v>87</v>
      </c>
      <c r="C130" s="42" t="s">
        <v>336</v>
      </c>
      <c r="D130" s="42">
        <v>1800000</v>
      </c>
      <c r="E130" s="42" t="s">
        <v>170</v>
      </c>
      <c r="F130" s="42" t="str">
        <f t="shared" ref="F130:F193" si="4">B130</f>
        <v>rtdc.l.rtdc.4007:itc</v>
      </c>
      <c r="G130" s="13">
        <f t="shared" ref="G130:G193" si="5">A130</f>
        <v>42548.973414351851</v>
      </c>
    </row>
    <row r="131" spans="1:7" x14ac:dyDescent="0.25">
      <c r="A131" s="13">
        <v>42547.818738425929</v>
      </c>
      <c r="B131" s="42" t="s">
        <v>70</v>
      </c>
      <c r="C131" s="42" t="s">
        <v>205</v>
      </c>
      <c r="D131" s="42">
        <v>1750000</v>
      </c>
      <c r="E131" s="42" t="s">
        <v>247</v>
      </c>
      <c r="F131" s="42" t="str">
        <f t="shared" si="4"/>
        <v>rtdc.l.rtdc.4032:itc</v>
      </c>
      <c r="G131" s="13">
        <f t="shared" si="5"/>
        <v>42547.818738425929</v>
      </c>
    </row>
    <row r="132" spans="1:7" x14ac:dyDescent="0.25">
      <c r="A132" s="13">
        <v>42548.660254629627</v>
      </c>
      <c r="B132" s="42" t="s">
        <v>100</v>
      </c>
      <c r="C132" s="42" t="s">
        <v>305</v>
      </c>
      <c r="D132" s="42">
        <v>1800000</v>
      </c>
      <c r="E132" s="42" t="s">
        <v>170</v>
      </c>
      <c r="F132" s="42" t="str">
        <f t="shared" si="4"/>
        <v>rtdc.l.rtdc.4042:itc</v>
      </c>
      <c r="G132" s="13">
        <f t="shared" si="5"/>
        <v>42548.660254629627</v>
      </c>
    </row>
    <row r="133" spans="1:7" x14ac:dyDescent="0.25">
      <c r="A133" s="13">
        <v>42548.364120370374</v>
      </c>
      <c r="B133" s="42" t="s">
        <v>83</v>
      </c>
      <c r="C133" s="42" t="s">
        <v>274</v>
      </c>
      <c r="D133" s="42">
        <v>310000</v>
      </c>
      <c r="E133" s="42" t="s">
        <v>552</v>
      </c>
      <c r="F133" s="42" t="str">
        <f t="shared" si="4"/>
        <v>rtdc.l.rtdc.4017:itc</v>
      </c>
      <c r="G133" s="13">
        <f t="shared" si="5"/>
        <v>42548.364120370374</v>
      </c>
    </row>
    <row r="134" spans="1:7" x14ac:dyDescent="0.25">
      <c r="A134" s="13">
        <v>42548.789375</v>
      </c>
      <c r="B134" s="42" t="s">
        <v>251</v>
      </c>
      <c r="C134" s="42" t="s">
        <v>323</v>
      </c>
      <c r="D134" s="42">
        <v>1140000</v>
      </c>
      <c r="E134" s="42" t="s">
        <v>559</v>
      </c>
      <c r="F134" s="42" t="str">
        <f t="shared" si="4"/>
        <v>rtdc.l.rtdc.4029:itc</v>
      </c>
      <c r="G134" s="13">
        <f t="shared" si="5"/>
        <v>42548.789375</v>
      </c>
    </row>
    <row r="135" spans="1:7" x14ac:dyDescent="0.25">
      <c r="A135" s="13">
        <v>42548.338275462964</v>
      </c>
      <c r="B135" s="42" t="s">
        <v>99</v>
      </c>
      <c r="C135" s="42" t="s">
        <v>271</v>
      </c>
      <c r="D135" s="42">
        <v>1460000</v>
      </c>
      <c r="E135" s="42" t="s">
        <v>143</v>
      </c>
      <c r="F135" s="42" t="str">
        <f t="shared" si="4"/>
        <v>rtdc.l.rtdc.4041:itc</v>
      </c>
      <c r="G135" s="13">
        <f t="shared" si="5"/>
        <v>42548.338275462964</v>
      </c>
    </row>
    <row r="136" spans="1:7" x14ac:dyDescent="0.25">
      <c r="A136" s="13">
        <v>42548.951481481483</v>
      </c>
      <c r="B136" s="42" t="s">
        <v>329</v>
      </c>
      <c r="C136" s="42" t="s">
        <v>505</v>
      </c>
      <c r="D136" s="42">
        <v>1770000</v>
      </c>
      <c r="E136" s="42" t="s">
        <v>145</v>
      </c>
      <c r="F136" s="42" t="str">
        <f t="shared" si="4"/>
        <v>rtdc.l.rtdc.4039:itc</v>
      </c>
      <c r="G136" s="13">
        <f t="shared" si="5"/>
        <v>42548.951481481483</v>
      </c>
    </row>
    <row r="137" spans="1:7" x14ac:dyDescent="0.25">
      <c r="A137" s="13">
        <v>42548.261655092596</v>
      </c>
      <c r="B137" s="42" t="s">
        <v>70</v>
      </c>
      <c r="C137" s="42" t="s">
        <v>265</v>
      </c>
      <c r="D137" s="42">
        <v>1310000</v>
      </c>
      <c r="E137" s="42" t="s">
        <v>144</v>
      </c>
      <c r="F137" s="42" t="str">
        <f t="shared" si="4"/>
        <v>rtdc.l.rtdc.4032:itc</v>
      </c>
      <c r="G137" s="13">
        <f t="shared" si="5"/>
        <v>42548.261655092596</v>
      </c>
    </row>
    <row r="138" spans="1:7" x14ac:dyDescent="0.25">
      <c r="A138" s="13">
        <v>42548.761597222219</v>
      </c>
      <c r="B138" s="42" t="s">
        <v>82</v>
      </c>
      <c r="C138" s="42" t="s">
        <v>538</v>
      </c>
      <c r="D138" s="42">
        <v>1750000</v>
      </c>
      <c r="E138" s="42" t="s">
        <v>247</v>
      </c>
      <c r="F138" s="42" t="str">
        <f t="shared" si="4"/>
        <v>rtdc.l.rtdc.4018:itc</v>
      </c>
      <c r="G138" s="13">
        <f t="shared" si="5"/>
        <v>42548.761597222219</v>
      </c>
    </row>
    <row r="139" spans="1:7" x14ac:dyDescent="0.25">
      <c r="A139" s="13">
        <v>42547.91505787037</v>
      </c>
      <c r="B139" s="42" t="s">
        <v>70</v>
      </c>
      <c r="C139" s="42" t="s">
        <v>209</v>
      </c>
      <c r="D139" s="42">
        <v>1750000</v>
      </c>
      <c r="E139" s="42" t="s">
        <v>247</v>
      </c>
      <c r="F139" s="42" t="str">
        <f t="shared" si="4"/>
        <v>rtdc.l.rtdc.4032:itc</v>
      </c>
      <c r="G139" s="13">
        <f t="shared" si="5"/>
        <v>42547.91505787037</v>
      </c>
    </row>
    <row r="140" spans="1:7" x14ac:dyDescent="0.25">
      <c r="A140" s="13">
        <v>42548.777002314811</v>
      </c>
      <c r="B140" s="42" t="s">
        <v>83</v>
      </c>
      <c r="C140" s="42" t="s">
        <v>539</v>
      </c>
      <c r="D140" s="42">
        <v>1750000</v>
      </c>
      <c r="E140" s="42" t="s">
        <v>247</v>
      </c>
      <c r="F140" s="42" t="str">
        <f t="shared" si="4"/>
        <v>rtdc.l.rtdc.4017:itc</v>
      </c>
      <c r="G140" s="13">
        <f t="shared" si="5"/>
        <v>42548.777002314811</v>
      </c>
    </row>
    <row r="141" spans="1:7" x14ac:dyDescent="0.25">
      <c r="A141" s="13">
        <v>42548.500196759262</v>
      </c>
      <c r="B141" s="42" t="s">
        <v>82</v>
      </c>
      <c r="C141" s="42" t="s">
        <v>528</v>
      </c>
      <c r="D141" s="42">
        <v>1460000</v>
      </c>
      <c r="E141" s="42" t="s">
        <v>143</v>
      </c>
      <c r="F141" s="42" t="str">
        <f t="shared" si="4"/>
        <v>rtdc.l.rtdc.4018:itc</v>
      </c>
      <c r="G141" s="13">
        <f t="shared" si="5"/>
        <v>42548.500196759262</v>
      </c>
    </row>
    <row r="142" spans="1:7" x14ac:dyDescent="0.25">
      <c r="A142" s="13">
        <v>42548.531666666669</v>
      </c>
      <c r="B142" s="42" t="s">
        <v>87</v>
      </c>
      <c r="C142" s="42" t="s">
        <v>289</v>
      </c>
      <c r="D142" s="42">
        <v>1990000</v>
      </c>
      <c r="E142" s="42" t="s">
        <v>556</v>
      </c>
      <c r="F142" s="42" t="str">
        <f t="shared" si="4"/>
        <v>rtdc.l.rtdc.4007:itc</v>
      </c>
      <c r="G142" s="13">
        <f t="shared" si="5"/>
        <v>42548.531666666669</v>
      </c>
    </row>
    <row r="143" spans="1:7" x14ac:dyDescent="0.25">
      <c r="A143" s="13">
        <v>42548.342442129629</v>
      </c>
      <c r="B143" s="42" t="s">
        <v>186</v>
      </c>
      <c r="C143" s="42" t="s">
        <v>389</v>
      </c>
      <c r="D143" s="42">
        <v>1090000</v>
      </c>
      <c r="E143" s="42" t="s">
        <v>557</v>
      </c>
      <c r="F143" s="42" t="str">
        <f t="shared" si="4"/>
        <v>rtdc.l.rtdc.4025:itc</v>
      </c>
      <c r="G143" s="13">
        <f t="shared" si="5"/>
        <v>42548.342442129629</v>
      </c>
    </row>
    <row r="144" spans="1:7" x14ac:dyDescent="0.25">
      <c r="A144" s="13">
        <v>42548.496620370373</v>
      </c>
      <c r="B144" s="42" t="s">
        <v>86</v>
      </c>
      <c r="C144" s="42" t="s">
        <v>421</v>
      </c>
      <c r="D144" s="42">
        <v>1310000</v>
      </c>
      <c r="E144" s="42" t="s">
        <v>144</v>
      </c>
      <c r="F144" s="42" t="str">
        <f t="shared" si="4"/>
        <v>rtdc.l.rtdc.4008:itc</v>
      </c>
      <c r="G144" s="13">
        <f t="shared" si="5"/>
        <v>42548.496620370373</v>
      </c>
    </row>
    <row r="145" spans="1:7" x14ac:dyDescent="0.25">
      <c r="A145" s="13">
        <v>42548.305856481478</v>
      </c>
      <c r="B145" s="42" t="s">
        <v>183</v>
      </c>
      <c r="C145" s="42" t="s">
        <v>370</v>
      </c>
      <c r="D145" s="42">
        <v>1090000</v>
      </c>
      <c r="E145" s="42" t="s">
        <v>557</v>
      </c>
      <c r="F145" s="42" t="str">
        <f t="shared" si="4"/>
        <v>rtdc.l.rtdc.4026:itc</v>
      </c>
      <c r="G145" s="13">
        <f t="shared" si="5"/>
        <v>42548.305856481478</v>
      </c>
    </row>
    <row r="146" spans="1:7" x14ac:dyDescent="0.25">
      <c r="A146" s="13">
        <v>42548.514502314814</v>
      </c>
      <c r="B146" s="42" t="s">
        <v>317</v>
      </c>
      <c r="C146" s="42" t="s">
        <v>429</v>
      </c>
      <c r="D146" s="42">
        <v>2020000</v>
      </c>
      <c r="E146" s="42" t="s">
        <v>554</v>
      </c>
      <c r="F146" s="42" t="str">
        <f t="shared" si="4"/>
        <v>rtdc.l.rtdc.4027:itc</v>
      </c>
      <c r="G146" s="13">
        <f t="shared" si="5"/>
        <v>42548.514502314814</v>
      </c>
    </row>
    <row r="147" spans="1:7" x14ac:dyDescent="0.25">
      <c r="A147" s="13">
        <v>42548.248171296298</v>
      </c>
      <c r="B147" s="42" t="s">
        <v>164</v>
      </c>
      <c r="C147" s="42" t="s">
        <v>263</v>
      </c>
      <c r="D147" s="42">
        <v>900000</v>
      </c>
      <c r="E147" s="42" t="s">
        <v>555</v>
      </c>
      <c r="F147" s="42" t="str">
        <f t="shared" si="4"/>
        <v>rtdc.l.rtdc.4024:itc</v>
      </c>
      <c r="G147" s="13">
        <f t="shared" si="5"/>
        <v>42548.248171296298</v>
      </c>
    </row>
    <row r="148" spans="1:7" x14ac:dyDescent="0.25">
      <c r="A148" s="13">
        <v>42548.993067129632</v>
      </c>
      <c r="B148" s="42" t="s">
        <v>244</v>
      </c>
      <c r="C148" s="42" t="s">
        <v>510</v>
      </c>
      <c r="D148" s="42">
        <v>1140000</v>
      </c>
      <c r="E148" s="42" t="s">
        <v>559</v>
      </c>
      <c r="F148" s="42" t="str">
        <f t="shared" si="4"/>
        <v>rtdc.l.rtdc.4037:itc</v>
      </c>
      <c r="G148" s="13">
        <f t="shared" si="5"/>
        <v>42548.993067129632</v>
      </c>
    </row>
    <row r="149" spans="1:7" x14ac:dyDescent="0.25">
      <c r="A149" s="13">
        <v>42547.827673611115</v>
      </c>
      <c r="B149" s="42" t="s">
        <v>244</v>
      </c>
      <c r="C149" s="42" t="s">
        <v>218</v>
      </c>
      <c r="D149" s="42">
        <v>1290000</v>
      </c>
      <c r="E149" s="42" t="s">
        <v>246</v>
      </c>
      <c r="F149" s="42" t="str">
        <f t="shared" si="4"/>
        <v>rtdc.l.rtdc.4037:itc</v>
      </c>
      <c r="G149" s="13">
        <f t="shared" si="5"/>
        <v>42547.827673611115</v>
      </c>
    </row>
    <row r="150" spans="1:7" x14ac:dyDescent="0.25">
      <c r="A150" s="13">
        <v>42549.024699074071</v>
      </c>
      <c r="B150" s="42" t="s">
        <v>88</v>
      </c>
      <c r="C150" s="42" t="s">
        <v>515</v>
      </c>
      <c r="D150" s="42">
        <v>1280000</v>
      </c>
      <c r="E150" s="42" t="s">
        <v>245</v>
      </c>
      <c r="F150" s="42" t="str">
        <f t="shared" si="4"/>
        <v>rtdc.l.rtdc.4031:itc</v>
      </c>
      <c r="G150" s="13">
        <f t="shared" si="5"/>
        <v>42549.024699074071</v>
      </c>
    </row>
    <row r="151" spans="1:7" x14ac:dyDescent="0.25">
      <c r="A151" s="13">
        <v>42548.450590277775</v>
      </c>
      <c r="B151" s="42" t="s">
        <v>183</v>
      </c>
      <c r="C151" s="42" t="s">
        <v>282</v>
      </c>
      <c r="D151" s="42">
        <v>1090000</v>
      </c>
      <c r="E151" s="42" t="s">
        <v>557</v>
      </c>
      <c r="F151" s="42" t="str">
        <f t="shared" si="4"/>
        <v>rtdc.l.rtdc.4026:itc</v>
      </c>
      <c r="G151" s="13">
        <f t="shared" si="5"/>
        <v>42548.450590277775</v>
      </c>
    </row>
    <row r="152" spans="1:7" x14ac:dyDescent="0.25">
      <c r="A152" s="13">
        <v>42548.465567129628</v>
      </c>
      <c r="B152" s="42" t="s">
        <v>187</v>
      </c>
      <c r="C152" s="42" t="s">
        <v>283</v>
      </c>
      <c r="D152" s="42">
        <v>2010000</v>
      </c>
      <c r="E152" s="42" t="s">
        <v>548</v>
      </c>
      <c r="F152" s="42" t="str">
        <f t="shared" si="4"/>
        <v>rtdc.l.rtdc.4028:itc</v>
      </c>
      <c r="G152" s="13">
        <f t="shared" si="5"/>
        <v>42548.465567129628</v>
      </c>
    </row>
    <row r="153" spans="1:7" x14ac:dyDescent="0.25">
      <c r="A153" s="13">
        <v>42548.403703703705</v>
      </c>
      <c r="B153" s="42" t="s">
        <v>141</v>
      </c>
      <c r="C153" s="42" t="s">
        <v>410</v>
      </c>
      <c r="D153" s="42">
        <v>1230000</v>
      </c>
      <c r="E153" s="42" t="s">
        <v>553</v>
      </c>
      <c r="F153" s="42" t="str">
        <f t="shared" si="4"/>
        <v>rtdc.l.rtdc.4038:itc</v>
      </c>
      <c r="G153" s="13">
        <f t="shared" si="5"/>
        <v>42548.403703703705</v>
      </c>
    </row>
    <row r="154" spans="1:7" x14ac:dyDescent="0.25">
      <c r="A154" s="13">
        <v>42548.593402777777</v>
      </c>
      <c r="B154" s="42" t="s">
        <v>82</v>
      </c>
      <c r="C154" s="42" t="s">
        <v>532</v>
      </c>
      <c r="D154" s="42">
        <v>1750000</v>
      </c>
      <c r="E154" s="42" t="s">
        <v>247</v>
      </c>
      <c r="F154" s="42" t="str">
        <f t="shared" si="4"/>
        <v>rtdc.l.rtdc.4018:itc</v>
      </c>
      <c r="G154" s="13">
        <f t="shared" si="5"/>
        <v>42548.593402777777</v>
      </c>
    </row>
    <row r="155" spans="1:7" x14ac:dyDescent="0.25">
      <c r="A155" s="13">
        <v>42548.274178240739</v>
      </c>
      <c r="B155" s="42" t="s">
        <v>100</v>
      </c>
      <c r="C155" s="42" t="s">
        <v>264</v>
      </c>
      <c r="D155" s="42">
        <v>1460000</v>
      </c>
      <c r="E155" s="42" t="s">
        <v>143</v>
      </c>
      <c r="F155" s="42" t="str">
        <f t="shared" si="4"/>
        <v>rtdc.l.rtdc.4042:itc</v>
      </c>
      <c r="G155" s="13">
        <f t="shared" si="5"/>
        <v>42548.274178240739</v>
      </c>
    </row>
    <row r="156" spans="1:7" x14ac:dyDescent="0.25">
      <c r="A156" s="13">
        <v>42548.643391203703</v>
      </c>
      <c r="B156" s="42" t="s">
        <v>82</v>
      </c>
      <c r="C156" s="42" t="s">
        <v>303</v>
      </c>
      <c r="D156" s="42">
        <v>1750000</v>
      </c>
      <c r="E156" s="42" t="s">
        <v>247</v>
      </c>
      <c r="F156" s="42" t="str">
        <f t="shared" si="4"/>
        <v>rtdc.l.rtdc.4018:itc</v>
      </c>
      <c r="G156" s="13">
        <f t="shared" si="5"/>
        <v>42548.643391203703</v>
      </c>
    </row>
    <row r="157" spans="1:7" x14ac:dyDescent="0.25">
      <c r="A157" s="13">
        <v>42548.514236111114</v>
      </c>
      <c r="B157" s="42" t="s">
        <v>244</v>
      </c>
      <c r="C157" s="42" t="s">
        <v>291</v>
      </c>
      <c r="D157" s="42">
        <v>2040000</v>
      </c>
      <c r="E157" s="42" t="s">
        <v>549</v>
      </c>
      <c r="F157" s="42" t="str">
        <f t="shared" si="4"/>
        <v>rtdc.l.rtdc.4037:itc</v>
      </c>
      <c r="G157" s="13">
        <f t="shared" si="5"/>
        <v>42548.514236111114</v>
      </c>
    </row>
    <row r="158" spans="1:7" x14ac:dyDescent="0.25">
      <c r="A158" s="13">
        <v>42548.681273148148</v>
      </c>
      <c r="B158" s="42" t="s">
        <v>285</v>
      </c>
      <c r="C158" s="42" t="s">
        <v>460</v>
      </c>
      <c r="D158" s="42">
        <v>1260000</v>
      </c>
      <c r="E158" s="42" t="s">
        <v>188</v>
      </c>
      <c r="F158" s="42" t="str">
        <f t="shared" si="4"/>
        <v>rtdc.l.rtdc.4030:itc</v>
      </c>
      <c r="G158" s="13">
        <f t="shared" si="5"/>
        <v>42548.681273148148</v>
      </c>
    </row>
    <row r="159" spans="1:7" x14ac:dyDescent="0.25">
      <c r="A159" s="13">
        <v>42548.485405092593</v>
      </c>
      <c r="B159" s="42" t="s">
        <v>83</v>
      </c>
      <c r="C159" s="42" t="s">
        <v>527</v>
      </c>
      <c r="D159" s="42">
        <v>1460000</v>
      </c>
      <c r="E159" s="42" t="s">
        <v>143</v>
      </c>
      <c r="F159" s="42" t="str">
        <f t="shared" si="4"/>
        <v>rtdc.l.rtdc.4017:itc</v>
      </c>
      <c r="G159" s="13">
        <f t="shared" si="5"/>
        <v>42548.485405092593</v>
      </c>
    </row>
    <row r="160" spans="1:7" x14ac:dyDescent="0.25">
      <c r="A160" s="13">
        <v>42548.719837962963</v>
      </c>
      <c r="B160" s="42" t="s">
        <v>82</v>
      </c>
      <c r="C160" s="42" t="s">
        <v>313</v>
      </c>
      <c r="D160" s="42">
        <v>1750000</v>
      </c>
      <c r="E160" s="42" t="s">
        <v>247</v>
      </c>
      <c r="F160" s="42" t="str">
        <f t="shared" si="4"/>
        <v>rtdc.l.rtdc.4018:itc</v>
      </c>
      <c r="G160" s="13">
        <f t="shared" si="5"/>
        <v>42548.719837962963</v>
      </c>
    </row>
    <row r="161" spans="1:7" x14ac:dyDescent="0.25">
      <c r="A161" s="13">
        <v>42548.354259259257</v>
      </c>
      <c r="B161" s="42" t="s">
        <v>251</v>
      </c>
      <c r="C161" s="42" t="s">
        <v>276</v>
      </c>
      <c r="D161" s="42">
        <v>2010000</v>
      </c>
      <c r="E161" s="42" t="s">
        <v>548</v>
      </c>
      <c r="F161" s="42" t="str">
        <f t="shared" si="4"/>
        <v>rtdc.l.rtdc.4029:itc</v>
      </c>
      <c r="G161" s="13">
        <f t="shared" si="5"/>
        <v>42548.354259259257</v>
      </c>
    </row>
    <row r="162" spans="1:7" x14ac:dyDescent="0.25">
      <c r="A162" s="13">
        <v>42548.797997685186</v>
      </c>
      <c r="B162" s="42" t="s">
        <v>99</v>
      </c>
      <c r="C162" s="42" t="s">
        <v>544</v>
      </c>
      <c r="D162" s="42">
        <v>1800000</v>
      </c>
      <c r="E162" s="42" t="s">
        <v>170</v>
      </c>
      <c r="F162" s="42" t="str">
        <f t="shared" si="4"/>
        <v>rtdc.l.rtdc.4041:itc</v>
      </c>
      <c r="G162" s="13">
        <f t="shared" si="5"/>
        <v>42548.797997685186</v>
      </c>
    </row>
    <row r="163" spans="1:7" x14ac:dyDescent="0.25">
      <c r="A163" s="13">
        <v>42548.183692129627</v>
      </c>
      <c r="B163" s="42" t="s">
        <v>141</v>
      </c>
      <c r="C163" s="42" t="s">
        <v>348</v>
      </c>
      <c r="D163" s="42">
        <v>1230000</v>
      </c>
      <c r="E163" s="42" t="s">
        <v>553</v>
      </c>
      <c r="F163" s="42" t="str">
        <f t="shared" si="4"/>
        <v>rtdc.l.rtdc.4038:itc</v>
      </c>
      <c r="G163" s="13">
        <f t="shared" si="5"/>
        <v>42548.183692129627</v>
      </c>
    </row>
    <row r="164" spans="1:7" x14ac:dyDescent="0.25">
      <c r="A164" s="13">
        <v>42547.818078703705</v>
      </c>
      <c r="B164" s="42" t="s">
        <v>70</v>
      </c>
      <c r="C164" s="42" t="s">
        <v>204</v>
      </c>
      <c r="D164" s="42">
        <v>1750000</v>
      </c>
      <c r="E164" s="42" t="s">
        <v>247</v>
      </c>
      <c r="F164" s="42" t="str">
        <f t="shared" si="4"/>
        <v>rtdc.l.rtdc.4032:itc</v>
      </c>
      <c r="G164" s="13">
        <f t="shared" si="5"/>
        <v>42547.818078703705</v>
      </c>
    </row>
    <row r="165" spans="1:7" x14ac:dyDescent="0.25">
      <c r="A165" s="13">
        <v>42548.42560185185</v>
      </c>
      <c r="B165" s="42" t="s">
        <v>82</v>
      </c>
      <c r="C165" s="42" t="s">
        <v>280</v>
      </c>
      <c r="D165" s="42">
        <v>1460000</v>
      </c>
      <c r="E165" s="42" t="s">
        <v>143</v>
      </c>
      <c r="F165" s="42" t="str">
        <f t="shared" si="4"/>
        <v>rtdc.l.rtdc.4018:itc</v>
      </c>
      <c r="G165" s="13">
        <f t="shared" si="5"/>
        <v>42548.42560185185</v>
      </c>
    </row>
    <row r="166" spans="1:7" x14ac:dyDescent="0.25">
      <c r="A166" s="13">
        <v>42547.992037037038</v>
      </c>
      <c r="B166" s="42" t="s">
        <v>186</v>
      </c>
      <c r="C166" s="42" t="s">
        <v>239</v>
      </c>
      <c r="D166" s="42">
        <v>1770000</v>
      </c>
      <c r="E166" s="42" t="s">
        <v>145</v>
      </c>
      <c r="F166" s="42" t="str">
        <f t="shared" si="4"/>
        <v>rtdc.l.rtdc.4025:itc</v>
      </c>
      <c r="G166" s="13">
        <f t="shared" si="5"/>
        <v>42547.992037037038</v>
      </c>
    </row>
    <row r="167" spans="1:7" x14ac:dyDescent="0.25">
      <c r="A167" s="13">
        <v>42548.296770833331</v>
      </c>
      <c r="B167" s="42" t="s">
        <v>99</v>
      </c>
      <c r="C167" s="42" t="s">
        <v>521</v>
      </c>
      <c r="D167" s="42">
        <v>1460000</v>
      </c>
      <c r="E167" s="42" t="s">
        <v>143</v>
      </c>
      <c r="F167" s="42" t="str">
        <f t="shared" si="4"/>
        <v>rtdc.l.rtdc.4041:itc</v>
      </c>
      <c r="G167" s="13">
        <f t="shared" si="5"/>
        <v>42548.296770833331</v>
      </c>
    </row>
    <row r="168" spans="1:7" x14ac:dyDescent="0.25">
      <c r="A168" s="13">
        <v>42547.994664351849</v>
      </c>
      <c r="B168" s="42" t="s">
        <v>244</v>
      </c>
      <c r="C168" s="42" t="s">
        <v>235</v>
      </c>
      <c r="D168" s="42">
        <v>1290000</v>
      </c>
      <c r="E168" s="42" t="s">
        <v>246</v>
      </c>
      <c r="F168" s="42" t="str">
        <f t="shared" si="4"/>
        <v>rtdc.l.rtdc.4037:itc</v>
      </c>
      <c r="G168" s="13">
        <f t="shared" si="5"/>
        <v>42547.994664351849</v>
      </c>
    </row>
    <row r="169" spans="1:7" x14ac:dyDescent="0.25">
      <c r="A169" s="13">
        <v>42548.208414351851</v>
      </c>
      <c r="B169" s="42" t="s">
        <v>185</v>
      </c>
      <c r="C169" s="42" t="s">
        <v>256</v>
      </c>
      <c r="D169" s="42">
        <v>900000</v>
      </c>
      <c r="E169" s="42" t="s">
        <v>555</v>
      </c>
      <c r="F169" s="42" t="str">
        <f t="shared" si="4"/>
        <v>rtdc.l.rtdc.4013:itc</v>
      </c>
      <c r="G169" s="13">
        <f t="shared" si="5"/>
        <v>42548.208414351851</v>
      </c>
    </row>
    <row r="170" spans="1:7" x14ac:dyDescent="0.25">
      <c r="A170" s="13">
        <v>42548.170381944445</v>
      </c>
      <c r="B170" s="42" t="s">
        <v>187</v>
      </c>
      <c r="C170" s="42" t="s">
        <v>339</v>
      </c>
      <c r="D170" s="42">
        <v>1840000</v>
      </c>
      <c r="E170" s="42" t="s">
        <v>142</v>
      </c>
      <c r="F170" s="42" t="str">
        <f t="shared" si="4"/>
        <v>rtdc.l.rtdc.4028:itc</v>
      </c>
      <c r="G170" s="13">
        <f t="shared" si="5"/>
        <v>42548.170381944445</v>
      </c>
    </row>
    <row r="171" spans="1:7" x14ac:dyDescent="0.25">
      <c r="A171" s="13">
        <v>42548.79546296296</v>
      </c>
      <c r="B171" s="42" t="s">
        <v>329</v>
      </c>
      <c r="C171" s="42" t="s">
        <v>486</v>
      </c>
      <c r="D171" s="42">
        <v>1770000</v>
      </c>
      <c r="E171" s="42" t="s">
        <v>145</v>
      </c>
      <c r="F171" s="42" t="str">
        <f t="shared" si="4"/>
        <v>rtdc.l.rtdc.4039:itc</v>
      </c>
      <c r="G171" s="13">
        <f t="shared" si="5"/>
        <v>42548.79546296296</v>
      </c>
    </row>
    <row r="172" spans="1:7" x14ac:dyDescent="0.25">
      <c r="A172" s="13">
        <v>42548.226979166669</v>
      </c>
      <c r="B172" s="42" t="s">
        <v>88</v>
      </c>
      <c r="C172" s="42" t="s">
        <v>259</v>
      </c>
      <c r="D172" s="42">
        <v>1310000</v>
      </c>
      <c r="E172" s="42" t="s">
        <v>144</v>
      </c>
      <c r="F172" s="42" t="str">
        <f t="shared" si="4"/>
        <v>rtdc.l.rtdc.4031:itc</v>
      </c>
      <c r="G172" s="13">
        <f t="shared" si="5"/>
        <v>42548.226979166669</v>
      </c>
    </row>
    <row r="173" spans="1:7" x14ac:dyDescent="0.25">
      <c r="A173" s="13">
        <v>42548.786608796298</v>
      </c>
      <c r="B173" s="42" t="s">
        <v>165</v>
      </c>
      <c r="C173" s="42" t="s">
        <v>560</v>
      </c>
      <c r="D173" s="42">
        <v>1990000</v>
      </c>
      <c r="E173" s="42" t="s">
        <v>556</v>
      </c>
      <c r="F173" s="42" t="str">
        <f t="shared" si="4"/>
        <v>rtdc.l.rtdc.4023:itc</v>
      </c>
      <c r="G173" s="13">
        <f t="shared" si="5"/>
        <v>42548.786608796298</v>
      </c>
    </row>
    <row r="174" spans="1:7" x14ac:dyDescent="0.25">
      <c r="A174" s="13">
        <v>42548.234305555554</v>
      </c>
      <c r="B174" s="42" t="s">
        <v>183</v>
      </c>
      <c r="C174" s="42" t="s">
        <v>260</v>
      </c>
      <c r="D174" s="42">
        <v>1090000</v>
      </c>
      <c r="E174" s="42" t="s">
        <v>557</v>
      </c>
      <c r="F174" s="42" t="str">
        <f t="shared" si="4"/>
        <v>rtdc.l.rtdc.4026:itc</v>
      </c>
      <c r="G174" s="13">
        <f t="shared" si="5"/>
        <v>42548.234305555554</v>
      </c>
    </row>
    <row r="175" spans="1:7" x14ac:dyDescent="0.25">
      <c r="A175" s="13">
        <v>42549.016516203701</v>
      </c>
      <c r="B175" s="42" t="s">
        <v>86</v>
      </c>
      <c r="C175" s="42" t="s">
        <v>338</v>
      </c>
      <c r="D175" s="42">
        <v>1800000</v>
      </c>
      <c r="E175" s="42" t="s">
        <v>170</v>
      </c>
      <c r="F175" s="42" t="str">
        <f t="shared" si="4"/>
        <v>rtdc.l.rtdc.4008:itc</v>
      </c>
      <c r="G175" s="13">
        <f t="shared" si="5"/>
        <v>42549.016516203701</v>
      </c>
    </row>
    <row r="176" spans="1:7" x14ac:dyDescent="0.25">
      <c r="A176" s="13">
        <v>42548.257881944446</v>
      </c>
      <c r="B176" s="42" t="s">
        <v>99</v>
      </c>
      <c r="C176" s="42" t="s">
        <v>261</v>
      </c>
      <c r="D176" s="42">
        <v>1460000</v>
      </c>
      <c r="E176" s="42" t="s">
        <v>143</v>
      </c>
      <c r="F176" s="42" t="str">
        <f t="shared" si="4"/>
        <v>rtdc.l.rtdc.4041:itc</v>
      </c>
      <c r="G176" s="13">
        <f t="shared" si="5"/>
        <v>42548.257881944446</v>
      </c>
    </row>
    <row r="177" spans="1:7" x14ac:dyDescent="0.25">
      <c r="A177" s="13">
        <v>42548.867708333331</v>
      </c>
      <c r="B177" s="42" t="s">
        <v>329</v>
      </c>
      <c r="C177" s="42" t="s">
        <v>330</v>
      </c>
      <c r="D177" s="42">
        <v>1770000</v>
      </c>
      <c r="E177" s="42" t="s">
        <v>145</v>
      </c>
      <c r="F177" s="42" t="str">
        <f t="shared" si="4"/>
        <v>rtdc.l.rtdc.4039:itc</v>
      </c>
      <c r="G177" s="13">
        <f t="shared" si="5"/>
        <v>42548.867708333331</v>
      </c>
    </row>
    <row r="178" spans="1:7" x14ac:dyDescent="0.25">
      <c r="A178" s="13">
        <v>42548.291493055556</v>
      </c>
      <c r="B178" s="42" t="s">
        <v>184</v>
      </c>
      <c r="C178" s="42" t="s">
        <v>267</v>
      </c>
      <c r="D178" s="42">
        <v>1840000</v>
      </c>
      <c r="E178" s="42" t="s">
        <v>142</v>
      </c>
      <c r="F178" s="42" t="str">
        <f t="shared" si="4"/>
        <v>rtdc.l.rtdc.4014:itc</v>
      </c>
      <c r="G178" s="13">
        <f t="shared" si="5"/>
        <v>42548.291493055556</v>
      </c>
    </row>
    <row r="179" spans="1:7" x14ac:dyDescent="0.25">
      <c r="A179" s="13">
        <v>42548.846944444442</v>
      </c>
      <c r="B179" s="42" t="s">
        <v>88</v>
      </c>
      <c r="C179" s="42" t="s">
        <v>331</v>
      </c>
      <c r="D179" s="42">
        <v>1280000</v>
      </c>
      <c r="E179" s="42" t="s">
        <v>245</v>
      </c>
      <c r="F179" s="42" t="str">
        <f t="shared" si="4"/>
        <v>rtdc.l.rtdc.4031:itc</v>
      </c>
      <c r="G179" s="13">
        <f t="shared" si="5"/>
        <v>42548.846944444442</v>
      </c>
    </row>
    <row r="180" spans="1:7" x14ac:dyDescent="0.25">
      <c r="A180" s="13">
        <v>42548.30332175926</v>
      </c>
      <c r="B180" s="42" t="s">
        <v>82</v>
      </c>
      <c r="C180" s="42" t="s">
        <v>266</v>
      </c>
      <c r="D180" s="42">
        <v>1820000</v>
      </c>
      <c r="E180" s="42" t="s">
        <v>130</v>
      </c>
      <c r="F180" s="42" t="str">
        <f t="shared" si="4"/>
        <v>rtdc.l.rtdc.4018:itc</v>
      </c>
      <c r="G180" s="13">
        <f t="shared" si="5"/>
        <v>42548.30332175926</v>
      </c>
    </row>
    <row r="181" spans="1:7" x14ac:dyDescent="0.25">
      <c r="A181" s="13">
        <v>42548.933888888889</v>
      </c>
      <c r="B181" s="42" t="s">
        <v>88</v>
      </c>
      <c r="C181" s="42" t="s">
        <v>507</v>
      </c>
      <c r="D181" s="42">
        <v>1280000</v>
      </c>
      <c r="E181" s="42" t="s">
        <v>245</v>
      </c>
      <c r="F181" s="42" t="str">
        <f t="shared" si="4"/>
        <v>rtdc.l.rtdc.4031:itc</v>
      </c>
      <c r="G181" s="13">
        <f t="shared" si="5"/>
        <v>42548.933888888889</v>
      </c>
    </row>
    <row r="182" spans="1:7" x14ac:dyDescent="0.25">
      <c r="A182" s="13">
        <v>42548.321851851855</v>
      </c>
      <c r="B182" s="42" t="s">
        <v>164</v>
      </c>
      <c r="C182" s="42" t="s">
        <v>270</v>
      </c>
      <c r="D182" s="42">
        <v>900000</v>
      </c>
      <c r="E182" s="42" t="s">
        <v>555</v>
      </c>
      <c r="F182" s="42" t="str">
        <f t="shared" si="4"/>
        <v>rtdc.l.rtdc.4024:itc</v>
      </c>
      <c r="G182" s="13">
        <f t="shared" si="5"/>
        <v>42548.321851851855</v>
      </c>
    </row>
    <row r="183" spans="1:7" x14ac:dyDescent="0.25">
      <c r="A183" s="13">
        <v>42548.887303240743</v>
      </c>
      <c r="B183" s="42" t="s">
        <v>329</v>
      </c>
      <c r="C183" s="42" t="s">
        <v>330</v>
      </c>
      <c r="D183" s="42">
        <v>1770000</v>
      </c>
      <c r="E183" s="42" t="s">
        <v>145</v>
      </c>
      <c r="F183" s="42" t="str">
        <f t="shared" si="4"/>
        <v>rtdc.l.rtdc.4039:itc</v>
      </c>
      <c r="G183" s="13">
        <f t="shared" si="5"/>
        <v>42548.887303240743</v>
      </c>
    </row>
    <row r="184" spans="1:7" x14ac:dyDescent="0.25">
      <c r="A184" s="13">
        <v>42548.361122685186</v>
      </c>
      <c r="B184" s="42" t="s">
        <v>165</v>
      </c>
      <c r="C184" s="42" t="s">
        <v>278</v>
      </c>
      <c r="D184" s="42">
        <v>900000</v>
      </c>
      <c r="E184" s="42" t="s">
        <v>555</v>
      </c>
      <c r="F184" s="42" t="str">
        <f t="shared" si="4"/>
        <v>rtdc.l.rtdc.4023:itc</v>
      </c>
      <c r="G184" s="13">
        <f t="shared" si="5"/>
        <v>42548.361122685186</v>
      </c>
    </row>
    <row r="185" spans="1:7" x14ac:dyDescent="0.25">
      <c r="A185" s="13">
        <v>42548.755393518521</v>
      </c>
      <c r="B185" s="42" t="s">
        <v>70</v>
      </c>
      <c r="C185" s="42" t="s">
        <v>476</v>
      </c>
      <c r="D185" s="42">
        <v>1120000</v>
      </c>
      <c r="E185" s="42" t="s">
        <v>169</v>
      </c>
      <c r="F185" s="42" t="str">
        <f t="shared" si="4"/>
        <v>rtdc.l.rtdc.4032:itc</v>
      </c>
      <c r="G185" s="13">
        <f t="shared" si="5"/>
        <v>42548.755393518521</v>
      </c>
    </row>
    <row r="186" spans="1:7" x14ac:dyDescent="0.25">
      <c r="A186" s="13">
        <v>42548.381828703707</v>
      </c>
      <c r="B186" s="42" t="s">
        <v>87</v>
      </c>
      <c r="C186" s="42" t="s">
        <v>404</v>
      </c>
      <c r="D186" s="42">
        <v>2030000</v>
      </c>
      <c r="E186" s="42" t="s">
        <v>550</v>
      </c>
      <c r="F186" s="42" t="str">
        <f t="shared" si="4"/>
        <v>rtdc.l.rtdc.4007:itc</v>
      </c>
      <c r="G186" s="13">
        <f t="shared" si="5"/>
        <v>42548.381828703707</v>
      </c>
    </row>
    <row r="187" spans="1:7" x14ac:dyDescent="0.25">
      <c r="A187" s="13">
        <v>42548.797384259262</v>
      </c>
      <c r="B187" s="42" t="s">
        <v>329</v>
      </c>
      <c r="C187" s="42" t="s">
        <v>486</v>
      </c>
      <c r="D187" s="42">
        <v>1770000</v>
      </c>
      <c r="E187" s="42" t="s">
        <v>145</v>
      </c>
      <c r="F187" s="42" t="str">
        <f t="shared" si="4"/>
        <v>rtdc.l.rtdc.4039:itc</v>
      </c>
      <c r="G187" s="13">
        <f t="shared" si="5"/>
        <v>42548.797384259262</v>
      </c>
    </row>
    <row r="188" spans="1:7" x14ac:dyDescent="0.25">
      <c r="A188" s="13">
        <v>42547.883888888886</v>
      </c>
      <c r="B188" s="42" t="s">
        <v>88</v>
      </c>
      <c r="C188" s="42" t="s">
        <v>208</v>
      </c>
      <c r="D188" s="42">
        <v>1750000</v>
      </c>
      <c r="E188" s="42" t="s">
        <v>247</v>
      </c>
      <c r="F188" s="42" t="str">
        <f t="shared" si="4"/>
        <v>rtdc.l.rtdc.4031:itc</v>
      </c>
      <c r="G188" s="13">
        <f t="shared" si="5"/>
        <v>42547.883888888886</v>
      </c>
    </row>
    <row r="189" spans="1:7" x14ac:dyDescent="0.25">
      <c r="A189" s="13">
        <v>42548.807164351849</v>
      </c>
      <c r="B189" s="42" t="s">
        <v>82</v>
      </c>
      <c r="C189" s="42" t="s">
        <v>322</v>
      </c>
      <c r="D189" s="42">
        <v>1750000</v>
      </c>
      <c r="E189" s="42" t="s">
        <v>247</v>
      </c>
      <c r="F189" s="42" t="str">
        <f t="shared" si="4"/>
        <v>rtdc.l.rtdc.4018:itc</v>
      </c>
      <c r="G189" s="13">
        <f t="shared" si="5"/>
        <v>42548.807164351849</v>
      </c>
    </row>
    <row r="190" spans="1:7" x14ac:dyDescent="0.25">
      <c r="A190" s="13">
        <v>42547.952719907407</v>
      </c>
      <c r="B190" s="42" t="s">
        <v>70</v>
      </c>
      <c r="C190" s="42" t="s">
        <v>250</v>
      </c>
      <c r="D190" s="42">
        <v>1750000</v>
      </c>
      <c r="E190" s="42" t="s">
        <v>247</v>
      </c>
      <c r="F190" s="42" t="str">
        <f t="shared" si="4"/>
        <v>rtdc.l.rtdc.4032:itc</v>
      </c>
      <c r="G190" s="13">
        <f t="shared" si="5"/>
        <v>42547.952719907407</v>
      </c>
    </row>
    <row r="191" spans="1:7" x14ac:dyDescent="0.25">
      <c r="A191" s="13">
        <v>42548.788078703707</v>
      </c>
      <c r="B191" s="42" t="s">
        <v>165</v>
      </c>
      <c r="C191" s="42" t="s">
        <v>560</v>
      </c>
      <c r="D191" s="42">
        <v>1990000</v>
      </c>
      <c r="E191" s="42" t="s">
        <v>556</v>
      </c>
      <c r="F191" s="42" t="str">
        <f t="shared" si="4"/>
        <v>rtdc.l.rtdc.4023:itc</v>
      </c>
      <c r="G191" s="13">
        <f t="shared" si="5"/>
        <v>42548.788078703707</v>
      </c>
    </row>
    <row r="192" spans="1:7" x14ac:dyDescent="0.25">
      <c r="A192" s="13">
        <v>42547.977905092594</v>
      </c>
      <c r="B192" s="42" t="s">
        <v>70</v>
      </c>
      <c r="C192" s="42" t="s">
        <v>210</v>
      </c>
      <c r="D192" s="42">
        <v>1750000</v>
      </c>
      <c r="E192" s="42" t="s">
        <v>247</v>
      </c>
      <c r="F192" s="42" t="str">
        <f t="shared" si="4"/>
        <v>rtdc.l.rtdc.4032:itc</v>
      </c>
      <c r="G192" s="13">
        <f t="shared" si="5"/>
        <v>42547.977905092594</v>
      </c>
    </row>
    <row r="193" spans="1:7" x14ac:dyDescent="0.25">
      <c r="A193" s="13">
        <v>42549.035034722219</v>
      </c>
      <c r="B193" s="42" t="s">
        <v>329</v>
      </c>
      <c r="C193" s="42" t="s">
        <v>512</v>
      </c>
      <c r="D193" s="42">
        <v>1770000</v>
      </c>
      <c r="E193" s="42" t="s">
        <v>145</v>
      </c>
      <c r="F193" s="42" t="str">
        <f t="shared" si="4"/>
        <v>rtdc.l.rtdc.4039:itc</v>
      </c>
      <c r="G193" s="13">
        <f t="shared" si="5"/>
        <v>42549.035034722219</v>
      </c>
    </row>
    <row r="194" spans="1:7" x14ac:dyDescent="0.25">
      <c r="A194" s="13">
        <v>42548.171701388892</v>
      </c>
      <c r="B194" s="42" t="s">
        <v>164</v>
      </c>
      <c r="C194" s="42" t="s">
        <v>253</v>
      </c>
      <c r="D194" s="42">
        <v>900000</v>
      </c>
      <c r="E194" s="42" t="s">
        <v>555</v>
      </c>
      <c r="F194" s="42" t="str">
        <f t="shared" ref="F194:F235" si="6">B194</f>
        <v>rtdc.l.rtdc.4024:itc</v>
      </c>
      <c r="G194" s="13">
        <f t="shared" ref="G194:G235" si="7">A194</f>
        <v>42548.171701388892</v>
      </c>
    </row>
    <row r="195" spans="1:7" x14ac:dyDescent="0.25">
      <c r="A195" s="13">
        <v>42548.908032407409</v>
      </c>
      <c r="B195" s="42" t="s">
        <v>285</v>
      </c>
      <c r="C195" s="42" t="s">
        <v>561</v>
      </c>
      <c r="D195" s="42">
        <v>1140000</v>
      </c>
      <c r="E195" s="42" t="s">
        <v>559</v>
      </c>
      <c r="F195" s="42" t="str">
        <f t="shared" si="6"/>
        <v>rtdc.l.rtdc.4030:itc</v>
      </c>
      <c r="G195" s="13">
        <f t="shared" si="7"/>
        <v>42548.908032407409</v>
      </c>
    </row>
    <row r="196" spans="1:7" x14ac:dyDescent="0.25">
      <c r="A196" s="13">
        <v>42548.252476851849</v>
      </c>
      <c r="B196" s="42" t="s">
        <v>187</v>
      </c>
      <c r="C196" s="42" t="s">
        <v>360</v>
      </c>
      <c r="D196" s="42">
        <v>1840000</v>
      </c>
      <c r="E196" s="42" t="s">
        <v>142</v>
      </c>
      <c r="F196" s="42" t="str">
        <f t="shared" si="6"/>
        <v>rtdc.l.rtdc.4028:itc</v>
      </c>
      <c r="G196" s="13">
        <f t="shared" si="7"/>
        <v>42548.252476851849</v>
      </c>
    </row>
    <row r="197" spans="1:7" x14ac:dyDescent="0.25">
      <c r="A197" s="13">
        <v>42548.702418981484</v>
      </c>
      <c r="B197" s="42" t="s">
        <v>100</v>
      </c>
      <c r="C197" s="42" t="s">
        <v>535</v>
      </c>
      <c r="D197" s="42">
        <v>1800000</v>
      </c>
      <c r="E197" s="42" t="s">
        <v>170</v>
      </c>
      <c r="F197" s="42" t="str">
        <f t="shared" si="6"/>
        <v>rtdc.l.rtdc.4042:itc</v>
      </c>
      <c r="G197" s="13">
        <f t="shared" si="7"/>
        <v>42548.702418981484</v>
      </c>
    </row>
    <row r="198" spans="1:7" x14ac:dyDescent="0.25">
      <c r="A198" s="13">
        <v>42548.312511574077</v>
      </c>
      <c r="B198" s="42" t="s">
        <v>100</v>
      </c>
      <c r="C198" s="42" t="s">
        <v>523</v>
      </c>
      <c r="D198" s="42">
        <v>1460000</v>
      </c>
      <c r="E198" s="42" t="s">
        <v>143</v>
      </c>
      <c r="F198" s="42" t="str">
        <f t="shared" si="6"/>
        <v>rtdc.l.rtdc.4042:itc</v>
      </c>
      <c r="G198" s="13">
        <f t="shared" si="7"/>
        <v>42548.312511574077</v>
      </c>
    </row>
    <row r="199" spans="1:7" x14ac:dyDescent="0.25">
      <c r="A199" s="13">
        <v>42548.639560185184</v>
      </c>
      <c r="B199" s="42" t="s">
        <v>70</v>
      </c>
      <c r="C199" s="42" t="s">
        <v>451</v>
      </c>
      <c r="D199" s="42">
        <v>1540000</v>
      </c>
      <c r="E199" s="42" t="s">
        <v>189</v>
      </c>
      <c r="F199" s="42" t="str">
        <f t="shared" si="6"/>
        <v>rtdc.l.rtdc.4032:itc</v>
      </c>
      <c r="G199" s="13">
        <f t="shared" si="7"/>
        <v>42548.639560185184</v>
      </c>
    </row>
    <row r="200" spans="1:7" x14ac:dyDescent="0.25">
      <c r="A200" s="13">
        <v>42548.387592592589</v>
      </c>
      <c r="B200" s="42" t="s">
        <v>82</v>
      </c>
      <c r="C200" s="42" t="s">
        <v>524</v>
      </c>
      <c r="D200" s="42">
        <v>310000</v>
      </c>
      <c r="E200" s="42" t="s">
        <v>552</v>
      </c>
      <c r="F200" s="42" t="str">
        <f t="shared" si="6"/>
        <v>rtdc.l.rtdc.4018:itc</v>
      </c>
      <c r="G200" s="13">
        <f t="shared" si="7"/>
        <v>42548.387592592589</v>
      </c>
    </row>
    <row r="201" spans="1:7" x14ac:dyDescent="0.25">
      <c r="A201" s="13">
        <v>42548.579502314817</v>
      </c>
      <c r="B201" s="42" t="s">
        <v>317</v>
      </c>
      <c r="C201" s="42" t="s">
        <v>448</v>
      </c>
      <c r="D201" s="42">
        <v>2020000</v>
      </c>
      <c r="E201" s="42" t="s">
        <v>554</v>
      </c>
      <c r="F201" s="42" t="str">
        <f t="shared" si="6"/>
        <v>rtdc.l.rtdc.4027:itc</v>
      </c>
      <c r="G201" s="13">
        <f t="shared" si="7"/>
        <v>42548.579502314817</v>
      </c>
    </row>
    <row r="202" spans="1:7" x14ac:dyDescent="0.25">
      <c r="A202" s="59">
        <v>42548.391030092593</v>
      </c>
      <c r="B202" s="42" t="s">
        <v>285</v>
      </c>
      <c r="C202" s="42" t="s">
        <v>394</v>
      </c>
      <c r="D202" s="42">
        <v>2010000</v>
      </c>
      <c r="E202" s="42" t="s">
        <v>548</v>
      </c>
      <c r="F202" s="42" t="str">
        <f t="shared" si="6"/>
        <v>rtdc.l.rtdc.4030:itc</v>
      </c>
      <c r="G202" s="13">
        <f t="shared" si="7"/>
        <v>42548.391030092593</v>
      </c>
    </row>
    <row r="203" spans="1:7" x14ac:dyDescent="0.25">
      <c r="A203" s="13">
        <v>42548.470300925925</v>
      </c>
      <c r="B203" s="42" t="s">
        <v>187</v>
      </c>
      <c r="C203" s="42" t="s">
        <v>283</v>
      </c>
      <c r="D203" s="42">
        <v>2010000</v>
      </c>
      <c r="E203" s="42" t="s">
        <v>548</v>
      </c>
      <c r="F203" s="42" t="str">
        <f t="shared" si="6"/>
        <v>rtdc.l.rtdc.4028:itc</v>
      </c>
      <c r="G203" s="13">
        <f t="shared" si="7"/>
        <v>42548.470300925925</v>
      </c>
    </row>
    <row r="204" spans="1:7" x14ac:dyDescent="0.25">
      <c r="A204" s="13">
        <v>42548.404780092591</v>
      </c>
      <c r="B204" s="42" t="s">
        <v>83</v>
      </c>
      <c r="C204" s="42" t="s">
        <v>525</v>
      </c>
      <c r="D204" s="42">
        <v>1460000</v>
      </c>
      <c r="E204" s="42" t="s">
        <v>143</v>
      </c>
      <c r="F204" s="42" t="str">
        <f t="shared" si="6"/>
        <v>rtdc.l.rtdc.4017:itc</v>
      </c>
      <c r="G204" s="13">
        <f t="shared" si="7"/>
        <v>42548.404780092591</v>
      </c>
    </row>
    <row r="205" spans="1:7" x14ac:dyDescent="0.25">
      <c r="A205" s="13">
        <v>42548.352268518516</v>
      </c>
      <c r="B205" s="42" t="s">
        <v>251</v>
      </c>
      <c r="C205" s="42" t="s">
        <v>276</v>
      </c>
      <c r="D205" s="42">
        <v>2010000</v>
      </c>
      <c r="E205" s="42" t="s">
        <v>548</v>
      </c>
      <c r="F205" s="42" t="str">
        <f t="shared" si="6"/>
        <v>rtdc.l.rtdc.4029:itc</v>
      </c>
      <c r="G205" s="13">
        <f t="shared" si="7"/>
        <v>42548.352268518516</v>
      </c>
    </row>
    <row r="206" spans="1:7" x14ac:dyDescent="0.25">
      <c r="A206" s="13">
        <v>42548.414490740739</v>
      </c>
      <c r="B206" s="42" t="s">
        <v>186</v>
      </c>
      <c r="C206" s="42" t="s">
        <v>281</v>
      </c>
      <c r="D206" s="42">
        <v>1090000</v>
      </c>
      <c r="E206" s="42" t="s">
        <v>557</v>
      </c>
      <c r="F206" s="42" t="str">
        <f t="shared" si="6"/>
        <v>rtdc.l.rtdc.4025:itc</v>
      </c>
      <c r="G206" s="13">
        <f t="shared" si="7"/>
        <v>42548.414490740739</v>
      </c>
    </row>
    <row r="207" spans="1:7" x14ac:dyDescent="0.25">
      <c r="A207" s="13">
        <v>42548.308368055557</v>
      </c>
      <c r="B207" s="42" t="s">
        <v>285</v>
      </c>
      <c r="C207" s="42" t="s">
        <v>372</v>
      </c>
      <c r="D207" s="42">
        <v>2010000</v>
      </c>
      <c r="E207" s="42" t="s">
        <v>548</v>
      </c>
      <c r="F207" s="42" t="str">
        <f t="shared" si="6"/>
        <v>rtdc.l.rtdc.4030:itc</v>
      </c>
      <c r="G207" s="13">
        <f t="shared" si="7"/>
        <v>42548.308368055557</v>
      </c>
    </row>
    <row r="208" spans="1:7" x14ac:dyDescent="0.25">
      <c r="A208" s="13">
        <v>42548.422442129631</v>
      </c>
      <c r="B208" s="42" t="s">
        <v>251</v>
      </c>
      <c r="C208" s="42" t="s">
        <v>415</v>
      </c>
      <c r="D208" s="42">
        <v>1260000</v>
      </c>
      <c r="E208" s="42" t="s">
        <v>188</v>
      </c>
      <c r="F208" s="42" t="str">
        <f t="shared" si="6"/>
        <v>rtdc.l.rtdc.4029:itc</v>
      </c>
      <c r="G208" s="13">
        <f t="shared" si="7"/>
        <v>42548.422442129631</v>
      </c>
    </row>
    <row r="209" spans="1:7" x14ac:dyDescent="0.25">
      <c r="A209" s="13">
        <v>42548.703784722224</v>
      </c>
      <c r="B209" s="42" t="s">
        <v>86</v>
      </c>
      <c r="C209" s="42" t="s">
        <v>466</v>
      </c>
      <c r="D209" s="42">
        <v>1540000</v>
      </c>
      <c r="E209" s="42" t="s">
        <v>189</v>
      </c>
      <c r="F209" s="42" t="str">
        <f t="shared" si="6"/>
        <v>rtdc.l.rtdc.4008:itc</v>
      </c>
      <c r="G209" s="13">
        <f t="shared" si="7"/>
        <v>42548.703784722224</v>
      </c>
    </row>
    <row r="210" spans="1:7" x14ac:dyDescent="0.25">
      <c r="A210" s="13">
        <v>42548.424224537041</v>
      </c>
      <c r="B210" s="42" t="s">
        <v>251</v>
      </c>
      <c r="C210" s="42" t="s">
        <v>415</v>
      </c>
      <c r="D210" s="42">
        <v>1260000</v>
      </c>
      <c r="E210" s="42" t="s">
        <v>188</v>
      </c>
      <c r="F210" s="42" t="str">
        <f t="shared" si="6"/>
        <v>rtdc.l.rtdc.4029:itc</v>
      </c>
      <c r="G210" s="13">
        <f t="shared" si="7"/>
        <v>42548.424224537041</v>
      </c>
    </row>
    <row r="211" spans="1:7" x14ac:dyDescent="0.25">
      <c r="A211" s="13">
        <v>42548.548275462963</v>
      </c>
      <c r="B211" s="42" t="s">
        <v>187</v>
      </c>
      <c r="C211" s="42" t="s">
        <v>431</v>
      </c>
      <c r="D211" s="42">
        <v>2020000</v>
      </c>
      <c r="E211" s="42" t="s">
        <v>554</v>
      </c>
      <c r="F211" s="42" t="str">
        <f t="shared" si="6"/>
        <v>rtdc.l.rtdc.4028:itc</v>
      </c>
      <c r="G211" s="13">
        <f t="shared" si="7"/>
        <v>42548.548275462963</v>
      </c>
    </row>
    <row r="212" spans="1:7" x14ac:dyDescent="0.25">
      <c r="A212" s="13">
        <v>42548.441018518519</v>
      </c>
      <c r="B212" s="42" t="s">
        <v>244</v>
      </c>
      <c r="C212" s="42" t="s">
        <v>411</v>
      </c>
      <c r="D212" s="42">
        <v>1230000</v>
      </c>
      <c r="E212" s="42" t="s">
        <v>553</v>
      </c>
      <c r="F212" s="42" t="str">
        <f t="shared" si="6"/>
        <v>rtdc.l.rtdc.4037:itc</v>
      </c>
      <c r="G212" s="13">
        <f t="shared" si="7"/>
        <v>42548.441018518519</v>
      </c>
    </row>
    <row r="213" spans="1:7" x14ac:dyDescent="0.25">
      <c r="A213" s="13">
        <v>42548.325752314813</v>
      </c>
      <c r="B213" s="42" t="s">
        <v>185</v>
      </c>
      <c r="C213" s="42" t="s">
        <v>273</v>
      </c>
      <c r="D213" s="42">
        <v>1840000</v>
      </c>
      <c r="E213" s="42" t="s">
        <v>142</v>
      </c>
      <c r="F213" s="42" t="str">
        <f t="shared" si="6"/>
        <v>rtdc.l.rtdc.4013:itc</v>
      </c>
      <c r="G213" s="13">
        <f t="shared" si="7"/>
        <v>42548.325752314813</v>
      </c>
    </row>
    <row r="214" spans="1:7" x14ac:dyDescent="0.25">
      <c r="A214" s="13">
        <v>42548.443344907406</v>
      </c>
      <c r="B214" s="42" t="s">
        <v>88</v>
      </c>
      <c r="C214" s="42" t="s">
        <v>418</v>
      </c>
      <c r="D214" s="42">
        <v>1540000</v>
      </c>
      <c r="E214" s="42" t="s">
        <v>189</v>
      </c>
      <c r="F214" s="42" t="str">
        <f t="shared" si="6"/>
        <v>rtdc.l.rtdc.4031:itc</v>
      </c>
      <c r="G214" s="13">
        <f t="shared" si="7"/>
        <v>42548.443344907406</v>
      </c>
    </row>
    <row r="215" spans="1:7" x14ac:dyDescent="0.25">
      <c r="A215" s="13">
        <v>42547.933321759258</v>
      </c>
      <c r="B215" s="42" t="s">
        <v>167</v>
      </c>
      <c r="C215" s="42" t="s">
        <v>230</v>
      </c>
      <c r="D215" s="42">
        <v>1800000</v>
      </c>
      <c r="E215" s="42" t="s">
        <v>170</v>
      </c>
      <c r="F215" s="42" t="str">
        <f t="shared" si="6"/>
        <v>rtdc.l.rtdc.4012:itc</v>
      </c>
      <c r="G215" s="13">
        <f t="shared" si="7"/>
        <v>42547.933321759258</v>
      </c>
    </row>
    <row r="216" spans="1:7" x14ac:dyDescent="0.25">
      <c r="A216" s="13">
        <v>42548.459907407407</v>
      </c>
      <c r="B216" s="42" t="s">
        <v>285</v>
      </c>
      <c r="C216" s="42" t="s">
        <v>286</v>
      </c>
      <c r="D216" s="42">
        <v>1260000</v>
      </c>
      <c r="E216" s="42" t="s">
        <v>188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88</v>
      </c>
      <c r="C217" s="42" t="s">
        <v>433</v>
      </c>
      <c r="D217" s="42">
        <v>1540000</v>
      </c>
      <c r="E217" s="42" t="s">
        <v>189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186</v>
      </c>
      <c r="C218" s="42" t="s">
        <v>426</v>
      </c>
      <c r="D218" s="42">
        <v>1120000</v>
      </c>
      <c r="E218" s="42" t="s">
        <v>169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164</v>
      </c>
      <c r="C219" s="42" t="s">
        <v>422</v>
      </c>
      <c r="D219" s="42">
        <v>2000000</v>
      </c>
      <c r="E219" s="42" t="s">
        <v>546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251</v>
      </c>
      <c r="C220" s="42" t="s">
        <v>288</v>
      </c>
      <c r="D220" s="42">
        <v>1260000</v>
      </c>
      <c r="E220" s="42" t="s">
        <v>188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164</v>
      </c>
      <c r="C221" s="42" t="s">
        <v>407</v>
      </c>
      <c r="D221" s="42">
        <v>900000</v>
      </c>
      <c r="E221" s="42" t="s">
        <v>555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165</v>
      </c>
      <c r="C222" s="42" t="s">
        <v>423</v>
      </c>
      <c r="D222" s="42">
        <v>2000000</v>
      </c>
      <c r="E222" s="42" t="s">
        <v>546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244</v>
      </c>
      <c r="C223" s="42" t="s">
        <v>228</v>
      </c>
      <c r="D223" s="42">
        <v>1290000</v>
      </c>
      <c r="E223" s="42" t="s">
        <v>246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317</v>
      </c>
      <c r="C224" t="s">
        <v>429</v>
      </c>
      <c r="D224">
        <v>2020000</v>
      </c>
      <c r="E224" t="s">
        <v>554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83</v>
      </c>
      <c r="C225" t="s">
        <v>531</v>
      </c>
      <c r="D225">
        <v>1460000</v>
      </c>
      <c r="E225" t="s">
        <v>143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82</v>
      </c>
      <c r="C226" t="s">
        <v>530</v>
      </c>
      <c r="D226">
        <v>1460000</v>
      </c>
      <c r="E226" t="s">
        <v>143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70</v>
      </c>
      <c r="C227" t="s">
        <v>434</v>
      </c>
      <c r="D227">
        <v>1540000</v>
      </c>
      <c r="E227" t="s">
        <v>189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184</v>
      </c>
      <c r="C228" t="s">
        <v>293</v>
      </c>
      <c r="D228">
        <v>2000000</v>
      </c>
      <c r="E228" t="s">
        <v>546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317</v>
      </c>
      <c r="C229" t="s">
        <v>417</v>
      </c>
      <c r="D229">
        <v>2010000</v>
      </c>
      <c r="E229" t="s">
        <v>548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186</v>
      </c>
      <c r="C230" t="s">
        <v>294</v>
      </c>
      <c r="D230">
        <v>1120000</v>
      </c>
      <c r="E230" t="s">
        <v>169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183</v>
      </c>
      <c r="C231" t="s">
        <v>279</v>
      </c>
      <c r="D231">
        <v>1090000</v>
      </c>
      <c r="E231" t="s">
        <v>557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251</v>
      </c>
      <c r="C232" t="s">
        <v>296</v>
      </c>
      <c r="D232">
        <v>1260000</v>
      </c>
      <c r="E232" t="s">
        <v>188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88</v>
      </c>
      <c r="C233" t="s">
        <v>269</v>
      </c>
      <c r="D233">
        <v>1310000</v>
      </c>
      <c r="E233" t="s">
        <v>144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244</v>
      </c>
      <c r="C234" t="s">
        <v>441</v>
      </c>
      <c r="D234">
        <v>2040000</v>
      </c>
      <c r="E234" t="s">
        <v>549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251</v>
      </c>
      <c r="C235" t="s">
        <v>255</v>
      </c>
      <c r="D235">
        <v>2010000</v>
      </c>
      <c r="E235" t="s">
        <v>548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141</v>
      </c>
      <c r="C236" t="s">
        <v>302</v>
      </c>
      <c r="D236">
        <v>2040000</v>
      </c>
      <c r="E236" t="s">
        <v>549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70</v>
      </c>
      <c r="C237" t="s">
        <v>207</v>
      </c>
      <c r="D237">
        <v>1750000</v>
      </c>
      <c r="E237" t="s">
        <v>247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165</v>
      </c>
      <c r="C238" t="s">
        <v>307</v>
      </c>
      <c r="D238">
        <v>1990000</v>
      </c>
      <c r="E238" t="s">
        <v>556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187</v>
      </c>
      <c r="C239" t="s">
        <v>304</v>
      </c>
      <c r="D239">
        <v>2020000</v>
      </c>
      <c r="E239" t="s">
        <v>554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82</v>
      </c>
      <c r="C240" t="s">
        <v>310</v>
      </c>
      <c r="D240">
        <v>1750000</v>
      </c>
      <c r="E240" t="s">
        <v>247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164</v>
      </c>
      <c r="C241" t="s">
        <v>422</v>
      </c>
      <c r="D241">
        <v>2000000</v>
      </c>
      <c r="E241" t="s">
        <v>546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141</v>
      </c>
      <c r="C242" t="s">
        <v>311</v>
      </c>
      <c r="D242">
        <v>2040000</v>
      </c>
      <c r="E242" t="s">
        <v>549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186</v>
      </c>
      <c r="C243" t="s">
        <v>369</v>
      </c>
      <c r="D243">
        <v>1090000</v>
      </c>
      <c r="E243" t="s">
        <v>557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99</v>
      </c>
      <c r="C244" t="s">
        <v>312</v>
      </c>
      <c r="D244">
        <v>1800000</v>
      </c>
      <c r="E244" t="s">
        <v>170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141</v>
      </c>
      <c r="C245" t="s">
        <v>234</v>
      </c>
      <c r="D245">
        <v>1290000</v>
      </c>
      <c r="E245" t="s">
        <v>246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251</v>
      </c>
      <c r="C246" t="s">
        <v>314</v>
      </c>
      <c r="D246">
        <v>1140000</v>
      </c>
      <c r="E246" t="s">
        <v>559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86</v>
      </c>
      <c r="C247" t="s">
        <v>297</v>
      </c>
      <c r="D247">
        <v>1990000</v>
      </c>
      <c r="E247" t="s">
        <v>556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185</v>
      </c>
      <c r="C248" t="s">
        <v>472</v>
      </c>
      <c r="D248">
        <v>2000000</v>
      </c>
      <c r="E248" t="s">
        <v>546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141</v>
      </c>
      <c r="C249" t="s">
        <v>385</v>
      </c>
      <c r="D249">
        <v>1230000</v>
      </c>
      <c r="E249" t="s">
        <v>553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82</v>
      </c>
      <c r="C250" t="s">
        <v>322</v>
      </c>
      <c r="D250">
        <v>1750000</v>
      </c>
      <c r="E250" t="s">
        <v>247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164</v>
      </c>
      <c r="C251" t="s">
        <v>263</v>
      </c>
      <c r="D251">
        <v>900000</v>
      </c>
      <c r="E251" t="s">
        <v>555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285</v>
      </c>
      <c r="C252" t="s">
        <v>491</v>
      </c>
      <c r="D252">
        <v>1140000</v>
      </c>
      <c r="E252" t="s">
        <v>559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83</v>
      </c>
      <c r="C253" t="s">
        <v>533</v>
      </c>
      <c r="D253">
        <v>1750000</v>
      </c>
      <c r="E253" t="s">
        <v>247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320</v>
      </c>
      <c r="C254" t="s">
        <v>327</v>
      </c>
      <c r="D254">
        <v>1770000</v>
      </c>
      <c r="E254" t="s">
        <v>145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251</v>
      </c>
      <c r="C255" t="s">
        <v>371</v>
      </c>
      <c r="D255">
        <v>2010000</v>
      </c>
      <c r="E255" t="s">
        <v>548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82</v>
      </c>
      <c r="C256" t="s">
        <v>543</v>
      </c>
      <c r="D256">
        <v>1750000</v>
      </c>
      <c r="E256" t="s">
        <v>247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82</v>
      </c>
      <c r="C257" t="s">
        <v>262</v>
      </c>
      <c r="D257">
        <v>1820000</v>
      </c>
      <c r="E257" t="s">
        <v>130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87</v>
      </c>
      <c r="C258" t="s">
        <v>502</v>
      </c>
      <c r="D258">
        <v>1800000</v>
      </c>
      <c r="E258" t="s">
        <v>170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141</v>
      </c>
      <c r="C259" t="s">
        <v>284</v>
      </c>
      <c r="D259">
        <v>2040000</v>
      </c>
      <c r="E259" t="s">
        <v>549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86</v>
      </c>
      <c r="C260" t="s">
        <v>504</v>
      </c>
      <c r="D260">
        <v>1800000</v>
      </c>
      <c r="E260" t="s">
        <v>170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165</v>
      </c>
      <c r="C261" t="s">
        <v>408</v>
      </c>
      <c r="D261">
        <v>900000</v>
      </c>
      <c r="E261" t="s">
        <v>555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141</v>
      </c>
      <c r="C262" t="s">
        <v>335</v>
      </c>
      <c r="D262">
        <v>1140000</v>
      </c>
      <c r="E262" t="s">
        <v>559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187</v>
      </c>
      <c r="C263" t="s">
        <v>398</v>
      </c>
      <c r="D263">
        <v>1840000</v>
      </c>
      <c r="E263" t="s">
        <v>142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320</v>
      </c>
      <c r="C264" t="s">
        <v>337</v>
      </c>
      <c r="D264">
        <v>1770000</v>
      </c>
      <c r="E264" t="s">
        <v>145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88</v>
      </c>
      <c r="C265" t="s">
        <v>277</v>
      </c>
      <c r="D265">
        <v>1310000</v>
      </c>
      <c r="E265" t="s">
        <v>144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113</v>
      </c>
      <c r="K1" s="67" t="s">
        <v>114</v>
      </c>
      <c r="L1" s="67" t="s">
        <v>115</v>
      </c>
      <c r="M1" s="42"/>
    </row>
    <row r="2" spans="1:13" ht="15.75" thickBot="1" x14ac:dyDescent="0.3">
      <c r="A2" s="24">
        <v>42548</v>
      </c>
      <c r="B2" s="9"/>
      <c r="C2" s="30">
        <v>50</v>
      </c>
      <c r="F2" t="s">
        <v>63</v>
      </c>
      <c r="J2" s="67" t="s">
        <v>113</v>
      </c>
      <c r="K2" s="67" t="s">
        <v>114</v>
      </c>
      <c r="L2" s="67" t="s">
        <v>115</v>
      </c>
      <c r="M2" s="42"/>
    </row>
    <row r="3" spans="1:13" x14ac:dyDescent="0.25">
      <c r="F3" t="s">
        <v>64</v>
      </c>
      <c r="J3" s="68" t="s">
        <v>116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117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118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119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120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121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122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123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124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125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126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127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2016-07-19T20:10:57Z</dcterms:modified>
</cp:coreProperties>
</file>