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Enforcements!$A$6:$V$75</definedName>
    <definedName name="_xlnm._FilterDatabase" localSheetId="2" hidden="1">'Missing Trips'!$A$2:$G$2</definedName>
    <definedName name="_xlnm._FilterDatabase" localSheetId="0" hidden="1">'Train Runs'!$A$12:$AD$158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4" i="1" l="1"/>
  <c r="K104" i="1"/>
  <c r="L104" i="1"/>
  <c r="M104" i="1"/>
  <c r="T104" i="1"/>
  <c r="U104" i="1" s="1"/>
  <c r="S104" i="1" s="1"/>
  <c r="V104" i="1"/>
  <c r="X104" i="1"/>
  <c r="AA104" i="1"/>
  <c r="W104" i="1" s="1"/>
  <c r="AB104" i="1"/>
  <c r="AC104" i="1"/>
  <c r="AD104" i="1"/>
  <c r="AE104" i="1"/>
  <c r="AF104" i="1"/>
  <c r="AG104" i="1"/>
  <c r="X86" i="1"/>
  <c r="X87" i="1"/>
  <c r="X88" i="1"/>
  <c r="P86" i="1"/>
  <c r="K86" i="1"/>
  <c r="L86" i="1"/>
  <c r="M86" i="1"/>
  <c r="T86" i="1"/>
  <c r="U86" i="1" s="1"/>
  <c r="S86" i="1" s="1"/>
  <c r="V86" i="1"/>
  <c r="AA86" i="1"/>
  <c r="W86" i="1" s="1"/>
  <c r="AB86" i="1"/>
  <c r="AC86" i="1"/>
  <c r="AD86" i="1"/>
  <c r="AE86" i="1"/>
  <c r="AF86" i="1"/>
  <c r="AG86" i="1"/>
  <c r="P112" i="1"/>
  <c r="K112" i="1"/>
  <c r="L112" i="1"/>
  <c r="M112" i="1"/>
  <c r="T112" i="1"/>
  <c r="V112" i="1"/>
  <c r="X112" i="1"/>
  <c r="U112" i="1"/>
  <c r="S112" i="1" s="1"/>
  <c r="AA112" i="1"/>
  <c r="W112" i="1" s="1"/>
  <c r="AB112" i="1"/>
  <c r="AC112" i="1"/>
  <c r="AD112" i="1"/>
  <c r="AE112" i="1"/>
  <c r="AF112" i="1"/>
  <c r="AG112" i="1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X111" i="1" l="1"/>
  <c r="Y111" i="1"/>
  <c r="X113" i="1"/>
  <c r="Y113" i="1"/>
  <c r="X114" i="1"/>
  <c r="Y114" i="1"/>
  <c r="X115" i="1"/>
  <c r="Y115" i="1"/>
  <c r="X116" i="1"/>
  <c r="Y116" i="1"/>
  <c r="X117" i="1"/>
  <c r="Y117" i="1"/>
  <c r="L68" i="3" l="1"/>
  <c r="L52" i="3"/>
  <c r="L36" i="3"/>
  <c r="L16" i="3"/>
  <c r="L39" i="3"/>
  <c r="L21" i="3"/>
  <c r="L69" i="3"/>
  <c r="L31" i="3"/>
  <c r="L53" i="3"/>
  <c r="L22" i="3"/>
  <c r="L54" i="3"/>
  <c r="L70" i="3"/>
  <c r="L10" i="3"/>
  <c r="L55" i="3"/>
  <c r="L56" i="3"/>
  <c r="L71" i="3"/>
  <c r="L57" i="3"/>
  <c r="L58" i="3"/>
  <c r="L72" i="3"/>
  <c r="L37" i="3"/>
  <c r="L73" i="3"/>
  <c r="L74" i="3"/>
  <c r="L75" i="3"/>
  <c r="L34" i="3"/>
  <c r="L59" i="3"/>
  <c r="L33" i="3"/>
  <c r="S33" i="3"/>
  <c r="R33" i="3" s="1"/>
  <c r="T33" i="3"/>
  <c r="U33" i="3"/>
  <c r="V33" i="3"/>
  <c r="S68" i="3"/>
  <c r="R68" i="3" s="1"/>
  <c r="T68" i="3"/>
  <c r="U68" i="3"/>
  <c r="V68" i="3"/>
  <c r="S52" i="3"/>
  <c r="R52" i="3" s="1"/>
  <c r="T52" i="3"/>
  <c r="U52" i="3"/>
  <c r="V52" i="3"/>
  <c r="S36" i="3"/>
  <c r="R36" i="3" s="1"/>
  <c r="T36" i="3"/>
  <c r="U36" i="3"/>
  <c r="V36" i="3"/>
  <c r="S16" i="3"/>
  <c r="R16" i="3" s="1"/>
  <c r="T16" i="3"/>
  <c r="U16" i="3"/>
  <c r="V16" i="3"/>
  <c r="S39" i="3"/>
  <c r="R39" i="3" s="1"/>
  <c r="T39" i="3"/>
  <c r="U39" i="3"/>
  <c r="V39" i="3"/>
  <c r="S21" i="3"/>
  <c r="R21" i="3" s="1"/>
  <c r="T21" i="3"/>
  <c r="U21" i="3"/>
  <c r="V21" i="3"/>
  <c r="S69" i="3"/>
  <c r="R69" i="3" s="1"/>
  <c r="T69" i="3"/>
  <c r="U69" i="3"/>
  <c r="V69" i="3"/>
  <c r="S31" i="3"/>
  <c r="R31" i="3" s="1"/>
  <c r="T31" i="3"/>
  <c r="U31" i="3"/>
  <c r="V31" i="3"/>
  <c r="S53" i="3"/>
  <c r="R53" i="3" s="1"/>
  <c r="T53" i="3"/>
  <c r="U53" i="3"/>
  <c r="V53" i="3"/>
  <c r="S22" i="3"/>
  <c r="R22" i="3" s="1"/>
  <c r="T22" i="3"/>
  <c r="U22" i="3"/>
  <c r="V22" i="3"/>
  <c r="S54" i="3"/>
  <c r="R54" i="3" s="1"/>
  <c r="T54" i="3"/>
  <c r="U54" i="3"/>
  <c r="V54" i="3"/>
  <c r="S70" i="3"/>
  <c r="R70" i="3" s="1"/>
  <c r="T70" i="3"/>
  <c r="U70" i="3"/>
  <c r="V70" i="3"/>
  <c r="S10" i="3"/>
  <c r="R10" i="3" s="1"/>
  <c r="T10" i="3"/>
  <c r="U10" i="3"/>
  <c r="V10" i="3"/>
  <c r="S55" i="3"/>
  <c r="R55" i="3" s="1"/>
  <c r="T55" i="3"/>
  <c r="U55" i="3"/>
  <c r="V55" i="3"/>
  <c r="S56" i="3"/>
  <c r="R56" i="3" s="1"/>
  <c r="T56" i="3"/>
  <c r="U56" i="3"/>
  <c r="V56" i="3"/>
  <c r="S71" i="3"/>
  <c r="R71" i="3" s="1"/>
  <c r="T71" i="3"/>
  <c r="U71" i="3"/>
  <c r="V71" i="3"/>
  <c r="S57" i="3"/>
  <c r="R57" i="3" s="1"/>
  <c r="T57" i="3"/>
  <c r="U57" i="3"/>
  <c r="V57" i="3"/>
  <c r="S58" i="3"/>
  <c r="R58" i="3" s="1"/>
  <c r="T58" i="3"/>
  <c r="U58" i="3"/>
  <c r="V58" i="3"/>
  <c r="S72" i="3"/>
  <c r="R72" i="3" s="1"/>
  <c r="T72" i="3"/>
  <c r="U72" i="3"/>
  <c r="V72" i="3"/>
  <c r="S37" i="3"/>
  <c r="R37" i="3" s="1"/>
  <c r="T37" i="3"/>
  <c r="U37" i="3"/>
  <c r="V37" i="3"/>
  <c r="S73" i="3"/>
  <c r="R73" i="3" s="1"/>
  <c r="T73" i="3"/>
  <c r="U73" i="3"/>
  <c r="V73" i="3"/>
  <c r="S74" i="3"/>
  <c r="R74" i="3" s="1"/>
  <c r="T74" i="3"/>
  <c r="U74" i="3"/>
  <c r="V74" i="3"/>
  <c r="S75" i="3"/>
  <c r="R75" i="3" s="1"/>
  <c r="T75" i="3"/>
  <c r="U75" i="3"/>
  <c r="V75" i="3"/>
  <c r="S34" i="3"/>
  <c r="R34" i="3" s="1"/>
  <c r="T34" i="3"/>
  <c r="U34" i="3"/>
  <c r="V34" i="3"/>
  <c r="S59" i="3"/>
  <c r="R59" i="3" s="1"/>
  <c r="T59" i="3"/>
  <c r="U59" i="3"/>
  <c r="V59" i="3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AE157" i="1"/>
  <c r="AF157" i="1"/>
  <c r="AG157" i="1"/>
  <c r="K158" i="1"/>
  <c r="L158" i="1"/>
  <c r="M158" i="1"/>
  <c r="N158" i="1" s="1"/>
  <c r="T158" i="1"/>
  <c r="V158" i="1"/>
  <c r="Q34" i="3" s="1"/>
  <c r="X158" i="1"/>
  <c r="Y158" i="1"/>
  <c r="Z158" i="1"/>
  <c r="AB158" i="1"/>
  <c r="AC158" i="1"/>
  <c r="AD158" i="1"/>
  <c r="AE158" i="1"/>
  <c r="P34" i="3" s="1"/>
  <c r="AF158" i="1"/>
  <c r="AG158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P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7" i="1"/>
  <c r="L87" i="1"/>
  <c r="M87" i="1"/>
  <c r="T87" i="1"/>
  <c r="V87" i="1"/>
  <c r="Y87" i="1"/>
  <c r="Z87" i="1"/>
  <c r="AB87" i="1"/>
  <c r="AC87" i="1"/>
  <c r="AD87" i="1"/>
  <c r="AE87" i="1"/>
  <c r="AF87" i="1"/>
  <c r="AG87" i="1"/>
  <c r="K88" i="1"/>
  <c r="L88" i="1"/>
  <c r="M88" i="1"/>
  <c r="T88" i="1"/>
  <c r="V88" i="1"/>
  <c r="Y88" i="1"/>
  <c r="Z88" i="1"/>
  <c r="AB88" i="1"/>
  <c r="AC88" i="1"/>
  <c r="AD88" i="1"/>
  <c r="AE88" i="1"/>
  <c r="AF88" i="1"/>
  <c r="AG88" i="1"/>
  <c r="K89" i="1"/>
  <c r="L89" i="1"/>
  <c r="M89" i="1"/>
  <c r="P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T103" i="1"/>
  <c r="V103" i="1"/>
  <c r="X103" i="1"/>
  <c r="Y103" i="1"/>
  <c r="Z103" i="1"/>
  <c r="AB103" i="1"/>
  <c r="AC103" i="1"/>
  <c r="AD103" i="1"/>
  <c r="AE103" i="1"/>
  <c r="AF103" i="1"/>
  <c r="AG103" i="1"/>
  <c r="K105" i="1"/>
  <c r="L105" i="1"/>
  <c r="M105" i="1"/>
  <c r="P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P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Z111" i="1"/>
  <c r="AB111" i="1"/>
  <c r="AC111" i="1"/>
  <c r="AD111" i="1"/>
  <c r="AE111" i="1"/>
  <c r="AF111" i="1"/>
  <c r="AG111" i="1"/>
  <c r="K113" i="1"/>
  <c r="L113" i="1"/>
  <c r="M113" i="1"/>
  <c r="T113" i="1"/>
  <c r="V113" i="1"/>
  <c r="Z113" i="1"/>
  <c r="AB113" i="1"/>
  <c r="AC113" i="1"/>
  <c r="AD113" i="1"/>
  <c r="AE113" i="1"/>
  <c r="AF113" i="1"/>
  <c r="AG113" i="1"/>
  <c r="K114" i="1"/>
  <c r="L114" i="1"/>
  <c r="M114" i="1"/>
  <c r="T114" i="1"/>
  <c r="V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Z115" i="1"/>
  <c r="AB115" i="1"/>
  <c r="AC115" i="1"/>
  <c r="AD115" i="1"/>
  <c r="AE115" i="1"/>
  <c r="AF115" i="1"/>
  <c r="AG115" i="1"/>
  <c r="K116" i="1"/>
  <c r="L116" i="1"/>
  <c r="M116" i="1"/>
  <c r="T116" i="1"/>
  <c r="V116" i="1"/>
  <c r="Z116" i="1"/>
  <c r="AB116" i="1"/>
  <c r="AC116" i="1"/>
  <c r="AD116" i="1"/>
  <c r="AE116" i="1"/>
  <c r="AF116" i="1"/>
  <c r="AG116" i="1"/>
  <c r="K117" i="1"/>
  <c r="L117" i="1"/>
  <c r="M117" i="1"/>
  <c r="T117" i="1"/>
  <c r="V117" i="1"/>
  <c r="Z117" i="1"/>
  <c r="AB117" i="1"/>
  <c r="AC117" i="1"/>
  <c r="AD117" i="1"/>
  <c r="AE117" i="1"/>
  <c r="AF117" i="1"/>
  <c r="AG117" i="1"/>
  <c r="K118" i="1"/>
  <c r="L118" i="1"/>
  <c r="M118" i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Q52" i="3" s="1"/>
  <c r="X120" i="1"/>
  <c r="Y120" i="1"/>
  <c r="Z120" i="1"/>
  <c r="AB120" i="1"/>
  <c r="AC120" i="1"/>
  <c r="AD120" i="1"/>
  <c r="AE120" i="1"/>
  <c r="P52" i="3" s="1"/>
  <c r="AF120" i="1"/>
  <c r="AG120" i="1"/>
  <c r="K121" i="1"/>
  <c r="L121" i="1"/>
  <c r="M121" i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T124" i="1"/>
  <c r="V124" i="1"/>
  <c r="Q68" i="3" s="1"/>
  <c r="X124" i="1"/>
  <c r="Y124" i="1"/>
  <c r="Z124" i="1"/>
  <c r="AB124" i="1"/>
  <c r="AC124" i="1"/>
  <c r="AD124" i="1"/>
  <c r="AE124" i="1"/>
  <c r="P68" i="3" s="1"/>
  <c r="AF124" i="1"/>
  <c r="AG124" i="1"/>
  <c r="K125" i="1"/>
  <c r="L125" i="1"/>
  <c r="M125" i="1"/>
  <c r="T125" i="1"/>
  <c r="V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Q16" i="3" s="1"/>
  <c r="X126" i="1"/>
  <c r="Y126" i="1"/>
  <c r="Z126" i="1"/>
  <c r="AB126" i="1"/>
  <c r="AC126" i="1"/>
  <c r="AD126" i="1"/>
  <c r="AE126" i="1"/>
  <c r="P16" i="3" s="1"/>
  <c r="AF126" i="1"/>
  <c r="AG126" i="1"/>
  <c r="K127" i="1"/>
  <c r="L127" i="1"/>
  <c r="M127" i="1"/>
  <c r="N127" i="1" s="1"/>
  <c r="T127" i="1"/>
  <c r="V127" i="1"/>
  <c r="Q21" i="3" s="1"/>
  <c r="X127" i="1"/>
  <c r="Y127" i="1"/>
  <c r="Z127" i="1"/>
  <c r="AB127" i="1"/>
  <c r="AC127" i="1"/>
  <c r="AD127" i="1"/>
  <c r="AE127" i="1"/>
  <c r="P21" i="3" s="1"/>
  <c r="AF127" i="1"/>
  <c r="AG127" i="1"/>
  <c r="K128" i="1"/>
  <c r="L128" i="1"/>
  <c r="M128" i="1"/>
  <c r="N128" i="1" s="1"/>
  <c r="T128" i="1"/>
  <c r="V128" i="1"/>
  <c r="Q36" i="3" s="1"/>
  <c r="X128" i="1"/>
  <c r="Y128" i="1"/>
  <c r="Z128" i="1"/>
  <c r="AB128" i="1"/>
  <c r="AC128" i="1"/>
  <c r="AD128" i="1"/>
  <c r="AE128" i="1"/>
  <c r="P36" i="3" s="1"/>
  <c r="AF128" i="1"/>
  <c r="AG128" i="1"/>
  <c r="K129" i="1"/>
  <c r="L129" i="1"/>
  <c r="M129" i="1"/>
  <c r="N129" i="1" s="1"/>
  <c r="T129" i="1"/>
  <c r="V129" i="1"/>
  <c r="Q53" i="3" s="1"/>
  <c r="X129" i="1"/>
  <c r="Y129" i="1"/>
  <c r="Z129" i="1"/>
  <c r="AB129" i="1"/>
  <c r="AC129" i="1"/>
  <c r="AD129" i="1"/>
  <c r="AE129" i="1"/>
  <c r="P53" i="3" s="1"/>
  <c r="AF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N131" i="1" s="1"/>
  <c r="T131" i="1"/>
  <c r="V131" i="1"/>
  <c r="Q54" i="3" s="1"/>
  <c r="X131" i="1"/>
  <c r="Y131" i="1"/>
  <c r="Z131" i="1"/>
  <c r="AB131" i="1"/>
  <c r="AC131" i="1"/>
  <c r="AD131" i="1"/>
  <c r="AE131" i="1"/>
  <c r="P54" i="3" s="1"/>
  <c r="AF131" i="1"/>
  <c r="AG131" i="1"/>
  <c r="K132" i="1"/>
  <c r="L132" i="1"/>
  <c r="M132" i="1"/>
  <c r="N132" i="1" s="1"/>
  <c r="T132" i="1"/>
  <c r="V132" i="1"/>
  <c r="Q10" i="3" s="1"/>
  <c r="X132" i="1"/>
  <c r="Y132" i="1"/>
  <c r="Z132" i="1"/>
  <c r="AB132" i="1"/>
  <c r="AC132" i="1"/>
  <c r="AD132" i="1"/>
  <c r="AE132" i="1"/>
  <c r="P10" i="3" s="1"/>
  <c r="AF132" i="1"/>
  <c r="AG132" i="1"/>
  <c r="K133" i="1"/>
  <c r="L133" i="1"/>
  <c r="M133" i="1"/>
  <c r="N133" i="1" s="1"/>
  <c r="T133" i="1"/>
  <c r="V133" i="1"/>
  <c r="Q31" i="3" s="1"/>
  <c r="X133" i="1"/>
  <c r="Y133" i="1"/>
  <c r="Z133" i="1"/>
  <c r="AB133" i="1"/>
  <c r="AC133" i="1"/>
  <c r="AD133" i="1"/>
  <c r="AE133" i="1"/>
  <c r="P31" i="3" s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Q70" i="3" s="1"/>
  <c r="X135" i="1"/>
  <c r="Y135" i="1"/>
  <c r="Z135" i="1"/>
  <c r="AB135" i="1"/>
  <c r="AC135" i="1"/>
  <c r="AD135" i="1"/>
  <c r="AE135" i="1"/>
  <c r="P70" i="3" s="1"/>
  <c r="AF135" i="1"/>
  <c r="AG135" i="1"/>
  <c r="K136" i="1"/>
  <c r="L136" i="1"/>
  <c r="M136" i="1"/>
  <c r="N136" i="1" s="1"/>
  <c r="T136" i="1"/>
  <c r="V136" i="1"/>
  <c r="Q55" i="3" s="1"/>
  <c r="X136" i="1"/>
  <c r="Y136" i="1"/>
  <c r="Z136" i="1"/>
  <c r="AB136" i="1"/>
  <c r="AC136" i="1"/>
  <c r="AD136" i="1"/>
  <c r="AE136" i="1"/>
  <c r="P55" i="3" s="1"/>
  <c r="AF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Q56" i="3" s="1"/>
  <c r="X138" i="1"/>
  <c r="Y138" i="1"/>
  <c r="Z138" i="1"/>
  <c r="AB138" i="1"/>
  <c r="AC138" i="1"/>
  <c r="AD138" i="1"/>
  <c r="AE138" i="1"/>
  <c r="P56" i="3" s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Q57" i="3" s="1"/>
  <c r="X142" i="1"/>
  <c r="Y142" i="1"/>
  <c r="Z142" i="1"/>
  <c r="AB142" i="1"/>
  <c r="AC142" i="1"/>
  <c r="AD142" i="1"/>
  <c r="AE142" i="1"/>
  <c r="P57" i="3" s="1"/>
  <c r="AF142" i="1"/>
  <c r="AG142" i="1"/>
  <c r="K143" i="1"/>
  <c r="L143" i="1"/>
  <c r="M143" i="1"/>
  <c r="N143" i="1" s="1"/>
  <c r="T143" i="1"/>
  <c r="V143" i="1"/>
  <c r="Q71" i="3" s="1"/>
  <c r="X143" i="1"/>
  <c r="Y143" i="1"/>
  <c r="Z143" i="1"/>
  <c r="AB143" i="1"/>
  <c r="AC143" i="1"/>
  <c r="AD143" i="1"/>
  <c r="AE143" i="1"/>
  <c r="P71" i="3" s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Q72" i="3" s="1"/>
  <c r="X147" i="1"/>
  <c r="Y147" i="1"/>
  <c r="Z147" i="1"/>
  <c r="AB147" i="1"/>
  <c r="AC147" i="1"/>
  <c r="AD147" i="1"/>
  <c r="AE147" i="1"/>
  <c r="P72" i="3" s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Q37" i="3" s="1"/>
  <c r="X149" i="1"/>
  <c r="Y149" i="1"/>
  <c r="Z149" i="1"/>
  <c r="AB149" i="1"/>
  <c r="AC149" i="1"/>
  <c r="AD149" i="1"/>
  <c r="AE149" i="1"/>
  <c r="P37" i="3" s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Q73" i="3" s="1"/>
  <c r="X151" i="1"/>
  <c r="Y151" i="1"/>
  <c r="Z151" i="1"/>
  <c r="AB151" i="1"/>
  <c r="AC151" i="1"/>
  <c r="AD151" i="1"/>
  <c r="AE151" i="1"/>
  <c r="P73" i="3" s="1"/>
  <c r="AF151" i="1"/>
  <c r="AG151" i="1"/>
  <c r="K152" i="1"/>
  <c r="L152" i="1"/>
  <c r="M152" i="1"/>
  <c r="N152" i="1" s="1"/>
  <c r="T152" i="1"/>
  <c r="V152" i="1"/>
  <c r="Q59" i="3" s="1"/>
  <c r="X152" i="1"/>
  <c r="Y152" i="1"/>
  <c r="Z152" i="1"/>
  <c r="AB152" i="1"/>
  <c r="AC152" i="1"/>
  <c r="AD152" i="1"/>
  <c r="AE152" i="1"/>
  <c r="P59" i="3" s="1"/>
  <c r="AF152" i="1"/>
  <c r="AG152" i="1"/>
  <c r="K153" i="1"/>
  <c r="L153" i="1"/>
  <c r="M153" i="1"/>
  <c r="N153" i="1" s="1"/>
  <c r="T153" i="1"/>
  <c r="V153" i="1"/>
  <c r="Q74" i="3" s="1"/>
  <c r="X153" i="1"/>
  <c r="Y153" i="1"/>
  <c r="Z153" i="1"/>
  <c r="AB153" i="1"/>
  <c r="AC153" i="1"/>
  <c r="AD153" i="1"/>
  <c r="AE153" i="1"/>
  <c r="P74" i="3" s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Q75" i="3" s="1"/>
  <c r="X155" i="1"/>
  <c r="Y155" i="1"/>
  <c r="Z155" i="1"/>
  <c r="AB155" i="1"/>
  <c r="AC155" i="1"/>
  <c r="AD155" i="1"/>
  <c r="AE155" i="1"/>
  <c r="P75" i="3" s="1"/>
  <c r="AF155" i="1"/>
  <c r="AG155" i="1"/>
  <c r="K156" i="1"/>
  <c r="L156" i="1"/>
  <c r="M156" i="1"/>
  <c r="P156" i="1" s="1"/>
  <c r="T156" i="1"/>
  <c r="V156" i="1"/>
  <c r="X156" i="1"/>
  <c r="Y156" i="1"/>
  <c r="Z156" i="1"/>
  <c r="AB156" i="1"/>
  <c r="AC156" i="1"/>
  <c r="AD156" i="1"/>
  <c r="AE156" i="1"/>
  <c r="AF156" i="1"/>
  <c r="AG156" i="1"/>
  <c r="P121" i="1" l="1"/>
  <c r="P99" i="1"/>
  <c r="P87" i="1"/>
  <c r="AA22" i="1"/>
  <c r="W22" i="1" s="1"/>
  <c r="AA154" i="1"/>
  <c r="W154" i="1" s="1"/>
  <c r="P118" i="1"/>
  <c r="P116" i="1"/>
  <c r="P124" i="1"/>
  <c r="P113" i="1"/>
  <c r="AA141" i="1"/>
  <c r="W141" i="1" s="1"/>
  <c r="AA137" i="1"/>
  <c r="W137" i="1" s="1"/>
  <c r="AA131" i="1"/>
  <c r="W131" i="1" s="1"/>
  <c r="AA110" i="1"/>
  <c r="W110" i="1" s="1"/>
  <c r="AA106" i="1"/>
  <c r="W106" i="1" s="1"/>
  <c r="AA101" i="1"/>
  <c r="W101" i="1" s="1"/>
  <c r="P109" i="1"/>
  <c r="P102" i="1"/>
  <c r="P96" i="1"/>
  <c r="AA63" i="1"/>
  <c r="W63" i="1" s="1"/>
  <c r="P18" i="1"/>
  <c r="AA94" i="1"/>
  <c r="W94" i="1" s="1"/>
  <c r="AA115" i="1"/>
  <c r="W115" i="1" s="1"/>
  <c r="AA76" i="1"/>
  <c r="W76" i="1" s="1"/>
  <c r="AA74" i="1"/>
  <c r="W74" i="1" s="1"/>
  <c r="AA157" i="1"/>
  <c r="W157" i="1" s="1"/>
  <c r="Q33" i="3"/>
  <c r="AA26" i="1"/>
  <c r="W26" i="1" s="1"/>
  <c r="AA158" i="1"/>
  <c r="W158" i="1" s="1"/>
  <c r="P33" i="3"/>
  <c r="AA138" i="1"/>
  <c r="W138" i="1" s="1"/>
  <c r="AA134" i="1"/>
  <c r="W134" i="1" s="1"/>
  <c r="AA128" i="1"/>
  <c r="W128" i="1" s="1"/>
  <c r="AA47" i="1"/>
  <c r="W47" i="1" s="1"/>
  <c r="AA45" i="1"/>
  <c r="W45" i="1" s="1"/>
  <c r="AA79" i="1"/>
  <c r="W79" i="1" s="1"/>
  <c r="AA77" i="1"/>
  <c r="W77" i="1" s="1"/>
  <c r="AA64" i="1"/>
  <c r="W64" i="1" s="1"/>
  <c r="AA62" i="1"/>
  <c r="W62" i="1" s="1"/>
  <c r="AA56" i="1"/>
  <c r="W56" i="1" s="1"/>
  <c r="AA37" i="1"/>
  <c r="W37" i="1" s="1"/>
  <c r="Q58" i="3"/>
  <c r="U125" i="1"/>
  <c r="AA24" i="1"/>
  <c r="W24" i="1" s="1"/>
  <c r="Q22" i="3"/>
  <c r="U70" i="1"/>
  <c r="S70" i="1" s="1"/>
  <c r="AA147" i="1"/>
  <c r="W147" i="1" s="1"/>
  <c r="AA145" i="1"/>
  <c r="W145" i="1" s="1"/>
  <c r="AA98" i="1"/>
  <c r="W98" i="1" s="1"/>
  <c r="AA69" i="1"/>
  <c r="W69" i="1" s="1"/>
  <c r="AA42" i="1"/>
  <c r="W42" i="1" s="1"/>
  <c r="AA33" i="1"/>
  <c r="W33" i="1" s="1"/>
  <c r="AA20" i="1"/>
  <c r="W20" i="1" s="1"/>
  <c r="AA15" i="1"/>
  <c r="W15" i="1" s="1"/>
  <c r="AA142" i="1"/>
  <c r="W142" i="1" s="1"/>
  <c r="U121" i="1"/>
  <c r="AA119" i="1"/>
  <c r="W119" i="1" s="1"/>
  <c r="U96" i="1"/>
  <c r="U88" i="1"/>
  <c r="AA78" i="1"/>
  <c r="W78" i="1" s="1"/>
  <c r="AA60" i="1"/>
  <c r="W60" i="1" s="1"/>
  <c r="P58" i="3"/>
  <c r="P22" i="3"/>
  <c r="AA151" i="1"/>
  <c r="W151" i="1" s="1"/>
  <c r="AA113" i="1"/>
  <c r="W113" i="1" s="1"/>
  <c r="AA81" i="1"/>
  <c r="W81" i="1" s="1"/>
  <c r="AA70" i="1"/>
  <c r="W70" i="1" s="1"/>
  <c r="AA65" i="1"/>
  <c r="W65" i="1" s="1"/>
  <c r="AA17" i="1"/>
  <c r="W17" i="1" s="1"/>
  <c r="Q69" i="3"/>
  <c r="Q39" i="3"/>
  <c r="AA150" i="1"/>
  <c r="W150" i="1" s="1"/>
  <c r="AA146" i="1"/>
  <c r="W146" i="1" s="1"/>
  <c r="AA139" i="1"/>
  <c r="W139" i="1" s="1"/>
  <c r="U129" i="1"/>
  <c r="S129" i="1" s="1"/>
  <c r="AA127" i="1"/>
  <c r="W127" i="1" s="1"/>
  <c r="AA116" i="1"/>
  <c r="W116" i="1" s="1"/>
  <c r="AA114" i="1"/>
  <c r="W114" i="1" s="1"/>
  <c r="AA95" i="1"/>
  <c r="W95" i="1" s="1"/>
  <c r="AA92" i="1"/>
  <c r="W92" i="1" s="1"/>
  <c r="AA89" i="1"/>
  <c r="W89" i="1" s="1"/>
  <c r="AA87" i="1"/>
  <c r="W87" i="1" s="1"/>
  <c r="AA84" i="1"/>
  <c r="W84" i="1" s="1"/>
  <c r="AA73" i="1"/>
  <c r="W73" i="1" s="1"/>
  <c r="AA68" i="1"/>
  <c r="W68" i="1" s="1"/>
  <c r="AA53" i="1"/>
  <c r="W53" i="1" s="1"/>
  <c r="AA38" i="1"/>
  <c r="W38" i="1" s="1"/>
  <c r="AA29" i="1"/>
  <c r="W29" i="1" s="1"/>
  <c r="U18" i="1"/>
  <c r="P69" i="3"/>
  <c r="P39" i="3"/>
  <c r="U143" i="1"/>
  <c r="S143" i="1" s="1"/>
  <c r="AA132" i="1"/>
  <c r="W132" i="1" s="1"/>
  <c r="AA126" i="1"/>
  <c r="W126" i="1" s="1"/>
  <c r="U111" i="1"/>
  <c r="S111" i="1" s="1"/>
  <c r="AA109" i="1"/>
  <c r="W109" i="1" s="1"/>
  <c r="AA105" i="1"/>
  <c r="W105" i="1" s="1"/>
  <c r="AA90" i="1"/>
  <c r="W90" i="1" s="1"/>
  <c r="AA80" i="1"/>
  <c r="W80" i="1" s="1"/>
  <c r="AA59" i="1"/>
  <c r="W59" i="1" s="1"/>
  <c r="AA57" i="1"/>
  <c r="W57" i="1" s="1"/>
  <c r="AA44" i="1"/>
  <c r="W44" i="1" s="1"/>
  <c r="AA39" i="1"/>
  <c r="W39" i="1" s="1"/>
  <c r="AA36" i="1"/>
  <c r="W36" i="1" s="1"/>
  <c r="AA32" i="1"/>
  <c r="W32" i="1" s="1"/>
  <c r="AA155" i="1"/>
  <c r="W155" i="1" s="1"/>
  <c r="AA153" i="1"/>
  <c r="W153" i="1" s="1"/>
  <c r="AA149" i="1"/>
  <c r="W149" i="1" s="1"/>
  <c r="AA120" i="1"/>
  <c r="W120" i="1" s="1"/>
  <c r="AA118" i="1"/>
  <c r="W118" i="1" s="1"/>
  <c r="AA117" i="1"/>
  <c r="W117" i="1" s="1"/>
  <c r="AA99" i="1"/>
  <c r="W99" i="1" s="1"/>
  <c r="AA93" i="1"/>
  <c r="W93" i="1" s="1"/>
  <c r="AA85" i="1"/>
  <c r="W85" i="1" s="1"/>
  <c r="AA58" i="1"/>
  <c r="W58" i="1" s="1"/>
  <c r="U52" i="1"/>
  <c r="S52" i="1" s="1"/>
  <c r="U50" i="1"/>
  <c r="S50" i="1" s="1"/>
  <c r="AA40" i="1"/>
  <c r="W40" i="1" s="1"/>
  <c r="AA25" i="1"/>
  <c r="W25" i="1" s="1"/>
  <c r="U156" i="1"/>
  <c r="S156" i="1" s="1"/>
  <c r="U147" i="1"/>
  <c r="S147" i="1" s="1"/>
  <c r="U140" i="1"/>
  <c r="S140" i="1" s="1"/>
  <c r="U115" i="1"/>
  <c r="S115" i="1" s="1"/>
  <c r="U93" i="1"/>
  <c r="S93" i="1" s="1"/>
  <c r="U30" i="1"/>
  <c r="S30" i="1" s="1"/>
  <c r="AA30" i="1"/>
  <c r="W30" i="1" s="1"/>
  <c r="U153" i="1"/>
  <c r="S153" i="1" s="1"/>
  <c r="U110" i="1"/>
  <c r="U109" i="1"/>
  <c r="U105" i="1"/>
  <c r="S105" i="1" s="1"/>
  <c r="AA100" i="1"/>
  <c r="W100" i="1" s="1"/>
  <c r="U98" i="1"/>
  <c r="S98" i="1" s="1"/>
  <c r="U92" i="1"/>
  <c r="S92" i="1" s="1"/>
  <c r="U69" i="1"/>
  <c r="S69" i="1" s="1"/>
  <c r="U66" i="1"/>
  <c r="S66" i="1" s="1"/>
  <c r="U55" i="1"/>
  <c r="S55" i="1" s="1"/>
  <c r="AA54" i="1"/>
  <c r="W54" i="1" s="1"/>
  <c r="AA50" i="1"/>
  <c r="W50" i="1" s="1"/>
  <c r="U44" i="1"/>
  <c r="S44" i="1" s="1"/>
  <c r="U42" i="1"/>
  <c r="S42" i="1" s="1"/>
  <c r="U23" i="1"/>
  <c r="S23" i="1" s="1"/>
  <c r="U157" i="1"/>
  <c r="S157" i="1" s="1"/>
  <c r="U145" i="1"/>
  <c r="S145" i="1" s="1"/>
  <c r="AA129" i="1"/>
  <c r="W129" i="1" s="1"/>
  <c r="U127" i="1"/>
  <c r="S127" i="1" s="1"/>
  <c r="AA123" i="1"/>
  <c r="W123" i="1" s="1"/>
  <c r="AA111" i="1"/>
  <c r="W111" i="1" s="1"/>
  <c r="AA96" i="1"/>
  <c r="W96" i="1" s="1"/>
  <c r="U67" i="1"/>
  <c r="S67" i="1" s="1"/>
  <c r="AA66" i="1"/>
  <c r="W66" i="1" s="1"/>
  <c r="U62" i="1"/>
  <c r="S62" i="1" s="1"/>
  <c r="U58" i="1"/>
  <c r="S58" i="1" s="1"/>
  <c r="U37" i="1"/>
  <c r="S37" i="1" s="1"/>
  <c r="U36" i="1"/>
  <c r="S36" i="1" s="1"/>
  <c r="AA152" i="1"/>
  <c r="W152" i="1" s="1"/>
  <c r="AA143" i="1"/>
  <c r="W143" i="1" s="1"/>
  <c r="U142" i="1"/>
  <c r="S142" i="1" s="1"/>
  <c r="AA136" i="1"/>
  <c r="W136" i="1" s="1"/>
  <c r="AA135" i="1"/>
  <c r="W135" i="1" s="1"/>
  <c r="AA130" i="1"/>
  <c r="W130" i="1" s="1"/>
  <c r="AA125" i="1"/>
  <c r="W125" i="1" s="1"/>
  <c r="U124" i="1"/>
  <c r="AA122" i="1"/>
  <c r="W122" i="1" s="1"/>
  <c r="U91" i="1"/>
  <c r="S91" i="1" s="1"/>
  <c r="AA88" i="1"/>
  <c r="W88" i="1" s="1"/>
  <c r="AA83" i="1"/>
  <c r="W83" i="1" s="1"/>
  <c r="U75" i="1"/>
  <c r="S75" i="1" s="1"/>
  <c r="AA72" i="1"/>
  <c r="W72" i="1" s="1"/>
  <c r="AA61" i="1"/>
  <c r="W61" i="1" s="1"/>
  <c r="U61" i="1"/>
  <c r="S61" i="1" s="1"/>
  <c r="AA49" i="1"/>
  <c r="W49" i="1" s="1"/>
  <c r="AA21" i="1"/>
  <c r="W21" i="1" s="1"/>
  <c r="U21" i="1"/>
  <c r="S21" i="1" s="1"/>
  <c r="U51" i="1"/>
  <c r="S51" i="1" s="1"/>
  <c r="AA46" i="1"/>
  <c r="W46" i="1" s="1"/>
  <c r="U43" i="1"/>
  <c r="S43" i="1" s="1"/>
  <c r="U38" i="1"/>
  <c r="S38" i="1" s="1"/>
  <c r="U34" i="1"/>
  <c r="S34" i="1" s="1"/>
  <c r="AA28" i="1"/>
  <c r="W28" i="1" s="1"/>
  <c r="U26" i="1"/>
  <c r="S26" i="1" s="1"/>
  <c r="U24" i="1"/>
  <c r="S24" i="1" s="1"/>
  <c r="U22" i="1"/>
  <c r="S22" i="1" s="1"/>
  <c r="U16" i="1"/>
  <c r="S16" i="1" s="1"/>
  <c r="U158" i="1"/>
  <c r="S158" i="1" s="1"/>
  <c r="AA148" i="1"/>
  <c r="W148" i="1" s="1"/>
  <c r="AA144" i="1"/>
  <c r="W144" i="1" s="1"/>
  <c r="U141" i="1"/>
  <c r="S141" i="1" s="1"/>
  <c r="U137" i="1"/>
  <c r="S137" i="1" s="1"/>
  <c r="AA133" i="1"/>
  <c r="W133" i="1" s="1"/>
  <c r="U131" i="1"/>
  <c r="S131" i="1" s="1"/>
  <c r="U126" i="1"/>
  <c r="S126" i="1" s="1"/>
  <c r="AA121" i="1"/>
  <c r="W121" i="1" s="1"/>
  <c r="U113" i="1"/>
  <c r="U108" i="1"/>
  <c r="S108" i="1" s="1"/>
  <c r="AA107" i="1"/>
  <c r="W107" i="1" s="1"/>
  <c r="AA103" i="1"/>
  <c r="W103" i="1" s="1"/>
  <c r="AA102" i="1"/>
  <c r="W102" i="1" s="1"/>
  <c r="AA97" i="1"/>
  <c r="W97" i="1" s="1"/>
  <c r="U94" i="1"/>
  <c r="S94" i="1" s="1"/>
  <c r="AA82" i="1"/>
  <c r="W82" i="1" s="1"/>
  <c r="U76" i="1"/>
  <c r="S76" i="1" s="1"/>
  <c r="U74" i="1"/>
  <c r="S74" i="1" s="1"/>
  <c r="AA71" i="1"/>
  <c r="W71" i="1" s="1"/>
  <c r="U68" i="1"/>
  <c r="S68" i="1" s="1"/>
  <c r="U53" i="1"/>
  <c r="S53" i="1" s="1"/>
  <c r="AA52" i="1"/>
  <c r="W52" i="1" s="1"/>
  <c r="AA48" i="1"/>
  <c r="W48" i="1" s="1"/>
  <c r="AA41" i="1"/>
  <c r="W41" i="1" s="1"/>
  <c r="U35" i="1"/>
  <c r="S35" i="1" s="1"/>
  <c r="AA34" i="1"/>
  <c r="W34" i="1" s="1"/>
  <c r="AA31" i="1"/>
  <c r="W31" i="1" s="1"/>
  <c r="AA27" i="1"/>
  <c r="W27" i="1" s="1"/>
  <c r="AA18" i="1"/>
  <c r="W18" i="1" s="1"/>
  <c r="U151" i="1"/>
  <c r="S151" i="1" s="1"/>
  <c r="U149" i="1"/>
  <c r="S149" i="1" s="1"/>
  <c r="U144" i="1"/>
  <c r="S144" i="1" s="1"/>
  <c r="U135" i="1"/>
  <c r="S135" i="1" s="1"/>
  <c r="U133" i="1"/>
  <c r="S133" i="1" s="1"/>
  <c r="U128" i="1"/>
  <c r="S128" i="1" s="1"/>
  <c r="U119" i="1"/>
  <c r="U117" i="1"/>
  <c r="U102" i="1"/>
  <c r="U100" i="1"/>
  <c r="U95" i="1"/>
  <c r="S95" i="1" s="1"/>
  <c r="U85" i="1"/>
  <c r="S85" i="1" s="1"/>
  <c r="U83" i="1"/>
  <c r="S83" i="1" s="1"/>
  <c r="U78" i="1"/>
  <c r="S78" i="1" s="1"/>
  <c r="U64" i="1"/>
  <c r="S64" i="1" s="1"/>
  <c r="U63" i="1"/>
  <c r="S63" i="1" s="1"/>
  <c r="U46" i="1"/>
  <c r="S46" i="1" s="1"/>
  <c r="U32" i="1"/>
  <c r="S32" i="1" s="1"/>
  <c r="U31" i="1"/>
  <c r="S31" i="1" s="1"/>
  <c r="U155" i="1"/>
  <c r="S155" i="1" s="1"/>
  <c r="U148" i="1"/>
  <c r="S148" i="1" s="1"/>
  <c r="U146" i="1"/>
  <c r="S146" i="1" s="1"/>
  <c r="U139" i="1"/>
  <c r="S139" i="1" s="1"/>
  <c r="U132" i="1"/>
  <c r="S132" i="1" s="1"/>
  <c r="U130" i="1"/>
  <c r="S130" i="1" s="1"/>
  <c r="U123" i="1"/>
  <c r="S123" i="1" s="1"/>
  <c r="U116" i="1"/>
  <c r="U114" i="1"/>
  <c r="U107" i="1"/>
  <c r="S107" i="1" s="1"/>
  <c r="U99" i="1"/>
  <c r="S99" i="1" s="1"/>
  <c r="U97" i="1"/>
  <c r="U90" i="1"/>
  <c r="S90" i="1" s="1"/>
  <c r="U82" i="1"/>
  <c r="S82" i="1" s="1"/>
  <c r="U72" i="1"/>
  <c r="S72" i="1" s="1"/>
  <c r="U71" i="1"/>
  <c r="S71" i="1" s="1"/>
  <c r="U60" i="1"/>
  <c r="S60" i="1" s="1"/>
  <c r="U59" i="1"/>
  <c r="S59" i="1" s="1"/>
  <c r="U57" i="1"/>
  <c r="S57" i="1" s="1"/>
  <c r="U54" i="1"/>
  <c r="S54" i="1" s="1"/>
  <c r="U40" i="1"/>
  <c r="S40" i="1" s="1"/>
  <c r="U39" i="1"/>
  <c r="S39" i="1" s="1"/>
  <c r="U152" i="1"/>
  <c r="S152" i="1" s="1"/>
  <c r="U150" i="1"/>
  <c r="S150" i="1" s="1"/>
  <c r="U136" i="1"/>
  <c r="S136" i="1" s="1"/>
  <c r="U134" i="1"/>
  <c r="S134" i="1" s="1"/>
  <c r="U120" i="1"/>
  <c r="S120" i="1" s="1"/>
  <c r="U118" i="1"/>
  <c r="S118" i="1" s="1"/>
  <c r="U103" i="1"/>
  <c r="U101" i="1"/>
  <c r="S101" i="1" s="1"/>
  <c r="U87" i="1"/>
  <c r="S87" i="1" s="1"/>
  <c r="U84" i="1"/>
  <c r="S84" i="1" s="1"/>
  <c r="U80" i="1"/>
  <c r="S80" i="1" s="1"/>
  <c r="U79" i="1"/>
  <c r="S79" i="1" s="1"/>
  <c r="U77" i="1"/>
  <c r="S77" i="1" s="1"/>
  <c r="U48" i="1"/>
  <c r="S48" i="1" s="1"/>
  <c r="U47" i="1"/>
  <c r="S47" i="1" s="1"/>
  <c r="U45" i="1"/>
  <c r="S45" i="1" s="1"/>
  <c r="U27" i="1"/>
  <c r="S27" i="1" s="1"/>
  <c r="U25" i="1"/>
  <c r="S25" i="1" s="1"/>
  <c r="AA156" i="1"/>
  <c r="W156" i="1" s="1"/>
  <c r="U154" i="1"/>
  <c r="S154" i="1" s="1"/>
  <c r="AA140" i="1"/>
  <c r="W140" i="1" s="1"/>
  <c r="U138" i="1"/>
  <c r="S138" i="1" s="1"/>
  <c r="AA124" i="1"/>
  <c r="W124" i="1" s="1"/>
  <c r="U122" i="1"/>
  <c r="AA108" i="1"/>
  <c r="W108" i="1" s="1"/>
  <c r="U106" i="1"/>
  <c r="S106" i="1" s="1"/>
  <c r="AA91" i="1"/>
  <c r="W91" i="1" s="1"/>
  <c r="U89" i="1"/>
  <c r="S89" i="1" s="1"/>
  <c r="AA75" i="1"/>
  <c r="W75" i="1" s="1"/>
  <c r="U73" i="1"/>
  <c r="S73" i="1" s="1"/>
  <c r="U56" i="1"/>
  <c r="S56" i="1" s="1"/>
  <c r="AA55" i="1"/>
  <c r="W55" i="1" s="1"/>
  <c r="AA43" i="1"/>
  <c r="W43" i="1" s="1"/>
  <c r="U41" i="1"/>
  <c r="S41" i="1" s="1"/>
  <c r="U28" i="1"/>
  <c r="S28" i="1" s="1"/>
  <c r="AA23" i="1"/>
  <c r="W23" i="1" s="1"/>
  <c r="U20" i="1"/>
  <c r="S20" i="1" s="1"/>
  <c r="U19" i="1"/>
  <c r="AA16" i="1"/>
  <c r="W16" i="1" s="1"/>
  <c r="U29" i="1"/>
  <c r="S29" i="1" s="1"/>
  <c r="U15" i="1"/>
  <c r="S15" i="1" s="1"/>
  <c r="U81" i="1"/>
  <c r="S81" i="1" s="1"/>
  <c r="AA67" i="1"/>
  <c r="W67" i="1" s="1"/>
  <c r="U65" i="1"/>
  <c r="S65" i="1" s="1"/>
  <c r="AA51" i="1"/>
  <c r="W51" i="1" s="1"/>
  <c r="U49" i="1"/>
  <c r="S49" i="1" s="1"/>
  <c r="AA35" i="1"/>
  <c r="W35" i="1" s="1"/>
  <c r="U33" i="1"/>
  <c r="S33" i="1" s="1"/>
  <c r="AA19" i="1"/>
  <c r="W19" i="1" s="1"/>
  <c r="U17" i="1"/>
  <c r="S17" i="1" s="1"/>
  <c r="L60" i="3"/>
  <c r="S60" i="3"/>
  <c r="R60" i="3" s="1"/>
  <c r="T60" i="3"/>
  <c r="U60" i="3"/>
  <c r="V60" i="3"/>
  <c r="L30" i="3"/>
  <c r="S30" i="3"/>
  <c r="R30" i="3" s="1"/>
  <c r="T30" i="3"/>
  <c r="U30" i="3"/>
  <c r="V30" i="3"/>
  <c r="L19" i="3"/>
  <c r="S19" i="3"/>
  <c r="R19" i="3" s="1"/>
  <c r="T19" i="3"/>
  <c r="U19" i="3"/>
  <c r="V19" i="3"/>
  <c r="L42" i="3"/>
  <c r="S42" i="3"/>
  <c r="R42" i="3" s="1"/>
  <c r="T42" i="3"/>
  <c r="U42" i="3"/>
  <c r="V42" i="3"/>
  <c r="L50" i="3"/>
  <c r="S50" i="3"/>
  <c r="R50" i="3" s="1"/>
  <c r="T50" i="3"/>
  <c r="U50" i="3"/>
  <c r="V50" i="3"/>
  <c r="L51" i="3"/>
  <c r="S51" i="3"/>
  <c r="R51" i="3" s="1"/>
  <c r="T51" i="3"/>
  <c r="U51" i="3"/>
  <c r="V51" i="3"/>
  <c r="L35" i="3"/>
  <c r="S35" i="3"/>
  <c r="R35" i="3" s="1"/>
  <c r="T35" i="3"/>
  <c r="U35" i="3"/>
  <c r="V35" i="3"/>
  <c r="L47" i="3"/>
  <c r="S47" i="3"/>
  <c r="R47" i="3" s="1"/>
  <c r="T47" i="3"/>
  <c r="U47" i="3"/>
  <c r="V47" i="3"/>
  <c r="L64" i="3"/>
  <c r="S64" i="3"/>
  <c r="R64" i="3" s="1"/>
  <c r="T64" i="3"/>
  <c r="U64" i="3"/>
  <c r="V64" i="3"/>
  <c r="L61" i="3"/>
  <c r="S61" i="3"/>
  <c r="R61" i="3" s="1"/>
  <c r="T61" i="3"/>
  <c r="U61" i="3"/>
  <c r="V61" i="3"/>
  <c r="L26" i="3"/>
  <c r="S26" i="3"/>
  <c r="R26" i="3" s="1"/>
  <c r="T26" i="3"/>
  <c r="U26" i="3"/>
  <c r="V26" i="3"/>
  <c r="L43" i="3"/>
  <c r="S43" i="3"/>
  <c r="R43" i="3" s="1"/>
  <c r="T43" i="3"/>
  <c r="U43" i="3"/>
  <c r="V43" i="3"/>
  <c r="P60" i="3"/>
  <c r="Q30" i="3"/>
  <c r="P30" i="3"/>
  <c r="Q42" i="3"/>
  <c r="P42" i="3"/>
  <c r="Q50" i="3"/>
  <c r="P50" i="3"/>
  <c r="Q19" i="3"/>
  <c r="P19" i="3"/>
  <c r="Q35" i="3"/>
  <c r="P51" i="3"/>
  <c r="P64" i="3"/>
  <c r="Q61" i="3"/>
  <c r="P47" i="3"/>
  <c r="Q26" i="3"/>
  <c r="P26" i="3"/>
  <c r="Q43" i="3"/>
  <c r="P43" i="3"/>
  <c r="S109" i="1" l="1"/>
  <c r="S124" i="1"/>
  <c r="S113" i="1"/>
  <c r="S116" i="1"/>
  <c r="S121" i="1"/>
  <c r="S102" i="1"/>
  <c r="S96" i="1"/>
  <c r="S18" i="1"/>
  <c r="Q64" i="3"/>
  <c r="Q47" i="3"/>
  <c r="P61" i="3"/>
  <c r="P35" i="3"/>
  <c r="Q51" i="3"/>
  <c r="Q60" i="3"/>
  <c r="V14" i="1" l="1"/>
  <c r="V13" i="1"/>
  <c r="V18" i="3" l="1"/>
  <c r="V11" i="3"/>
  <c r="V67" i="3"/>
  <c r="V25" i="3"/>
  <c r="V45" i="3"/>
  <c r="V44" i="3"/>
  <c r="V29" i="3"/>
  <c r="V12" i="3"/>
  <c r="V66" i="3"/>
  <c r="V28" i="3"/>
  <c r="V13" i="3"/>
  <c r="V49" i="3"/>
  <c r="V24" i="3"/>
  <c r="V17" i="3"/>
  <c r="V41" i="3"/>
  <c r="V7" i="3"/>
  <c r="V40" i="3"/>
  <c r="V38" i="3"/>
  <c r="V20" i="3"/>
  <c r="V15" i="3"/>
  <c r="V65" i="3"/>
  <c r="V27" i="3"/>
  <c r="V48" i="3"/>
  <c r="V32" i="3"/>
  <c r="V62" i="3"/>
  <c r="V63" i="3"/>
  <c r="V23" i="3"/>
  <c r="V8" i="3"/>
  <c r="V9" i="3"/>
  <c r="V46" i="3"/>
  <c r="V14" i="3"/>
  <c r="L66" i="3"/>
  <c r="L41" i="3"/>
  <c r="L12" i="3"/>
  <c r="L40" i="3"/>
  <c r="L46" i="3"/>
  <c r="L28" i="3"/>
  <c r="L7" i="3"/>
  <c r="L63" i="3"/>
  <c r="L14" i="3"/>
  <c r="L11" i="3"/>
  <c r="L13" i="3"/>
  <c r="L8" i="3"/>
  <c r="L25" i="3"/>
  <c r="L67" i="3"/>
  <c r="L20" i="3"/>
  <c r="L9" i="3"/>
  <c r="L49" i="3"/>
  <c r="L18" i="3"/>
  <c r="L24" i="3"/>
  <c r="L45" i="3"/>
  <c r="AF14" i="1" l="1"/>
  <c r="AF13" i="1"/>
  <c r="Q45" i="3" l="1"/>
  <c r="P24" i="3"/>
  <c r="S18" i="3"/>
  <c r="R18" i="3" s="1"/>
  <c r="T18" i="3"/>
  <c r="U18" i="3"/>
  <c r="S24" i="3"/>
  <c r="R24" i="3" s="1"/>
  <c r="T24" i="3"/>
  <c r="U24" i="3"/>
  <c r="S8" i="3"/>
  <c r="R8" i="3" s="1"/>
  <c r="T8" i="3"/>
  <c r="U8" i="3"/>
  <c r="P45" i="3"/>
  <c r="S45" i="3"/>
  <c r="R45" i="3" s="1"/>
  <c r="T45" i="3"/>
  <c r="U45" i="3"/>
  <c r="L27" i="3"/>
  <c r="S27" i="3"/>
  <c r="R27" i="3" s="1"/>
  <c r="T27" i="3"/>
  <c r="U27" i="3"/>
  <c r="L17" i="3"/>
  <c r="S17" i="3"/>
  <c r="R17" i="3" s="1"/>
  <c r="T17" i="3"/>
  <c r="U17" i="3"/>
  <c r="S7" i="3"/>
  <c r="R7" i="3" s="1"/>
  <c r="T7" i="3"/>
  <c r="U7" i="3"/>
  <c r="S63" i="3"/>
  <c r="R63" i="3" s="1"/>
  <c r="T63" i="3"/>
  <c r="U63" i="3"/>
  <c r="S20" i="3"/>
  <c r="R20" i="3" s="1"/>
  <c r="T20" i="3"/>
  <c r="U20" i="3"/>
  <c r="S9" i="3"/>
  <c r="R9" i="3" s="1"/>
  <c r="T9" i="3"/>
  <c r="U9" i="3"/>
  <c r="S14" i="3"/>
  <c r="R14" i="3" s="1"/>
  <c r="T14" i="3"/>
  <c r="U14" i="3"/>
  <c r="S12" i="3"/>
  <c r="R12" i="3" s="1"/>
  <c r="T12" i="3"/>
  <c r="U12" i="3"/>
  <c r="S49" i="3"/>
  <c r="R49" i="3" s="1"/>
  <c r="T49" i="3"/>
  <c r="U49" i="3"/>
  <c r="S11" i="3"/>
  <c r="R11" i="3" s="1"/>
  <c r="T11" i="3"/>
  <c r="U11" i="3"/>
  <c r="S13" i="3"/>
  <c r="R13" i="3" s="1"/>
  <c r="T13" i="3"/>
  <c r="U13" i="3"/>
  <c r="Q24" i="3" l="1"/>
  <c r="Q18" i="3"/>
  <c r="AG13" i="1"/>
  <c r="AG14" i="1"/>
  <c r="U32" i="3"/>
  <c r="U62" i="3"/>
  <c r="U44" i="3"/>
  <c r="U15" i="3"/>
  <c r="U38" i="3"/>
  <c r="U65" i="3"/>
  <c r="U48" i="3"/>
  <c r="U29" i="3"/>
  <c r="U23" i="3"/>
  <c r="U66" i="3"/>
  <c r="U41" i="3"/>
  <c r="U40" i="3"/>
  <c r="U46" i="3"/>
  <c r="U28" i="3"/>
  <c r="U25" i="3"/>
  <c r="U67" i="3"/>
  <c r="Q27" i="3"/>
  <c r="AE13" i="1"/>
  <c r="AE14" i="1"/>
  <c r="P18" i="3" s="1"/>
  <c r="P27" i="3"/>
  <c r="L38" i="3"/>
  <c r="L15" i="3"/>
  <c r="L65" i="3"/>
  <c r="L32" i="3"/>
  <c r="L29" i="3"/>
  <c r="L48" i="3"/>
  <c r="L62" i="3"/>
  <c r="L44" i="3"/>
  <c r="L23" i="3"/>
  <c r="S66" i="3"/>
  <c r="R66" i="3" s="1"/>
  <c r="T66" i="3"/>
  <c r="S15" i="3"/>
  <c r="R15" i="3" s="1"/>
  <c r="T15" i="3"/>
  <c r="Q7" i="3" l="1"/>
  <c r="Q66" i="3"/>
  <c r="Q15" i="3"/>
  <c r="P15" i="3"/>
  <c r="Q17" i="3"/>
  <c r="Q20" i="3"/>
  <c r="Q12" i="3"/>
  <c r="Q11" i="3"/>
  <c r="Q8" i="3"/>
  <c r="Q49" i="3" l="1"/>
  <c r="Q9" i="3"/>
  <c r="P66" i="3"/>
  <c r="P7" i="3"/>
  <c r="Q14" i="3"/>
  <c r="Q63" i="3"/>
  <c r="P14" i="3"/>
  <c r="P11" i="3"/>
  <c r="P63" i="3"/>
  <c r="P12" i="3"/>
  <c r="P17" i="3"/>
  <c r="Q13" i="3"/>
  <c r="Q67" i="3"/>
  <c r="Q32" i="3"/>
  <c r="Q29" i="3"/>
  <c r="Q62" i="3"/>
  <c r="P32" i="3"/>
  <c r="P29" i="3"/>
  <c r="P62" i="3"/>
  <c r="P40" i="3"/>
  <c r="P13" i="3"/>
  <c r="P49" i="3"/>
  <c r="P9" i="3"/>
  <c r="P25" i="3"/>
  <c r="P8" i="3" l="1"/>
  <c r="P67" i="3"/>
  <c r="P20" i="3"/>
  <c r="P28" i="3"/>
  <c r="P46" i="3"/>
  <c r="P44" i="3"/>
  <c r="P65" i="3"/>
  <c r="P23" i="3"/>
  <c r="P41" i="3"/>
  <c r="P38" i="3"/>
  <c r="P48" i="3"/>
  <c r="M19" i="5"/>
  <c r="M18" i="5"/>
  <c r="T40" i="3"/>
  <c r="T48" i="3"/>
  <c r="T23" i="3"/>
  <c r="T38" i="3"/>
  <c r="T25" i="3"/>
  <c r="T67" i="3"/>
  <c r="T32" i="3"/>
  <c r="T28" i="3"/>
  <c r="T65" i="3"/>
  <c r="T41" i="3"/>
  <c r="T29" i="3"/>
  <c r="T44" i="3"/>
  <c r="T62" i="3"/>
  <c r="T46" i="3"/>
  <c r="Q25" i="3" l="1"/>
  <c r="S28" i="3"/>
  <c r="R28" i="3" s="1"/>
  <c r="S23" i="3"/>
  <c r="R23" i="3" s="1"/>
  <c r="S65" i="3"/>
  <c r="R65" i="3" s="1"/>
  <c r="Q46" i="3" l="1"/>
  <c r="Q44" i="3"/>
  <c r="S25" i="3" l="1"/>
  <c r="R25" i="3" s="1"/>
  <c r="S44" i="3"/>
  <c r="R44" i="3" s="1"/>
  <c r="S41" i="3"/>
  <c r="R41" i="3" s="1"/>
  <c r="S67" i="3"/>
  <c r="R67" i="3" s="1"/>
  <c r="S32" i="3"/>
  <c r="R32" i="3" s="1"/>
  <c r="Q38" i="3" l="1"/>
  <c r="Q41" i="3"/>
  <c r="Q65" i="3"/>
  <c r="Q28" i="3"/>
  <c r="AD14" i="1" l="1"/>
  <c r="AD13" i="1"/>
  <c r="S29" i="3" l="1"/>
  <c r="R29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46" i="3" l="1"/>
  <c r="R46" i="3" s="1"/>
  <c r="S38" i="3"/>
  <c r="R38" i="3" s="1"/>
  <c r="S48" i="3"/>
  <c r="R48" i="3" s="1"/>
  <c r="S62" i="3"/>
  <c r="R62" i="3" s="1"/>
  <c r="S40" i="3"/>
  <c r="R40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4" i="6" l="1"/>
  <c r="F4" i="6"/>
  <c r="G4" i="6"/>
  <c r="E3" i="6"/>
  <c r="F3" i="6"/>
  <c r="G3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40" i="3" l="1"/>
  <c r="Q48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23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<sst xmlns="http://schemas.openxmlformats.org/spreadsheetml/2006/main" count="2025" uniqueCount="627">
  <si>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</si>
  <si>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</si>
  <si>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</si>
  <si>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</si>
  <si>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</si>
  <si>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</si>
  <si>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</si>
  <si>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</si>
  <si>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</si>
  <si>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</si>
  <si>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</si>
  <si>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</si>
  <si>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</si>
  <si>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</si>
  <si>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</si>
  <si>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</si>
  <si>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</si>
  <si>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</si>
  <si>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</si>
  <si>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</si>
  <si>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</si>
  <si>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</si>
  <si>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</si>
  <si>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</si>
  <si>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</si>
  <si>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</si>
  <si>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</si>
  <si>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</si>
  <si>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</si>
  <si>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</si>
  <si>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</si>
  <si>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</si>
  <si>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</si>
  <si>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</si>
  <si>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</si>
  <si>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</si>
  <si>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</si>
  <si>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</si>
  <si>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</si>
  <si>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</si>
  <si>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</si>
  <si>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</si>
  <si>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</si>
  <si>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</si>
  <si>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</si>
  <si>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</si>
  <si>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</si>
  <si>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</si>
  <si>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</si>
  <si>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</si>
  <si>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</si>
  <si>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</si>
  <si>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</si>
  <si>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</si>
  <si>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</si>
  <si>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</si>
  <si>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</si>
  <si>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</si>
  <si>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</si>
  <si>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</si>
  <si>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</si>
  <si>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</si>
  <si>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</si>
  <si>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</si>
  <si>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</si>
  <si>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</si>
  <si>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</si>
  <si>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</si>
  <si>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</si>
  <si>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</si>
  <si>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</si>
  <si>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</si>
  <si>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</si>
  <si>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</si>
  <si>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</si>
  <si>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</si>
  <si>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</si>
  <si>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</si>
  <si>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</si>
  <si>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</si>
  <si>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</si>
  <si>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</si>
  <si>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</si>
  <si>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</si>
  <si>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</si>
  <si>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</si>
  <si>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</si>
  <si>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</si>
  <si>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</si>
  <si>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</si>
  <si>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</si>
  <si>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</si>
  <si>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</si>
  <si>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</si>
  <si>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</si>
  <si>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</si>
  <si>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</si>
  <si>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</si>
  <si>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</si>
  <si>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</si>
  <si>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</si>
  <si>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</si>
  <si>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</si>
  <si>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</si>
  <si>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</si>
  <si>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</si>
  <si>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</si>
  <si>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</si>
  <si>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</si>
  <si>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</si>
  <si>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</si>
  <si>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</si>
  <si>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</si>
  <si>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</si>
  <si>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</si>
  <si>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</si>
  <si>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</si>
  <si>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</si>
  <si>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</si>
  <si>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</si>
  <si>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</si>
  <si>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</si>
  <si>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</si>
  <si>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</si>
  <si>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</si>
  <si>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</si>
  <si>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</si>
  <si>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</si>
  <si>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</si>
  <si>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</si>
  <si>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</si>
  <si>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</si>
  <si>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</si>
  <si>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</si>
  <si>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</si>
  <si>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</si>
  <si>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</si>
  <si>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</si>
  <si>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</si>
  <si>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</si>
  <si>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</si>
  <si>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</si>
  <si>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</si>
  <si>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</si>
  <si>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</si>
  <si>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</si>
  <si>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</si>
  <si>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</si>
  <si>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</si>
  <si>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</si>
  <si>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</si>
  <si>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</si>
  <si>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</si>
  <si>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</si>
  <si>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</si>
  <si>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</si>
  <si>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</si>
  <si>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</si>
  <si>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</si>
  <si>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</si>
  <si>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</si>
  <si>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</si>
  <si>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</si>
  <si>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</si>
  <si>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</si>
  <si>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</si>
  <si>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</si>
  <si>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</si>
  <si>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</si>
  <si>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</si>
  <si>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204:453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</si>
  <si>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</si>
  <si>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</si>
  <si>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</si>
  <si>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</si>
  <si>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</si>
  <si>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</si>
  <si>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</si>
  <si>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</si>
  <si>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</si>
  <si>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</si>
  <si>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</si>
  <si>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204:233310</t>
  </si>
  <si>
    <t>204:233295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</si>
  <si>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</si>
  <si>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</si>
  <si>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</si>
  <si>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</si>
  <si>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</si>
  <si>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</si>
  <si>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</si>
  <si>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</si>
  <si>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</si>
  <si>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</si>
  <si>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</si>
  <si>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204:232975</t>
  </si>
  <si>
    <t>204:232993</t>
  </si>
  <si>
    <t>Omit due to TWC &lt; 1</t>
  </si>
  <si>
    <t>Reactive Enforcement (3)</t>
  </si>
  <si>
    <t>204:233312</t>
  </si>
  <si>
    <t>204:232994</t>
  </si>
  <si>
    <t>204:444</t>
  </si>
  <si>
    <t>204:442</t>
  </si>
  <si>
    <t>rtdc.l.rtdc.4009:itc</t>
  </si>
  <si>
    <t>rtdc.l.rtdc.4010:itc</t>
  </si>
  <si>
    <t>204:232984</t>
  </si>
  <si>
    <t>204:163</t>
  </si>
  <si>
    <t>204:437</t>
  </si>
  <si>
    <t>204:477</t>
  </si>
  <si>
    <t>BRANNON</t>
  </si>
  <si>
    <t>SHOOK</t>
  </si>
  <si>
    <t>rtdc.l.rtdc.4041:itc</t>
  </si>
  <si>
    <t>204:132</t>
  </si>
  <si>
    <t>204:141</t>
  </si>
  <si>
    <t>204:232989</t>
  </si>
  <si>
    <t>204:233304</t>
  </si>
  <si>
    <t>204:233289</t>
  </si>
  <si>
    <t>204:232961</t>
  </si>
  <si>
    <t>204:233307</t>
  </si>
  <si>
    <t>204:233002</t>
  </si>
  <si>
    <t>204:129</t>
  </si>
  <si>
    <t>204:435</t>
  </si>
  <si>
    <t>204:232969</t>
  </si>
  <si>
    <t>204:233306</t>
  </si>
  <si>
    <t>204:232981</t>
  </si>
  <si>
    <t>204:233288</t>
  </si>
  <si>
    <t>204:232983</t>
  </si>
  <si>
    <t>204:233287</t>
  </si>
  <si>
    <t>204:232965</t>
  </si>
  <si>
    <t>204:232971</t>
  </si>
  <si>
    <t>226-13</t>
  </si>
  <si>
    <t>229-13</t>
  </si>
  <si>
    <t>204:233274</t>
  </si>
  <si>
    <t>231-13</t>
  </si>
  <si>
    <t>233-13</t>
  </si>
  <si>
    <t>236-13</t>
  </si>
  <si>
    <t>244-13</t>
  </si>
  <si>
    <t>LEVIN</t>
  </si>
  <si>
    <t>106-14</t>
  </si>
  <si>
    <t>111-14</t>
  </si>
  <si>
    <t>204:233316</t>
  </si>
  <si>
    <t>204:768</t>
  </si>
  <si>
    <t>204:775</t>
  </si>
  <si>
    <t>204:189</t>
  </si>
  <si>
    <t>204:232985</t>
  </si>
  <si>
    <t>204:491</t>
  </si>
  <si>
    <t>204:440</t>
  </si>
  <si>
    <t>145-14</t>
  </si>
  <si>
    <t>204:233293</t>
  </si>
  <si>
    <t>160-14</t>
  </si>
  <si>
    <t>204:232991</t>
  </si>
  <si>
    <t>166-14</t>
  </si>
  <si>
    <t>169-14</t>
  </si>
  <si>
    <t>171-14</t>
  </si>
  <si>
    <t>204:233315</t>
  </si>
  <si>
    <t>204:233308</t>
  </si>
  <si>
    <t>190-14</t>
  </si>
  <si>
    <t>192-14</t>
  </si>
  <si>
    <t>196-14</t>
  </si>
  <si>
    <t>204:449</t>
  </si>
  <si>
    <t>201-14</t>
  </si>
  <si>
    <t>202-14</t>
  </si>
  <si>
    <t>204:233282</t>
  </si>
  <si>
    <t>204-14</t>
  </si>
  <si>
    <t>205-14</t>
  </si>
  <si>
    <t>206-14</t>
  </si>
  <si>
    <t>209-14</t>
  </si>
  <si>
    <t>210-14</t>
  </si>
  <si>
    <t>204:427</t>
  </si>
  <si>
    <t>215-14</t>
  </si>
  <si>
    <t>217-14</t>
  </si>
  <si>
    <t>218-14</t>
  </si>
  <si>
    <t>220-14</t>
  </si>
  <si>
    <t>222-14</t>
  </si>
  <si>
    <t>225-14</t>
  </si>
  <si>
    <t>204:233286</t>
  </si>
  <si>
    <t>204:232957</t>
  </si>
  <si>
    <t>241-14</t>
  </si>
  <si>
    <t>242-14</t>
  </si>
  <si>
    <t>Discover</t>
  </si>
  <si>
    <t>Visualize</t>
  </si>
  <si>
    <t>Dashboard</t>
  </si>
  <si>
    <t>Settings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</si>
  <si>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</si>
  <si>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</si>
  <si>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</si>
  <si>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</si>
  <si>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</si>
  <si>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</si>
  <si>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</si>
  <si>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</si>
  <si>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</si>
  <si>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</si>
  <si>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</si>
  <si>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</si>
  <si>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</si>
  <si>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</si>
  <si>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</si>
  <si>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</si>
  <si>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</si>
  <si>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</si>
  <si>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</si>
  <si>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</si>
  <si>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</si>
  <si>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</si>
  <si>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</si>
  <si>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</si>
  <si>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</si>
  <si>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</si>
  <si>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</si>
  <si>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</si>
  <si>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</si>
  <si>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</si>
  <si>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</si>
  <si>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</si>
  <si>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</si>
  <si>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</si>
  <si>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</si>
  <si>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</si>
  <si>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</si>
  <si>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</si>
  <si>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</si>
  <si>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</si>
  <si>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</si>
  <si>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</si>
  <si>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</si>
  <si>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</si>
  <si>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</si>
  <si>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</si>
  <si>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</si>
  <si>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</si>
  <si>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116-15</t>
  </si>
  <si>
    <t>REBOLETTI</t>
  </si>
  <si>
    <t>182-14</t>
  </si>
  <si>
    <t>193-14</t>
  </si>
  <si>
    <t>104-15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</si>
  <si>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</si>
  <si>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</si>
  <si>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</si>
  <si>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</si>
  <si>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</si>
  <si>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</si>
  <si>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</si>
  <si>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</si>
  <si>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204:160</t>
  </si>
  <si>
    <t>204:233005</t>
  </si>
  <si>
    <t>204:473</t>
  </si>
  <si>
    <t>204:233317</t>
  </si>
  <si>
    <t>204:232988</t>
  </si>
  <si>
    <t>204:232967</t>
  </si>
  <si>
    <t>204:165</t>
  </si>
  <si>
    <t>204:467</t>
  </si>
  <si>
    <t>204:232973</t>
  </si>
  <si>
    <t>204:446</t>
  </si>
  <si>
    <t>204:232992</t>
  </si>
  <si>
    <t>204:471</t>
  </si>
  <si>
    <t>204:136</t>
  </si>
  <si>
    <t>204:167</t>
  </si>
  <si>
    <t>204:232976</t>
  </si>
  <si>
    <t>242-15</t>
  </si>
  <si>
    <t>244-15</t>
  </si>
  <si>
    <t>245-15</t>
  </si>
  <si>
    <t>204:480</t>
  </si>
  <si>
    <t>246-15</t>
  </si>
  <si>
    <t>204:9566</t>
  </si>
  <si>
    <t>243-16</t>
  </si>
  <si>
    <t>STEWART</t>
  </si>
  <si>
    <t>CHANDLER</t>
  </si>
  <si>
    <t xml:space="preserve">2016-07-16 00:45:50.457 to 2016-07-17 03:00:50.457 </t>
  </si>
  <si>
    <t>Trip IDs  191 hits</t>
  </si>
  <si>
    <t>2016-07-16 00:45:50.457 - 2016-07-17 03:00:50.457</t>
  </si>
  <si>
    <t>rtdc.l.rtdc.4011:itc</t>
  </si>
  <si>
    <t>107-16</t>
  </si>
  <si>
    <t>219-16</t>
  </si>
  <si>
    <t>214-16</t>
  </si>
  <si>
    <t>BRUDER</t>
  </si>
  <si>
    <t>224-16</t>
  </si>
  <si>
    <t>213-16</t>
  </si>
  <si>
    <t>231-16</t>
  </si>
  <si>
    <t>233-16</t>
  </si>
  <si>
    <t>KILLION-16</t>
  </si>
  <si>
    <t>138-16</t>
  </si>
  <si>
    <t>145-16</t>
  </si>
  <si>
    <t>217-16</t>
  </si>
  <si>
    <t>151-16</t>
  </si>
  <si>
    <t>rtdc.l.rtdc.4012:itc</t>
  </si>
  <si>
    <t>178-16</t>
  </si>
  <si>
    <t>157-16</t>
  </si>
  <si>
    <t>135-16</t>
  </si>
  <si>
    <t>159-16</t>
  </si>
  <si>
    <t>128-16</t>
  </si>
  <si>
    <t>161-16</t>
  </si>
  <si>
    <t>STORY</t>
  </si>
  <si>
    <t>131-16</t>
  </si>
  <si>
    <t>164-16</t>
  </si>
  <si>
    <t>110-16</t>
  </si>
  <si>
    <t>168-16</t>
  </si>
  <si>
    <t>106-16</t>
  </si>
  <si>
    <t>ACKERMAN</t>
  </si>
  <si>
    <t>172-16</t>
  </si>
  <si>
    <t>WEBSTER</t>
  </si>
  <si>
    <t>174-16</t>
  </si>
  <si>
    <t>240-16</t>
  </si>
  <si>
    <t>225-16</t>
  </si>
  <si>
    <t>245-16</t>
  </si>
  <si>
    <t>230-16</t>
  </si>
  <si>
    <t>241-16</t>
  </si>
  <si>
    <t>237-16</t>
  </si>
  <si>
    <t>232-16</t>
  </si>
  <si>
    <t>158-16</t>
  </si>
  <si>
    <t>242-16</t>
  </si>
  <si>
    <t>152-16</t>
  </si>
  <si>
    <t>103-16</t>
  </si>
  <si>
    <t>117-16</t>
  </si>
  <si>
    <t>148-16</t>
  </si>
  <si>
    <t>144-16</t>
  </si>
  <si>
    <t>119-16</t>
  </si>
  <si>
    <t>147-16</t>
  </si>
  <si>
    <t>116-16</t>
  </si>
  <si>
    <t>121-16</t>
  </si>
  <si>
    <t>143-16</t>
  </si>
  <si>
    <t>125-16</t>
  </si>
  <si>
    <t>GEBRETEKLE</t>
  </si>
  <si>
    <t>137-16</t>
  </si>
  <si>
    <t>169-16</t>
  </si>
  <si>
    <t>MAYBERRY</t>
  </si>
  <si>
    <t>126-16</t>
  </si>
  <si>
    <t>173-16</t>
  </si>
  <si>
    <t>175-16</t>
  </si>
  <si>
    <t>124-16</t>
  </si>
  <si>
    <t>182-16</t>
  </si>
  <si>
    <t>187-16</t>
  </si>
  <si>
    <t>239-16</t>
  </si>
  <si>
    <t>212-16</t>
  </si>
  <si>
    <t>200-16</t>
  </si>
  <si>
    <t>194-16</t>
  </si>
  <si>
    <t>207-16</t>
  </si>
  <si>
    <t>205-16</t>
  </si>
  <si>
    <t>208-16</t>
  </si>
  <si>
    <t>220-16</t>
  </si>
  <si>
    <t>209-16</t>
  </si>
  <si>
    <t>228-16</t>
  </si>
  <si>
    <t>234-16</t>
  </si>
  <si>
    <t>203-16</t>
  </si>
  <si>
    <t>122-16</t>
  </si>
  <si>
    <t>186-16</t>
  </si>
  <si>
    <t>129-16</t>
  </si>
  <si>
    <t>192-16</t>
  </si>
  <si>
    <t>133-16</t>
  </si>
  <si>
    <t>190-16</t>
  </si>
  <si>
    <t>195-16</t>
  </si>
  <si>
    <t>141-16</t>
  </si>
  <si>
    <t>149-16</t>
  </si>
  <si>
    <t>183-16</t>
  </si>
  <si>
    <t>140-16</t>
  </si>
  <si>
    <t>181-16</t>
  </si>
  <si>
    <t>155-16</t>
  </si>
  <si>
    <t>154-16</t>
  </si>
  <si>
    <t>120-16</t>
  </si>
  <si>
    <t>163-16</t>
  </si>
  <si>
    <t>115-16</t>
  </si>
  <si>
    <t>218-16</t>
  </si>
  <si>
    <t>108-16</t>
  </si>
  <si>
    <t>247-16</t>
  </si>
  <si>
    <t>104-16</t>
  </si>
  <si>
    <t>244-16</t>
  </si>
  <si>
    <t>109-16</t>
  </si>
  <si>
    <t>101-16</t>
  </si>
  <si>
    <t>105-16</t>
  </si>
  <si>
    <t>102-16</t>
  </si>
  <si>
    <t>112-16</t>
  </si>
  <si>
    <t>118-16</t>
  </si>
  <si>
    <t>130-16</t>
  </si>
  <si>
    <t>139-16</t>
  </si>
  <si>
    <t>136-16</t>
  </si>
  <si>
    <t>229-16</t>
  </si>
  <si>
    <t>142-16</t>
  </si>
  <si>
    <t>227-16</t>
  </si>
  <si>
    <t>146-16</t>
  </si>
  <si>
    <t>223-16</t>
  </si>
  <si>
    <t>153-16</t>
  </si>
  <si>
    <t>171-16</t>
  </si>
  <si>
    <t>150-16</t>
  </si>
  <si>
    <t>165-16</t>
  </si>
  <si>
    <t>156-16</t>
  </si>
  <si>
    <t>160-16</t>
  </si>
  <si>
    <t>167-16</t>
  </si>
  <si>
    <t>134-16</t>
  </si>
  <si>
    <t>162-16</t>
  </si>
  <si>
    <t>HAUSER</t>
  </si>
  <si>
    <t>132-16</t>
  </si>
  <si>
    <t>166-16</t>
  </si>
  <si>
    <t>235-16</t>
  </si>
  <si>
    <t>226-16</t>
  </si>
  <si>
    <t>236-16</t>
  </si>
  <si>
    <t>222-16</t>
  </si>
  <si>
    <t>216-16</t>
  </si>
  <si>
    <t>177-16</t>
  </si>
  <si>
    <t>179-16</t>
  </si>
  <si>
    <t>176-16</t>
  </si>
  <si>
    <t>184-16</t>
  </si>
  <si>
    <t>191-16</t>
  </si>
  <si>
    <t>193-16</t>
  </si>
  <si>
    <t>180-16</t>
  </si>
  <si>
    <t>196-16</t>
  </si>
  <si>
    <t>185-16</t>
  </si>
  <si>
    <t>170-16</t>
  </si>
  <si>
    <t>127-16</t>
  </si>
  <si>
    <t>123-16</t>
  </si>
  <si>
    <t>114-16</t>
  </si>
  <si>
    <t>238-16</t>
  </si>
  <si>
    <t>113-16</t>
  </si>
  <si>
    <t>111-16</t>
  </si>
  <si>
    <t>246-16</t>
  </si>
  <si>
    <t>UNHEALTHY CROSSING</t>
  </si>
  <si>
    <t>Other (9)</t>
  </si>
  <si>
    <t>EQUIPMENT RESTRICTION</t>
  </si>
  <si>
    <t>204:644</t>
  </si>
  <si>
    <t>204:232675</t>
  </si>
  <si>
    <t>204:233343</t>
  </si>
  <si>
    <t>204:232708</t>
  </si>
  <si>
    <t>204:657</t>
  </si>
  <si>
    <t>204:233401</t>
  </si>
  <si>
    <t>204:232754</t>
  </si>
  <si>
    <t>204:79423</t>
  </si>
  <si>
    <t>204:36711</t>
  </si>
  <si>
    <t>204:233323</t>
  </si>
  <si>
    <t>204:233015</t>
  </si>
  <si>
    <t>204:708</t>
  </si>
  <si>
    <t>204:233011</t>
  </si>
  <si>
    <t>204:790</t>
  </si>
  <si>
    <t>204:232959</t>
  </si>
  <si>
    <t>204:744</t>
  </si>
  <si>
    <t>204:233340</t>
  </si>
  <si>
    <t>204:233170</t>
  </si>
  <si>
    <t>204:232847</t>
  </si>
  <si>
    <t>204:233359</t>
  </si>
  <si>
    <t>204:130</t>
  </si>
  <si>
    <t>204:233329</t>
  </si>
  <si>
    <t>204:233006</t>
  </si>
  <si>
    <t>204:127849</t>
  </si>
  <si>
    <t>204:229</t>
  </si>
  <si>
    <t>204:232952</t>
  </si>
  <si>
    <t>204:233337</t>
  </si>
  <si>
    <t>204:528</t>
  </si>
  <si>
    <t>204:233318</t>
  </si>
  <si>
    <t>204:258</t>
  </si>
  <si>
    <t>204:119</t>
  </si>
  <si>
    <t>204:60400</t>
  </si>
  <si>
    <t>204:36791</t>
  </si>
  <si>
    <t>204:19123</t>
  </si>
  <si>
    <t>204:562</t>
  </si>
  <si>
    <t>204:59335</t>
  </si>
  <si>
    <t>204:59337</t>
  </si>
  <si>
    <t>204:59396</t>
  </si>
  <si>
    <t>204:64149</t>
  </si>
  <si>
    <t>204:69512</t>
  </si>
  <si>
    <t>204:205</t>
  </si>
  <si>
    <t>204:1496</t>
  </si>
  <si>
    <t>204:69726</t>
  </si>
  <si>
    <t>204:69732</t>
  </si>
  <si>
    <t>204:27675</t>
  </si>
  <si>
    <t>204:233357</t>
  </si>
  <si>
    <t>204:233049</t>
  </si>
  <si>
    <t>204:75921</t>
  </si>
  <si>
    <t>204:1156</t>
  </si>
  <si>
    <t>204:88040</t>
  </si>
  <si>
    <t>204:36799</t>
  </si>
  <si>
    <t>204:105044</t>
  </si>
  <si>
    <t>204:64182</t>
  </si>
  <si>
    <t>204:233123</t>
  </si>
  <si>
    <t>204:56222</t>
  </si>
  <si>
    <t>204:86375</t>
  </si>
  <si>
    <t>204:56595</t>
  </si>
  <si>
    <t>204:86374</t>
  </si>
  <si>
    <t>204:232807</t>
  </si>
  <si>
    <t>204:1175</t>
  </si>
  <si>
    <t>204:48744</t>
  </si>
  <si>
    <t>204:519</t>
  </si>
  <si>
    <t>204:56742</t>
  </si>
  <si>
    <t>204:97788</t>
  </si>
  <si>
    <t>204:877</t>
  </si>
  <si>
    <t>204:1165</t>
  </si>
  <si>
    <t>204:232877</t>
  </si>
  <si>
    <t>204:232207</t>
  </si>
  <si>
    <t>204:508</t>
  </si>
  <si>
    <t>204:484</t>
  </si>
  <si>
    <t>204:365</t>
  </si>
  <si>
    <t>204:233266</t>
  </si>
  <si>
    <t>Y</t>
  </si>
  <si>
    <t>Improper execution of Form C at Havana</t>
  </si>
  <si>
    <t>Dispatcher error - no Trip ID's ready at DIA</t>
  </si>
  <si>
    <t>Improper execution of Form C at Quebec</t>
  </si>
  <si>
    <t>Sand Creek 4S was STOP, switch was against</t>
  </si>
  <si>
    <t>Onboard in-route failure</t>
  </si>
  <si>
    <t>82-2T 2S was STOP &amp; PROCEED</t>
  </si>
  <si>
    <t>68-2T 2S was STOP &amp; PROCEED</t>
  </si>
  <si>
    <t>96-2T 2S was STOP &amp; PROCEED</t>
  </si>
  <si>
    <t>Sable 4S was STOP</t>
  </si>
  <si>
    <t>Quebec 2N was STOP</t>
  </si>
  <si>
    <t>Was behind 207-16, cut at around same time</t>
  </si>
  <si>
    <t>Same behavior as 246-14… no issues found from PTC perspective… any insight from ops?</t>
  </si>
  <si>
    <t>88-2T 2S was STOP &amp; PROCEED</t>
  </si>
  <si>
    <t>104-2T 2S was STOP &amp; PROCEED</t>
  </si>
  <si>
    <t>Sable 2N was STOP</t>
  </si>
  <si>
    <t>Chambers 2N was STOP</t>
  </si>
  <si>
    <t>61st 2N was STOP, switch was against</t>
  </si>
  <si>
    <t>Pena 4S was STOP</t>
  </si>
  <si>
    <t>Wi-MAX outage</t>
  </si>
  <si>
    <t>EC2241RH 219-1T 1N was STOP &amp; PROCEED</t>
  </si>
  <si>
    <t>DIA 2N was STOP</t>
  </si>
  <si>
    <t>188-16</t>
  </si>
  <si>
    <t>189-16</t>
  </si>
  <si>
    <t>197-16</t>
  </si>
  <si>
    <t>198-16</t>
  </si>
  <si>
    <t>199-16</t>
  </si>
  <si>
    <t>201-16</t>
  </si>
  <si>
    <t>202-16</t>
  </si>
  <si>
    <t>204-16</t>
  </si>
  <si>
    <t>206-16</t>
  </si>
  <si>
    <t>210-16</t>
  </si>
  <si>
    <t>211-16</t>
  </si>
  <si>
    <t>215-16</t>
  </si>
  <si>
    <t>221-16</t>
  </si>
  <si>
    <t>Not found in PTC data</t>
  </si>
  <si>
    <t>Bulletin sync issues</t>
  </si>
  <si>
    <t>Departure test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</si>
</sst>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18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8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9" xfId="1" applyFont="1" applyFill="1" applyBorder="1" applyAlignment="1">
      <alignment horizontal="center"/>
    </xf>
    <xf numFmtId="169" fontId="8" fillId="0" borderId="10" xfId="1" applyFont="1" applyFill="1" applyBorder="1" applyAlignment="1">
      <alignment wrapText="1"/>
    </xf>
    <xf numFmtId="169" fontId="8" fillId="0" borderId="10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1" xfId="0" applyFill="1" applyBorder="1" applyAlignment="1">
      <alignment vertical="center" wrapText="1"/>
    </xf>
    <xf numFmtId="169" fontId="0" fillId="0" borderId="14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2" xfId="0" applyFill="1" applyBorder="1" applyAlignment="1">
      <alignment horizontal="left" vertical="center" wrapText="1"/>
    </xf>
    <xf numFmtId="169" fontId="0" fillId="0" borderId="15" xfId="0" applyBorder="1" applyAlignment="1">
      <alignment horizontal="left" vertical="center" wrapText="1"/>
    </xf>
    <xf numFmtId="0" fontId="0" fillId="2" borderId="13" xfId="0" applyNumberFormat="1" applyFill="1" applyBorder="1"/>
    <xf numFmtId="0" fontId="0" fillId="0" borderId="16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167" fontId="0" fillId="0" borderId="5" xfId="0" applyNumberFormat="1" applyBorder="1" applyAlignment="1">
      <alignment vertical="center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8"/>
  <sheetViews>
    <sheetView tabSelected="1" zoomScale="85" zoomScaleNormal="85" workbookViewId="0"/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9.425781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hidden="1" customWidth="1"/>
    <col min="21" max="21" width="4.7109375" style="94" hidden="1" customWidth="1"/>
    <col min="22" max="22" width="5.7109375" style="24" customWidth="1"/>
    <col min="23" max="23" width="3.85546875" style="24" customWidth="1"/>
    <col min="24" max="24" width="4.140625" style="90" customWidth="1"/>
    <col min="25" max="27" width="9.140625" style="87"/>
    <col min="28" max="28" width="10.7109375" style="84" bestFit="1" customWidth="1"/>
    <col min="29" max="29" width="17.42578125" style="78" customWidth="1"/>
    <col min="30" max="30" width="9.140625" style="79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94"/>
      <c r="V1" s="24"/>
      <c r="W1" s="24"/>
      <c r="X1" s="90"/>
      <c r="Y1" s="87"/>
      <c r="Z1" s="87"/>
      <c r="AA1" s="87"/>
      <c r="AB1" s="84"/>
      <c r="AC1" s="78"/>
      <c r="AD1" s="79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0">
        <f>Variables!A2</f>
        <v>42567</v>
      </c>
      <c r="J2" s="111"/>
      <c r="K2" s="57"/>
      <c r="L2" s="57"/>
      <c r="M2" s="112" t="s">
        <v>8</v>
      </c>
      <c r="N2" s="113"/>
      <c r="O2" s="114"/>
      <c r="P2" s="2"/>
      <c r="U2" s="94"/>
      <c r="V2" s="24"/>
      <c r="W2" s="24"/>
      <c r="X2" s="90"/>
      <c r="Y2" s="87"/>
      <c r="Z2" s="87"/>
      <c r="AA2" s="87"/>
      <c r="AB2" s="84"/>
      <c r="AC2" s="78"/>
      <c r="AD2" s="79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5" t="s">
        <v>10</v>
      </c>
      <c r="J3" s="116"/>
      <c r="K3" s="58"/>
      <c r="L3" s="58"/>
      <c r="M3" s="59" t="s">
        <v>11</v>
      </c>
      <c r="N3" s="60" t="s">
        <v>12</v>
      </c>
      <c r="O3" s="3" t="s">
        <v>13</v>
      </c>
      <c r="P3" s="2"/>
      <c r="U3" s="94"/>
      <c r="V3" s="24"/>
      <c r="W3" s="24"/>
      <c r="X3" s="90"/>
      <c r="Y3" s="87"/>
      <c r="Z3" s="87"/>
      <c r="AA3" s="87"/>
      <c r="AB3" s="84"/>
      <c r="AC3" s="78"/>
      <c r="AD3" s="79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77">
        <f>COUNT($N$13:$P$1731)</f>
        <v>135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94"/>
      <c r="V4" s="24"/>
      <c r="W4" s="24"/>
      <c r="X4" s="90"/>
      <c r="Y4" s="87"/>
      <c r="Z4" s="87"/>
      <c r="AA4" s="87"/>
      <c r="AB4" s="84"/>
      <c r="AC4" s="78"/>
      <c r="AD4" s="79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77">
        <f>COUNT($N$13:$N$1731)</f>
        <v>116</v>
      </c>
      <c r="K5" s="61"/>
      <c r="L5" s="61"/>
      <c r="M5" s="62">
        <f>AVERAGE($N$13:$N$731)</f>
        <v>44.268247126541425</v>
      </c>
      <c r="N5" s="60">
        <f>MIN($N$13:$N$731)</f>
        <v>35.283333335537463</v>
      </c>
      <c r="O5" s="3">
        <f>MAX($N$13:$N$731)</f>
        <v>65.916666673729196</v>
      </c>
      <c r="P5" s="2"/>
      <c r="U5" s="94"/>
      <c r="V5" s="24"/>
      <c r="W5" s="24"/>
      <c r="X5" s="90"/>
      <c r="Y5" s="87"/>
      <c r="Z5" s="87"/>
      <c r="AA5" s="87"/>
      <c r="AB5" s="84"/>
      <c r="AC5" s="78"/>
      <c r="AD5" s="79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77">
        <f>COUNT($O$13:$O$731)</f>
        <v>0</v>
      </c>
      <c r="K6" s="61"/>
      <c r="L6" s="61"/>
      <c r="M6" s="62">
        <f>IFERROR(AVERAGE($O$13:$O$731),0)</f>
        <v>0</v>
      </c>
      <c r="N6" s="60">
        <f>MIN($O$13:$O$731)</f>
        <v>0</v>
      </c>
      <c r="O6" s="3">
        <f>MAX($O$13:$O$731)</f>
        <v>0</v>
      </c>
      <c r="P6" s="2"/>
      <c r="U6" s="94"/>
      <c r="V6" s="24"/>
      <c r="W6" s="24"/>
      <c r="X6" s="90"/>
      <c r="Y6" s="87"/>
      <c r="Z6" s="87"/>
      <c r="AA6" s="87"/>
      <c r="AB6" s="84"/>
      <c r="AC6" s="78"/>
      <c r="AD6" s="79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77">
        <f>COUNT($P$13:$P$731)</f>
        <v>19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94"/>
      <c r="V7" s="24"/>
      <c r="W7" s="24"/>
      <c r="X7" s="90"/>
      <c r="Y7" s="87"/>
      <c r="Z7" s="87"/>
      <c r="AA7" s="87"/>
      <c r="AB7" s="84"/>
      <c r="AC7" s="78"/>
      <c r="AD7" s="79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77">
        <f>COUNT($N$13:$O$731)</f>
        <v>116</v>
      </c>
      <c r="K8" s="61"/>
      <c r="L8" s="61"/>
      <c r="M8" s="62">
        <f>AVERAGE($N$13:$P$731)</f>
        <v>45.506296296293534</v>
      </c>
      <c r="N8" s="60">
        <f>MIN($N$13:$O$731)</f>
        <v>35.283333335537463</v>
      </c>
      <c r="O8" s="3">
        <f>MAX($N$13:$O$731)</f>
        <v>65.916666673729196</v>
      </c>
      <c r="P8" s="2"/>
      <c r="U8" s="94"/>
      <c r="V8" s="24"/>
      <c r="W8" s="24"/>
      <c r="X8" s="90"/>
      <c r="Y8" s="87"/>
      <c r="Z8" s="87"/>
      <c r="AA8" s="87"/>
      <c r="AB8" s="84"/>
      <c r="AC8" s="78"/>
      <c r="AD8" s="79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97">
        <f>J8/J4</f>
        <v>0.85925925925925928</v>
      </c>
      <c r="K9" s="63"/>
      <c r="L9" s="63"/>
      <c r="M9" s="55"/>
      <c r="N9" s="56"/>
      <c r="O9" s="2"/>
      <c r="P9" s="2"/>
      <c r="U9" s="94"/>
      <c r="V9" s="24"/>
      <c r="W9" s="24"/>
      <c r="X9" s="90"/>
      <c r="Y9" s="87"/>
      <c r="Z9" s="87"/>
      <c r="AA9" s="87"/>
      <c r="AB9" s="84"/>
      <c r="AC9" s="78"/>
      <c r="AD9" s="79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94"/>
      <c r="V10" s="24"/>
      <c r="W10" s="24"/>
      <c r="X10" s="90"/>
      <c r="Y10" s="87"/>
      <c r="Z10" s="87"/>
      <c r="AA10" s="87"/>
      <c r="AB10" s="84"/>
      <c r="AC10" s="78"/>
      <c r="AD10" s="79"/>
    </row>
    <row r="11" spans="1:91" ht="57.75" customHeight="1" thickBot="1" x14ac:dyDescent="0.3">
      <c r="A11" s="109" t="str">
        <f>"Eagle P3 System Performance - "&amp;TEXT(Variables!A2,"yyyy-mm-dd")</f>
        <v>Eagle P3 System Performance - 2016-07-16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86</v>
      </c>
      <c r="T12" s="76" t="s">
        <v>87</v>
      </c>
      <c r="U12" s="95" t="s">
        <v>88</v>
      </c>
      <c r="V12" s="73" t="s">
        <v>45</v>
      </c>
      <c r="W12" s="73" t="s">
        <v>23</v>
      </c>
      <c r="X12" s="91" t="s">
        <v>49</v>
      </c>
      <c r="Y12" s="88" t="s">
        <v>20</v>
      </c>
      <c r="Z12" s="88" t="s">
        <v>21</v>
      </c>
      <c r="AA12" s="88" t="s">
        <v>22</v>
      </c>
      <c r="AB12" s="85" t="s">
        <v>39</v>
      </c>
      <c r="AC12" s="81" t="s">
        <v>40</v>
      </c>
      <c r="AD12" s="80" t="s">
        <v>134</v>
      </c>
      <c r="AE12" s="73" t="s">
        <v>161</v>
      </c>
      <c r="AF12" s="73" t="s">
        <v>166</v>
      </c>
      <c r="AG12" s="4" t="s">
        <v>178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467</v>
      </c>
      <c r="B13" s="7">
        <v>4014</v>
      </c>
      <c r="C13" s="26" t="s">
        <v>59</v>
      </c>
      <c r="D13" s="26" t="s">
        <v>517</v>
      </c>
      <c r="E13" s="16">
        <v>42567.130590277775</v>
      </c>
      <c r="F13" s="16">
        <v>42567.131828703707</v>
      </c>
      <c r="G13" s="7">
        <v>1</v>
      </c>
      <c r="H13" s="16" t="s">
        <v>240</v>
      </c>
      <c r="I13" s="16">
        <v>42567.160682870373</v>
      </c>
      <c r="J13" s="7">
        <v>0</v>
      </c>
      <c r="K13" s="26" t="str">
        <f t="shared" ref="K13:K14" si="0">IF(ISEVEN(B13),(B13-1)&amp;"/"&amp;B13,B13&amp;"/"&amp;(B13+1))</f>
        <v>4013/4014</v>
      </c>
      <c r="L13" s="26" t="str">
        <f>VLOOKUP(A13,'Trips&amp;Operators'!$C$1:$E$10000,3,FALSE)</f>
        <v>SANTIZO</v>
      </c>
      <c r="M13" s="6">
        <f t="shared" ref="M13:M14" si="1">I13-F13</f>
        <v>2.8854166666860692E-2</v>
      </c>
      <c r="N13" s="7">
        <f t="shared" ref="N13:P76" si="2">24*60*SUM($M13:$M13)</f>
        <v>41.550000000279397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NorthBound</v>
      </c>
      <c r="U13" s="96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https://search-rtdc-monitor-bjffxe2xuh6vdkpspy63sjmuny.us-east-1.es.amazonaws.com/_plugin/kibana/#/discover/Steve-Slow-Train-Analysis-(2080s-and-2083s)?_g=(refreshInterval:(display:Off,section:0,value:0),time:(from:'2016-07-16 02:08:03-0600',mode:absolute,to:'2016-07-16 04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" s="74" t="str">
        <f t="shared" ref="W13:W14" si="5">IF(AA13&lt;23,"Y","N")</f>
        <v>N</v>
      </c>
      <c r="X13" s="92" t="e">
        <f>VALUE(LEFT(A13,3))-VALUE(LEFT(#REF!,3))</f>
        <v>#REF!</v>
      </c>
      <c r="Y13" s="89">
        <f t="shared" ref="Y13:Y14" si="6">RIGHT(D13,LEN(D13)-4)/10000</f>
        <v>6.4399999999999999E-2</v>
      </c>
      <c r="Z13" s="89">
        <f t="shared" ref="Z13:Z14" si="7">RIGHT(H13,LEN(H13)-4)/10000</f>
        <v>23.331600000000002</v>
      </c>
      <c r="AA13" s="89">
        <f t="shared" ref="AA13:AA14" si="8">ABS(Z13-Y13)</f>
        <v>23.267200000000003</v>
      </c>
      <c r="AB13" s="86" t="e">
        <f>VLOOKUP(A13,Enforcements!$C$7:$J$23,8,0)</f>
        <v>#N/A</v>
      </c>
      <c r="AC13" s="82" t="e">
        <f>VLOOKUP(A13,Enforcements!$C$7:$E$23,3,0)</f>
        <v>#N/A</v>
      </c>
      <c r="AD13" s="83" t="str">
        <f t="shared" ref="AD13:AD14" si="9">IF(LEN(A13)=6,"0"&amp;A13,A13)</f>
        <v>0101-16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/stypes="*4014*20160716*"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9" t="s">
        <v>469</v>
      </c>
      <c r="B14" s="7">
        <v>4019</v>
      </c>
      <c r="C14" s="26" t="s">
        <v>59</v>
      </c>
      <c r="D14" s="26" t="s">
        <v>518</v>
      </c>
      <c r="E14" s="16">
        <v>42567.164293981485</v>
      </c>
      <c r="F14" s="16">
        <v>42567.165439814817</v>
      </c>
      <c r="G14" s="7">
        <v>1</v>
      </c>
      <c r="H14" s="16" t="s">
        <v>350</v>
      </c>
      <c r="I14" s="16">
        <v>42567.200856481482</v>
      </c>
      <c r="J14" s="7">
        <v>2</v>
      </c>
      <c r="K14" s="26" t="str">
        <f t="shared" si="0"/>
        <v>4019/4020</v>
      </c>
      <c r="L14" s="26" t="str">
        <f>VLOOKUP(A14,'Trips&amp;Operators'!$C$1:$E$10000,3,FALSE)</f>
        <v>SANTIZO</v>
      </c>
      <c r="M14" s="6">
        <f t="shared" si="1"/>
        <v>3.5416666665696539E-2</v>
      </c>
      <c r="N14" s="7">
        <f t="shared" si="2"/>
        <v>50.999999998603016</v>
      </c>
      <c r="O14" s="7"/>
      <c r="P14" s="7"/>
      <c r="Q14" s="27"/>
      <c r="R14" s="27"/>
      <c r="S14" s="45">
        <f t="shared" si="3"/>
        <v>1</v>
      </c>
      <c r="T14" s="69" t="str">
        <f t="shared" si="4"/>
        <v>Southbound</v>
      </c>
      <c r="U14" s="96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https://search-rtdc-monitor-bjffxe2xuh6vdkpspy63sjmuny.us-east-1.es.amazonaws.com/_plugin/kibana/#/discover/Steve-Slow-Train-Analysis-(2080s-and-2083s)?_g=(refreshInterval:(display:Off,section:0,value:0),time:(from:'2016-07-16 02:56:35-0600',mode:absolute,to:'2016-07-16 05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" s="74" t="str">
        <f t="shared" si="5"/>
        <v>N</v>
      </c>
      <c r="X14" s="92">
        <f t="shared" ref="X14" si="14">VALUE(LEFT(A14,3))-VALUE(LEFT(A13,3))</f>
        <v>1</v>
      </c>
      <c r="Y14" s="89">
        <f t="shared" si="6"/>
        <v>23.267499999999998</v>
      </c>
      <c r="Z14" s="89">
        <f t="shared" si="7"/>
        <v>1.6500000000000001E-2</v>
      </c>
      <c r="AA14" s="89">
        <f t="shared" si="8"/>
        <v>23.250999999999998</v>
      </c>
      <c r="AB14" s="86">
        <f>VLOOKUP(A14,Enforcements!$C$7:$J$23,8,0)</f>
        <v>30562</v>
      </c>
      <c r="AC14" s="82" t="str">
        <f>VLOOKUP(A14,Enforcements!$C$7:$E$23,3,0)</f>
        <v>PERMANENT SPEED RESTRICTION</v>
      </c>
      <c r="AD14" s="83" t="str">
        <f t="shared" si="9"/>
        <v>0102-16</v>
      </c>
      <c r="AE14" s="75" t="str">
        <f t="shared" si="10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4" s="75" t="str">
        <f t="shared" si="11"/>
        <v>"C:\Program Files (x86)\AstroGrep\AstroGrep.exe" /spath="C:\Users\stu\Documents\Analysis\2016-02-23 RTDC Observations" /stypes="*4019*20160716*"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412</v>
      </c>
      <c r="B15" s="7">
        <v>4040</v>
      </c>
      <c r="C15" s="26" t="s">
        <v>59</v>
      </c>
      <c r="D15" s="26" t="s">
        <v>241</v>
      </c>
      <c r="E15" s="16">
        <v>42567.155613425923</v>
      </c>
      <c r="F15" s="16">
        <v>42567.156643518516</v>
      </c>
      <c r="G15" s="7">
        <v>1</v>
      </c>
      <c r="H15" s="16" t="s">
        <v>519</v>
      </c>
      <c r="I15" s="16">
        <v>42567.181944444441</v>
      </c>
      <c r="J15" s="7">
        <v>0</v>
      </c>
      <c r="K15" s="26" t="str">
        <f t="shared" ref="K15:K78" si="15">IF(ISEVEN(B15),(B15-1)&amp;"/"&amp;B15,B15&amp;"/"&amp;(B15+1))</f>
        <v>4039/4040</v>
      </c>
      <c r="L15" s="26" t="str">
        <f>VLOOKUP(A15,'Trips&amp;Operators'!$C$1:$E$10000,3,FALSE)</f>
        <v>MALAVE</v>
      </c>
      <c r="M15" s="6">
        <f t="shared" ref="M15:M78" si="16">I15-F15</f>
        <v>2.5300925924966577E-2</v>
      </c>
      <c r="N15" s="7">
        <f t="shared" si="2"/>
        <v>36.433333331951872</v>
      </c>
      <c r="O15" s="7"/>
      <c r="P15" s="7"/>
      <c r="Q15" s="27"/>
      <c r="R15" s="27"/>
      <c r="S15" s="45">
        <f t="shared" ref="S15:S78" si="17">SUM(U15:U15)/12</f>
        <v>1</v>
      </c>
      <c r="T15" s="69" t="str">
        <f t="shared" ref="T15:T78" si="18">IF(ISEVEN(LEFT(A15,3)),"Southbound","NorthBound")</f>
        <v>NorthBound</v>
      </c>
      <c r="U15" s="96">
        <f>COUNTIFS(Variables!$M$2:$M$19,IF(T15="NorthBound","&gt;=","&lt;=")&amp;Y15,Variables!$M$2:$M$19,IF(T15="NorthBound","&lt;=","&gt;=")&amp;Z15)</f>
        <v>12</v>
      </c>
      <c r="V15" s="74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https://search-rtdc-monitor-bjffxe2xuh6vdkpspy63sjmuny.us-east-1.es.amazonaws.com/_plugin/kibana/#/discover/Steve-Slow-Train-Analysis-(2080s-and-2083s)?_g=(refreshInterval:(display:Off,section:0,value:0),time:(from:'2016-07-16 02:44:05-0600',mode:absolute,to:'2016-07-16 05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" s="74" t="str">
        <f t="shared" ref="W15:W78" si="20">IF(AA15&lt;23,"Y","N")</f>
        <v>N</v>
      </c>
      <c r="X15" s="92">
        <f t="shared" ref="X15:X78" si="21">VALUE(LEFT(A15,3))-VALUE(LEFT(A14,3))</f>
        <v>1</v>
      </c>
      <c r="Y15" s="89">
        <f t="shared" ref="Y15:Y78" si="22">RIGHT(D15,LEN(D15)-4)/10000</f>
        <v>7.6799999999999993E-2</v>
      </c>
      <c r="Z15" s="89">
        <f t="shared" ref="Z15:Z78" si="23">RIGHT(H15,LEN(H15)-4)/10000</f>
        <v>23.334299999999999</v>
      </c>
      <c r="AA15" s="89">
        <f t="shared" ref="AA15:AA78" si="24">ABS(Z15-Y15)</f>
        <v>23.2575</v>
      </c>
      <c r="AB15" s="86" t="e">
        <f>VLOOKUP(A15,Enforcements!$C$7:$J$23,8,0)</f>
        <v>#N/A</v>
      </c>
      <c r="AC15" s="82" t="e">
        <f>VLOOKUP(A15,Enforcements!$C$7:$E$23,3,0)</f>
        <v>#N/A</v>
      </c>
      <c r="AD15" s="83" t="str">
        <f t="shared" ref="AD15:AD78" si="25">IF(LEN(A15)=6,"0"&amp;A15,A15)</f>
        <v>0103-16</v>
      </c>
      <c r="AE15" s="75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5" s="75" t="str">
        <f t="shared" ref="AF15:AF78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/stypes="*4040*20160716*" /stext=" 10:.+((prompt.+disp)|(slice.+state.+chan)|(ment ac)|(system.+state.+chan)|(\|lc)|(penalty)|(\[timeout))" /e /r /s</v>
      </c>
      <c r="AG15" s="1" t="str">
        <f t="shared" ref="AG15:AG78" si="28">IF(VALUE(LEFT(A15,3))&lt;300,"EC","NWGL")</f>
        <v>EC</v>
      </c>
    </row>
    <row r="16" spans="1:91" s="1" customFormat="1" x14ac:dyDescent="0.25">
      <c r="A16" s="49" t="s">
        <v>464</v>
      </c>
      <c r="B16" s="7">
        <v>4030</v>
      </c>
      <c r="C16" s="26" t="s">
        <v>59</v>
      </c>
      <c r="D16" s="26" t="s">
        <v>520</v>
      </c>
      <c r="E16" s="16">
        <v>42567.193414351852</v>
      </c>
      <c r="F16" s="16">
        <v>42567.194965277777</v>
      </c>
      <c r="G16" s="7">
        <v>2</v>
      </c>
      <c r="H16" s="16" t="s">
        <v>344</v>
      </c>
      <c r="I16" s="16">
        <v>42567.221805555557</v>
      </c>
      <c r="J16" s="7">
        <v>0</v>
      </c>
      <c r="K16" s="26" t="str">
        <f t="shared" si="15"/>
        <v>4029/4030</v>
      </c>
      <c r="L16" s="26" t="str">
        <f>VLOOKUP(A16,'Trips&amp;Operators'!$C$1:$E$10000,3,FALSE)</f>
        <v>MALAVE</v>
      </c>
      <c r="M16" s="6">
        <f t="shared" si="16"/>
        <v>2.6840277780138422E-2</v>
      </c>
      <c r="N16" s="7">
        <f t="shared" si="2"/>
        <v>38.650000003399327</v>
      </c>
      <c r="O16" s="7"/>
      <c r="P16" s="7"/>
      <c r="Q16" s="27"/>
      <c r="R16" s="27"/>
      <c r="S16" s="45">
        <f t="shared" si="17"/>
        <v>1</v>
      </c>
      <c r="T16" s="69" t="str">
        <f t="shared" si="18"/>
        <v>Southbound</v>
      </c>
      <c r="U16" s="96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03:38:31-0600',mode:absolute,to:'2016-07-16 06:19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" s="74" t="str">
        <f t="shared" si="20"/>
        <v>N</v>
      </c>
      <c r="X16" s="92">
        <f t="shared" si="21"/>
        <v>1</v>
      </c>
      <c r="Y16" s="89">
        <f t="shared" si="22"/>
        <v>23.270800000000001</v>
      </c>
      <c r="Z16" s="89">
        <f t="shared" si="23"/>
        <v>1.6E-2</v>
      </c>
      <c r="AA16" s="89">
        <f t="shared" si="24"/>
        <v>23.254800000000003</v>
      </c>
      <c r="AB16" s="86" t="e">
        <f>VLOOKUP(A16,Enforcements!$C$7:$J$23,8,0)</f>
        <v>#N/A</v>
      </c>
      <c r="AC16" s="82" t="e">
        <f>VLOOKUP(A16,Enforcements!$C$7:$E$23,3,0)</f>
        <v>#N/A</v>
      </c>
      <c r="AD16" s="83" t="str">
        <f t="shared" si="25"/>
        <v>0104-16</v>
      </c>
      <c r="AE16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6" s="75" t="str">
        <f t="shared" si="27"/>
        <v>"C:\Program Files (x86)\AstroGrep\AstroGrep.exe" /spath="C:\Users\stu\Documents\Analysis\2016-02-23 RTDC Observations" /stypes="*4030*20160716*"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49" t="s">
        <v>468</v>
      </c>
      <c r="B17" s="7">
        <v>4018</v>
      </c>
      <c r="C17" s="26" t="s">
        <v>59</v>
      </c>
      <c r="D17" s="26" t="s">
        <v>521</v>
      </c>
      <c r="E17" s="16">
        <v>42567.173217592594</v>
      </c>
      <c r="F17" s="16">
        <v>42567.174629629626</v>
      </c>
      <c r="G17" s="7">
        <v>2</v>
      </c>
      <c r="H17" s="16" t="s">
        <v>522</v>
      </c>
      <c r="I17" s="16">
        <v>42567.202430555553</v>
      </c>
      <c r="J17" s="7">
        <v>0</v>
      </c>
      <c r="K17" s="26" t="str">
        <f t="shared" si="15"/>
        <v>4017/4018</v>
      </c>
      <c r="L17" s="26" t="str">
        <f>VLOOKUP(A17,'Trips&amp;Operators'!$C$1:$E$10000,3,FALSE)</f>
        <v>ACKERMAN</v>
      </c>
      <c r="M17" s="6">
        <f t="shared" si="16"/>
        <v>2.7800925927294884E-2</v>
      </c>
      <c r="N17" s="7">
        <f t="shared" si="2"/>
        <v>40.033333335304633</v>
      </c>
      <c r="O17" s="7"/>
      <c r="P17" s="7"/>
      <c r="Q17" s="27"/>
      <c r="R17" s="27"/>
      <c r="S17" s="45">
        <f t="shared" si="17"/>
        <v>1</v>
      </c>
      <c r="T17" s="69" t="str">
        <f t="shared" si="18"/>
        <v>NorthBound</v>
      </c>
      <c r="U17" s="96">
        <f>COUNTIFS(Variables!$M$2:$M$19,IF(T17="NorthBound","&gt;=","&lt;=")&amp;Y17,Variables!$M$2:$M$19,IF(T17="NorthBound","&lt;=","&gt;=")&amp;Z17)</f>
        <v>12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03:09:26-0600',mode:absolute,to:'2016-07-16 05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74" t="str">
        <f t="shared" si="20"/>
        <v>N</v>
      </c>
      <c r="X17" s="92">
        <f t="shared" si="21"/>
        <v>1</v>
      </c>
      <c r="Y17" s="89">
        <f t="shared" si="22"/>
        <v>6.5699999999999995E-2</v>
      </c>
      <c r="Z17" s="89">
        <f t="shared" si="23"/>
        <v>23.3401</v>
      </c>
      <c r="AA17" s="89">
        <f t="shared" si="24"/>
        <v>23.2744</v>
      </c>
      <c r="AB17" s="86" t="e">
        <f>VLOOKUP(A17,Enforcements!$C$7:$J$23,8,0)</f>
        <v>#N/A</v>
      </c>
      <c r="AC17" s="82" t="e">
        <f>VLOOKUP(A17,Enforcements!$C$7:$E$23,3,0)</f>
        <v>#N/A</v>
      </c>
      <c r="AD17" s="83" t="str">
        <f t="shared" si="25"/>
        <v>0105-16</v>
      </c>
      <c r="AE17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7" s="75" t="str">
        <f t="shared" si="27"/>
        <v>"C:\Program Files (x86)\AstroGrep\AstroGrep.exe" /spath="C:\Users\stu\Documents\Analysis\2016-02-23 RTDC Observations" /stypes="*4018*20160716*"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49" t="s">
        <v>397</v>
      </c>
      <c r="B18" s="7">
        <v>4032</v>
      </c>
      <c r="C18" s="26" t="s">
        <v>59</v>
      </c>
      <c r="D18" s="26" t="s">
        <v>523</v>
      </c>
      <c r="E18" s="16">
        <v>42567.211342592593</v>
      </c>
      <c r="F18" s="16">
        <v>42567.212500000001</v>
      </c>
      <c r="G18" s="7">
        <v>1</v>
      </c>
      <c r="H18" s="16" t="s">
        <v>524</v>
      </c>
      <c r="I18" s="16">
        <v>42567.234247685185</v>
      </c>
      <c r="J18" s="7">
        <v>0</v>
      </c>
      <c r="K18" s="26" t="str">
        <f t="shared" si="15"/>
        <v>4031/4032</v>
      </c>
      <c r="L18" s="26" t="str">
        <f>VLOOKUP(A18,'Trips&amp;Operators'!$C$1:$E$10000,3,FALSE)</f>
        <v>ACKERMAN</v>
      </c>
      <c r="M18" s="6">
        <f t="shared" si="16"/>
        <v>2.1747685183072463E-2</v>
      </c>
      <c r="N18" s="7"/>
      <c r="O18" s="7"/>
      <c r="P18" s="7">
        <f>24*60*SUM($M18:$M19)</f>
        <v>41.716666663996875</v>
      </c>
      <c r="Q18" s="27"/>
      <c r="R18" s="27" t="s">
        <v>590</v>
      </c>
      <c r="S18" s="45">
        <f>SUM(U18:U19)/12</f>
        <v>0.41666666666666669</v>
      </c>
      <c r="T18" s="69" t="str">
        <f t="shared" si="18"/>
        <v>Southbound</v>
      </c>
      <c r="U18" s="96">
        <f>COUNTIFS(Variables!$M$2:$M$19,IF(T18="NorthBound","&gt;=","&lt;=")&amp;Y18,Variables!$M$2:$M$19,IF(T18="NorthBound","&lt;=","&gt;=")&amp;Z18)</f>
        <v>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04:04:20-0600',mode:absolute,to:'2016-07-16 06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8" s="74" t="str">
        <f t="shared" si="20"/>
        <v>Y</v>
      </c>
      <c r="X18" s="92">
        <f t="shared" si="21"/>
        <v>1</v>
      </c>
      <c r="Y18" s="89">
        <f t="shared" si="22"/>
        <v>23.275400000000001</v>
      </c>
      <c r="Z18" s="89">
        <f t="shared" si="23"/>
        <v>7.9423000000000004</v>
      </c>
      <c r="AA18" s="89">
        <f t="shared" si="24"/>
        <v>15.333100000000002</v>
      </c>
      <c r="AB18" s="86" t="e">
        <f>VLOOKUP(A18,Enforcements!$C$7:$J$23,8,0)</f>
        <v>#N/A</v>
      </c>
      <c r="AC18" s="82" t="e">
        <f>VLOOKUP(A18,Enforcements!$C$7:$E$23,3,0)</f>
        <v>#N/A</v>
      </c>
      <c r="AD18" s="83" t="str">
        <f t="shared" si="25"/>
        <v>0106-16</v>
      </c>
      <c r="AE18" s="75" t="str">
        <f t="shared" si="26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8" s="75" t="str">
        <f t="shared" si="27"/>
        <v>"C:\Program Files (x86)\AstroGrep\AstroGrep.exe" /spath="C:\Users\stu\Documents\Analysis\2016-02-23 RTDC Observations" /stypes="*4032*20160716*"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49" t="s">
        <v>397</v>
      </c>
      <c r="B19" s="7">
        <v>4032</v>
      </c>
      <c r="C19" s="26" t="s">
        <v>59</v>
      </c>
      <c r="D19" s="26" t="s">
        <v>525</v>
      </c>
      <c r="E19" s="16">
        <v>42567.239837962959</v>
      </c>
      <c r="F19" s="16">
        <v>42567.240567129629</v>
      </c>
      <c r="G19" s="7">
        <v>1</v>
      </c>
      <c r="H19" s="16" t="s">
        <v>356</v>
      </c>
      <c r="I19" s="16">
        <v>42567.247789351852</v>
      </c>
      <c r="J19" s="7">
        <v>0</v>
      </c>
      <c r="K19" s="26" t="str">
        <f t="shared" si="15"/>
        <v>4031/4032</v>
      </c>
      <c r="L19" s="26" t="str">
        <f>VLOOKUP(A19,'Trips&amp;Operators'!$C$1:$E$10000,3,FALSE)</f>
        <v>ACKERMAN</v>
      </c>
      <c r="M19" s="6">
        <f t="shared" si="16"/>
        <v>7.2222222224809229E-3</v>
      </c>
      <c r="N19" s="7"/>
      <c r="O19" s="7"/>
      <c r="P19" s="7"/>
      <c r="Q19" s="27"/>
      <c r="R19" s="27"/>
      <c r="S19" s="45"/>
      <c r="T19" s="69" t="str">
        <f t="shared" si="18"/>
        <v>Southbound</v>
      </c>
      <c r="U19" s="96">
        <f>COUNTIFS(Variables!$M$2:$M$19,IF(T19="NorthBound","&gt;=","&lt;=")&amp;Y19,Variables!$M$2:$M$19,IF(T19="NorthBound","&lt;=","&gt;=")&amp;Z19)</f>
        <v>3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04:45:22-0600',mode:absolute,to:'2016-07-16 06:56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9" s="74" t="str">
        <f t="shared" si="20"/>
        <v>Y</v>
      </c>
      <c r="X19" s="92">
        <f t="shared" si="21"/>
        <v>0</v>
      </c>
      <c r="Y19" s="89">
        <f t="shared" si="22"/>
        <v>3.6711</v>
      </c>
      <c r="Z19" s="89">
        <f t="shared" si="23"/>
        <v>1.3599999999999999E-2</v>
      </c>
      <c r="AA19" s="89">
        <f t="shared" si="24"/>
        <v>3.6575000000000002</v>
      </c>
      <c r="AB19" s="86" t="e">
        <f>VLOOKUP(A19,Enforcements!$C$7:$J$23,8,0)</f>
        <v>#N/A</v>
      </c>
      <c r="AC19" s="82" t="e">
        <f>VLOOKUP(A19,Enforcements!$C$7:$E$23,3,0)</f>
        <v>#N/A</v>
      </c>
      <c r="AD19" s="83" t="str">
        <f t="shared" si="25"/>
        <v>0106-16</v>
      </c>
      <c r="AE19" s="75" t="str">
        <f t="shared" si="26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9" s="75" t="str">
        <f t="shared" si="27"/>
        <v>"C:\Program Files (x86)\AstroGrep\AstroGrep.exe" /spath="C:\Users\stu\Documents\Analysis\2016-02-23 RTDC Observations" /stypes="*4032*20160716*"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49" t="s">
        <v>372</v>
      </c>
      <c r="B20" s="7">
        <v>4011</v>
      </c>
      <c r="C20" s="26" t="s">
        <v>59</v>
      </c>
      <c r="D20" s="26" t="s">
        <v>351</v>
      </c>
      <c r="E20" s="16">
        <v>42567.182372685187</v>
      </c>
      <c r="F20" s="16">
        <v>42567.183437500003</v>
      </c>
      <c r="G20" s="7">
        <v>1</v>
      </c>
      <c r="H20" s="16" t="s">
        <v>526</v>
      </c>
      <c r="I20" s="16">
        <v>42567.212939814817</v>
      </c>
      <c r="J20" s="7">
        <v>0</v>
      </c>
      <c r="K20" s="26" t="str">
        <f t="shared" si="15"/>
        <v>4011/4012</v>
      </c>
      <c r="L20" s="26" t="str">
        <f>VLOOKUP(A20,'Trips&amp;Operators'!$C$1:$E$10000,3,FALSE)</f>
        <v>NELSON</v>
      </c>
      <c r="M20" s="6">
        <f t="shared" si="16"/>
        <v>2.9502314813726116E-2</v>
      </c>
      <c r="N20" s="7">
        <f t="shared" si="2"/>
        <v>42.483333331765607</v>
      </c>
      <c r="O20" s="7"/>
      <c r="P20" s="7"/>
      <c r="Q20" s="27"/>
      <c r="R20" s="27"/>
      <c r="S20" s="45">
        <f t="shared" si="17"/>
        <v>1</v>
      </c>
      <c r="T20" s="69" t="str">
        <f t="shared" si="18"/>
        <v>NorthBound</v>
      </c>
      <c r="U20" s="96">
        <f>COUNTIFS(Variables!$M$2:$M$19,IF(T20="NorthBound","&gt;=","&lt;=")&amp;Y20,Variables!$M$2:$M$19,IF(T20="NorthBound","&lt;=","&gt;=")&amp;Z20)</f>
        <v>12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03:22:37-0600',mode:absolute,to:'2016-07-16 06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0" s="74" t="str">
        <f t="shared" si="20"/>
        <v>N</v>
      </c>
      <c r="X20" s="92">
        <f t="shared" si="21"/>
        <v>1</v>
      </c>
      <c r="Y20" s="89">
        <f t="shared" si="22"/>
        <v>4.6699999999999998E-2</v>
      </c>
      <c r="Z20" s="89">
        <f t="shared" si="23"/>
        <v>23.3323</v>
      </c>
      <c r="AA20" s="89">
        <f t="shared" si="24"/>
        <v>23.285599999999999</v>
      </c>
      <c r="AB20" s="86" t="e">
        <f>VLOOKUP(A20,Enforcements!$C$7:$J$23,8,0)</f>
        <v>#N/A</v>
      </c>
      <c r="AC20" s="82" t="e">
        <f>VLOOKUP(A20,Enforcements!$C$7:$E$23,3,0)</f>
        <v>#N/A</v>
      </c>
      <c r="AD20" s="83" t="str">
        <f t="shared" si="25"/>
        <v>0107-16</v>
      </c>
      <c r="AE20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20" s="75" t="str">
        <f t="shared" si="27"/>
        <v>"C:\Program Files (x86)\AstroGrep\AstroGrep.exe" /spath="C:\Users\stu\Documents\Analysis\2016-02-23 RTDC Observations" /stypes="*4011*20160716*" /stext=" 11:.+((prompt.+disp)|(slice.+state.+chan)|(ment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462</v>
      </c>
      <c r="B21" s="7">
        <v>4012</v>
      </c>
      <c r="C21" s="26" t="s">
        <v>59</v>
      </c>
      <c r="D21" s="26" t="s">
        <v>527</v>
      </c>
      <c r="E21" s="16">
        <v>42567.219965277778</v>
      </c>
      <c r="F21" s="16">
        <v>42567.221805555557</v>
      </c>
      <c r="G21" s="7">
        <v>2</v>
      </c>
      <c r="H21" s="16" t="s">
        <v>212</v>
      </c>
      <c r="I21" s="16">
        <v>42567.255266203705</v>
      </c>
      <c r="J21" s="7">
        <v>0</v>
      </c>
      <c r="K21" s="26" t="str">
        <f t="shared" si="15"/>
        <v>4011/4012</v>
      </c>
      <c r="L21" s="26" t="str">
        <f>VLOOKUP(A21,'Trips&amp;Operators'!$C$1:$E$10000,3,FALSE)</f>
        <v>NELSON</v>
      </c>
      <c r="M21" s="6">
        <f t="shared" si="16"/>
        <v>3.3460648148320615E-2</v>
      </c>
      <c r="N21" s="7">
        <f t="shared" si="2"/>
        <v>48.183333333581686</v>
      </c>
      <c r="O21" s="7"/>
      <c r="P21" s="7"/>
      <c r="Q21" s="27"/>
      <c r="R21" s="27"/>
      <c r="S21" s="45">
        <f t="shared" si="17"/>
        <v>1</v>
      </c>
      <c r="T21" s="69" t="str">
        <f t="shared" si="18"/>
        <v>Southbound</v>
      </c>
      <c r="U21" s="96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04:16:45-0600',mode:absolute,to:'2016-07-16 07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1" s="74" t="str">
        <f t="shared" si="20"/>
        <v>N</v>
      </c>
      <c r="X21" s="92">
        <f t="shared" si="21"/>
        <v>1</v>
      </c>
      <c r="Y21" s="89">
        <f t="shared" si="22"/>
        <v>23.301500000000001</v>
      </c>
      <c r="Z21" s="89">
        <f t="shared" si="23"/>
        <v>1.32E-2</v>
      </c>
      <c r="AA21" s="89">
        <f t="shared" si="24"/>
        <v>23.2883</v>
      </c>
      <c r="AB21" s="86" t="e">
        <f>VLOOKUP(A21,Enforcements!$C$7:$J$23,8,0)</f>
        <v>#N/A</v>
      </c>
      <c r="AC21" s="82" t="e">
        <f>VLOOKUP(A21,Enforcements!$C$7:$E$23,3,0)</f>
        <v>#N/A</v>
      </c>
      <c r="AD21" s="83" t="str">
        <f t="shared" si="25"/>
        <v>0108-16</v>
      </c>
      <c r="AE21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21" s="75" t="str">
        <f t="shared" si="27"/>
        <v>"C:\Program Files (x86)\AstroGrep\AstroGrep.exe" /spath="C:\Users\stu\Documents\Analysis\2016-02-23 RTDC Observations" /stypes="*4012*20160716*" /stext=" 12:.+((prompt.+disp)|(slice.+state.+chan)|(ment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x14ac:dyDescent="0.25">
      <c r="A22" s="49" t="s">
        <v>466</v>
      </c>
      <c r="B22" s="7">
        <v>4042</v>
      </c>
      <c r="C22" s="26" t="s">
        <v>59</v>
      </c>
      <c r="D22" s="26" t="s">
        <v>207</v>
      </c>
      <c r="E22" s="16">
        <v>42567.189745370371</v>
      </c>
      <c r="F22" s="16">
        <v>42567.190972222219</v>
      </c>
      <c r="G22" s="7">
        <v>1</v>
      </c>
      <c r="H22" s="16" t="s">
        <v>199</v>
      </c>
      <c r="I22" s="16">
        <v>42567.222615740742</v>
      </c>
      <c r="J22" s="7">
        <v>0</v>
      </c>
      <c r="K22" s="26" t="str">
        <f t="shared" si="15"/>
        <v>4041/4042</v>
      </c>
      <c r="L22" s="26" t="str">
        <f>VLOOKUP(A22,'Trips&amp;Operators'!$C$1:$E$10000,3,FALSE)</f>
        <v>BRANNON</v>
      </c>
      <c r="M22" s="6">
        <f t="shared" si="16"/>
        <v>3.164351852319669E-2</v>
      </c>
      <c r="N22" s="7">
        <f t="shared" si="2"/>
        <v>45.566666673403233</v>
      </c>
      <c r="O22" s="7"/>
      <c r="P22" s="7"/>
      <c r="Q22" s="27"/>
      <c r="R22" s="27"/>
      <c r="S22" s="45">
        <f t="shared" si="17"/>
        <v>1</v>
      </c>
      <c r="T22" s="69" t="str">
        <f t="shared" si="18"/>
        <v>NorthBound</v>
      </c>
      <c r="U22" s="96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03:33:14-0600',mode:absolute,to:'2016-07-16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2" s="74" t="str">
        <f t="shared" si="20"/>
        <v>N</v>
      </c>
      <c r="X22" s="92">
        <f t="shared" si="21"/>
        <v>1</v>
      </c>
      <c r="Y22" s="89">
        <f t="shared" si="22"/>
        <v>4.3700000000000003E-2</v>
      </c>
      <c r="Z22" s="89">
        <f t="shared" si="23"/>
        <v>23.331199999999999</v>
      </c>
      <c r="AA22" s="89">
        <f t="shared" si="24"/>
        <v>23.287499999999998</v>
      </c>
      <c r="AB22" s="86" t="e">
        <f>VLOOKUP(A22,Enforcements!$C$7:$J$23,8,0)</f>
        <v>#N/A</v>
      </c>
      <c r="AC22" s="82" t="e">
        <f>VLOOKUP(A22,Enforcements!$C$7:$E$23,3,0)</f>
        <v>#N/A</v>
      </c>
      <c r="AD22" s="83" t="str">
        <f t="shared" si="25"/>
        <v>0109-16</v>
      </c>
      <c r="AE22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22" s="75" t="str">
        <f t="shared" si="27"/>
        <v>"C:\Program Files (x86)\AstroGrep\AstroGrep.exe" /spath="C:\Users\stu\Documents\Analysis\2016-02-23 RTDC Observations" /stypes="*4042*20160716*" /stext=" 11:.+((prompt.+disp)|(slice.+state.+chan)|(ment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49" t="s">
        <v>395</v>
      </c>
      <c r="B23" s="7">
        <v>4041</v>
      </c>
      <c r="C23" s="26" t="s">
        <v>59</v>
      </c>
      <c r="D23" s="26" t="s">
        <v>68</v>
      </c>
      <c r="E23" s="16">
        <v>42567.230324074073</v>
      </c>
      <c r="F23" s="16">
        <v>42567.231851851851</v>
      </c>
      <c r="G23" s="7">
        <v>2</v>
      </c>
      <c r="H23" s="16" t="s">
        <v>355</v>
      </c>
      <c r="I23" s="16">
        <v>42567.262048611112</v>
      </c>
      <c r="J23" s="7">
        <v>1</v>
      </c>
      <c r="K23" s="26" t="str">
        <f t="shared" si="15"/>
        <v>4041/4042</v>
      </c>
      <c r="L23" s="26" t="str">
        <f>VLOOKUP(A23,'Trips&amp;Operators'!$C$1:$E$10000,3,FALSE)</f>
        <v>BRANNON</v>
      </c>
      <c r="M23" s="6">
        <f t="shared" si="16"/>
        <v>3.0196759260434192E-2</v>
      </c>
      <c r="N23" s="7">
        <f t="shared" si="2"/>
        <v>43.483333335025236</v>
      </c>
      <c r="O23" s="7"/>
      <c r="P23" s="7"/>
      <c r="Q23" s="27"/>
      <c r="R23" s="27"/>
      <c r="S23" s="45">
        <f t="shared" si="17"/>
        <v>1</v>
      </c>
      <c r="T23" s="69" t="str">
        <f t="shared" si="18"/>
        <v>Southbound</v>
      </c>
      <c r="U23" s="96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04:31:40-0600',mode:absolute,to:'2016-07-16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3" s="74" t="str">
        <f t="shared" si="20"/>
        <v>N</v>
      </c>
      <c r="X23" s="92">
        <f t="shared" si="21"/>
        <v>1</v>
      </c>
      <c r="Y23" s="89">
        <f t="shared" si="22"/>
        <v>23.297699999999999</v>
      </c>
      <c r="Z23" s="89">
        <f t="shared" si="23"/>
        <v>4.7100000000000003E-2</v>
      </c>
      <c r="AA23" s="89">
        <f t="shared" si="24"/>
        <v>23.250599999999999</v>
      </c>
      <c r="AB23" s="86" t="e">
        <f>VLOOKUP(A23,Enforcements!$C$7:$J$23,8,0)</f>
        <v>#N/A</v>
      </c>
      <c r="AC23" s="82" t="e">
        <f>VLOOKUP(A23,Enforcements!$C$7:$E$23,3,0)</f>
        <v>#N/A</v>
      </c>
      <c r="AD23" s="83" t="str">
        <f t="shared" si="25"/>
        <v>0110-16</v>
      </c>
      <c r="AE23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23" s="75" t="str">
        <f t="shared" si="27"/>
        <v>"C:\Program Files (x86)\AstroGrep\AstroGrep.exe" /spath="C:\Users\stu\Documents\Analysis\2016-02-23 RTDC Observations" /stypes="*4041*20160716*" /stext=" 12:.+((prompt.+disp)|(slice.+state.+chan)|(ment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9" t="s">
        <v>512</v>
      </c>
      <c r="B24" s="7">
        <v>4014</v>
      </c>
      <c r="C24" s="26" t="s">
        <v>59</v>
      </c>
      <c r="D24" s="26" t="s">
        <v>528</v>
      </c>
      <c r="E24" s="16">
        <v>42567.205879629626</v>
      </c>
      <c r="F24" s="16">
        <v>42567.207349537035</v>
      </c>
      <c r="G24" s="7">
        <v>2</v>
      </c>
      <c r="H24" s="16" t="s">
        <v>254</v>
      </c>
      <c r="I24" s="16">
        <v>42567.236064814817</v>
      </c>
      <c r="J24" s="7">
        <v>0</v>
      </c>
      <c r="K24" s="26" t="str">
        <f t="shared" si="15"/>
        <v>4013/4014</v>
      </c>
      <c r="L24" s="26" t="str">
        <f>VLOOKUP(A24,'Trips&amp;Operators'!$C$1:$E$10000,3,FALSE)</f>
        <v>GEBRETEKLE</v>
      </c>
      <c r="M24" s="6">
        <f t="shared" si="16"/>
        <v>2.8715277781884652E-2</v>
      </c>
      <c r="N24" s="7">
        <f t="shared" si="2"/>
        <v>41.350000005913898</v>
      </c>
      <c r="O24" s="7"/>
      <c r="P24" s="7"/>
      <c r="Q24" s="27"/>
      <c r="R24" s="27"/>
      <c r="S24" s="45">
        <f t="shared" si="17"/>
        <v>1</v>
      </c>
      <c r="T24" s="69" t="str">
        <f t="shared" si="18"/>
        <v>NorthBound</v>
      </c>
      <c r="U24" s="96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03:56:28-0600',mode:absolute,to:'2016-07-16 06:39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4" s="74" t="str">
        <f t="shared" si="20"/>
        <v>N</v>
      </c>
      <c r="X24" s="92">
        <f t="shared" si="21"/>
        <v>1</v>
      </c>
      <c r="Y24" s="89">
        <f t="shared" si="22"/>
        <v>7.0800000000000002E-2</v>
      </c>
      <c r="Z24" s="89">
        <f t="shared" si="23"/>
        <v>23.331499999999998</v>
      </c>
      <c r="AA24" s="89">
        <f t="shared" si="24"/>
        <v>23.2607</v>
      </c>
      <c r="AB24" s="86" t="e">
        <f>VLOOKUP(A24,Enforcements!$C$7:$J$23,8,0)</f>
        <v>#N/A</v>
      </c>
      <c r="AC24" s="82" t="e">
        <f>VLOOKUP(A24,Enforcements!$C$7:$E$23,3,0)</f>
        <v>#N/A</v>
      </c>
      <c r="AD24" s="83" t="str">
        <f t="shared" si="25"/>
        <v>0111-16</v>
      </c>
      <c r="AE24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24" s="75" t="str">
        <f t="shared" si="27"/>
        <v>"C:\Program Files (x86)\AstroGrep\AstroGrep.exe" /spath="C:\Users\stu\Documents\Analysis\2016-02-23 RTDC Observations" /stypes="*4014*20160716*" /stext=" 11:.+((prompt.+disp)|(slice.+state.+chan)|(ment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49" t="s">
        <v>470</v>
      </c>
      <c r="B25" s="7">
        <v>4013</v>
      </c>
      <c r="C25" s="26" t="s">
        <v>59</v>
      </c>
      <c r="D25" s="26" t="s">
        <v>244</v>
      </c>
      <c r="E25" s="16">
        <v>42567.24523148148</v>
      </c>
      <c r="F25" s="16">
        <v>42567.246620370373</v>
      </c>
      <c r="G25" s="7">
        <v>2</v>
      </c>
      <c r="H25" s="16" t="s">
        <v>60</v>
      </c>
      <c r="I25" s="16">
        <v>42567.273310185185</v>
      </c>
      <c r="J25" s="7">
        <v>0</v>
      </c>
      <c r="K25" s="26" t="str">
        <f t="shared" si="15"/>
        <v>4013/4014</v>
      </c>
      <c r="L25" s="26" t="str">
        <f>VLOOKUP(A25,'Trips&amp;Operators'!$C$1:$E$10000,3,FALSE)</f>
        <v>GEBRETEKLE</v>
      </c>
      <c r="M25" s="6">
        <f t="shared" si="16"/>
        <v>2.6689814811106771E-2</v>
      </c>
      <c r="N25" s="7">
        <f t="shared" si="2"/>
        <v>38.433333327993751</v>
      </c>
      <c r="O25" s="7"/>
      <c r="P25" s="7"/>
      <c r="Q25" s="27"/>
      <c r="R25" s="27"/>
      <c r="S25" s="45">
        <f t="shared" si="17"/>
        <v>1</v>
      </c>
      <c r="T25" s="69" t="str">
        <f t="shared" si="18"/>
        <v>Southbound</v>
      </c>
      <c r="U25" s="96">
        <f>COUNTIFS(Variables!$M$2:$M$19,IF(T25="NorthBound","&gt;=","&lt;=")&amp;Y25,Variables!$M$2:$M$19,IF(T25="NorthBound","&lt;=","&gt;=")&amp;Z25)</f>
        <v>12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04:53:08-0600',mode:absolute,to:'2016-07-16 07:33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5" s="74" t="str">
        <f t="shared" si="20"/>
        <v>N</v>
      </c>
      <c r="X25" s="92">
        <f t="shared" si="21"/>
        <v>1</v>
      </c>
      <c r="Y25" s="89">
        <f t="shared" si="22"/>
        <v>23.298500000000001</v>
      </c>
      <c r="Z25" s="89">
        <f t="shared" si="23"/>
        <v>1.4500000000000001E-2</v>
      </c>
      <c r="AA25" s="89">
        <f t="shared" si="24"/>
        <v>23.283999999999999</v>
      </c>
      <c r="AB25" s="86" t="e">
        <f>VLOOKUP(A25,Enforcements!$C$7:$J$23,8,0)</f>
        <v>#N/A</v>
      </c>
      <c r="AC25" s="82" t="e">
        <f>VLOOKUP(A25,Enforcements!$C$7:$E$23,3,0)</f>
        <v>#N/A</v>
      </c>
      <c r="AD25" s="83" t="str">
        <f t="shared" si="25"/>
        <v>0112-16</v>
      </c>
      <c r="AE25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25" s="75" t="str">
        <f t="shared" si="27"/>
        <v>"C:\Program Files (x86)\AstroGrep\AstroGrep.exe" /spath="C:\Users\stu\Documents\Analysis\2016-02-23 RTDC Observations" /stypes="*4013*20160716*"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9" t="s">
        <v>511</v>
      </c>
      <c r="B26" s="7">
        <v>4020</v>
      </c>
      <c r="C26" s="26" t="s">
        <v>59</v>
      </c>
      <c r="D26" s="26" t="s">
        <v>362</v>
      </c>
      <c r="E26" s="16">
        <v>42567.215925925928</v>
      </c>
      <c r="F26" s="16">
        <v>42567.217048611114</v>
      </c>
      <c r="G26" s="7">
        <v>1</v>
      </c>
      <c r="H26" s="16" t="s">
        <v>192</v>
      </c>
      <c r="I26" s="16">
        <v>42567.244004629632</v>
      </c>
      <c r="J26" s="7">
        <v>0</v>
      </c>
      <c r="K26" s="26" t="str">
        <f t="shared" si="15"/>
        <v>4019/4020</v>
      </c>
      <c r="L26" s="26" t="str">
        <f>VLOOKUP(A26,'Trips&amp;Operators'!$C$1:$E$10000,3,FALSE)</f>
        <v>SANTIZO</v>
      </c>
      <c r="M26" s="6">
        <f t="shared" si="16"/>
        <v>2.6956018518831115E-2</v>
      </c>
      <c r="N26" s="7">
        <f t="shared" si="2"/>
        <v>38.816666667116806</v>
      </c>
      <c r="O26" s="7"/>
      <c r="P26" s="7"/>
      <c r="Q26" s="27"/>
      <c r="R26" s="27"/>
      <c r="S26" s="45">
        <f t="shared" si="17"/>
        <v>1</v>
      </c>
      <c r="T26" s="69" t="str">
        <f t="shared" si="18"/>
        <v>NorthBound</v>
      </c>
      <c r="U26" s="96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04:10:56-0600',mode:absolute,to:'2016-07-16 06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6" s="74" t="str">
        <f t="shared" si="20"/>
        <v>N</v>
      </c>
      <c r="X26" s="92">
        <f t="shared" si="21"/>
        <v>1</v>
      </c>
      <c r="Y26" s="89">
        <f t="shared" si="22"/>
        <v>4.8000000000000001E-2</v>
      </c>
      <c r="Z26" s="89">
        <f t="shared" si="23"/>
        <v>23.331399999999999</v>
      </c>
      <c r="AA26" s="89">
        <f t="shared" si="24"/>
        <v>23.2834</v>
      </c>
      <c r="AB26" s="86" t="e">
        <f>VLOOKUP(A26,Enforcements!$C$7:$J$23,8,0)</f>
        <v>#N/A</v>
      </c>
      <c r="AC26" s="82" t="e">
        <f>VLOOKUP(A26,Enforcements!$C$7:$E$23,3,0)</f>
        <v>#N/A</v>
      </c>
      <c r="AD26" s="83" t="str">
        <f t="shared" si="25"/>
        <v>0113-16</v>
      </c>
      <c r="AE26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26" s="75" t="str">
        <f t="shared" si="27"/>
        <v>"C:\Program Files (x86)\AstroGrep\AstroGrep.exe" /spath="C:\Users\stu\Documents\Analysis\2016-02-23 RTDC Observations" /stypes="*4020*20160716*"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49" t="s">
        <v>509</v>
      </c>
      <c r="B27" s="7">
        <v>4019</v>
      </c>
      <c r="C27" s="26" t="s">
        <v>59</v>
      </c>
      <c r="D27" s="26" t="s">
        <v>529</v>
      </c>
      <c r="E27" s="16">
        <v>42567.245439814818</v>
      </c>
      <c r="F27" s="16">
        <v>42567.246342592596</v>
      </c>
      <c r="G27" s="7">
        <v>1</v>
      </c>
      <c r="H27" s="16" t="s">
        <v>220</v>
      </c>
      <c r="I27" s="16">
        <v>42567.283460648148</v>
      </c>
      <c r="J27" s="7">
        <v>1</v>
      </c>
      <c r="K27" s="26" t="str">
        <f t="shared" si="15"/>
        <v>4019/4020</v>
      </c>
      <c r="L27" s="26" t="str">
        <f>VLOOKUP(A27,'Trips&amp;Operators'!$C$1:$E$10000,3,FALSE)</f>
        <v>SANTIZO</v>
      </c>
      <c r="M27" s="6">
        <f t="shared" si="16"/>
        <v>3.7118055552127771E-2</v>
      </c>
      <c r="N27" s="7">
        <f t="shared" si="2"/>
        <v>53.44999999506399</v>
      </c>
      <c r="O27" s="7"/>
      <c r="P27" s="7"/>
      <c r="Q27" s="27"/>
      <c r="R27" s="27"/>
      <c r="S27" s="45">
        <f t="shared" si="17"/>
        <v>1</v>
      </c>
      <c r="T27" s="69" t="str">
        <f t="shared" si="18"/>
        <v>Southbound</v>
      </c>
      <c r="U27" s="96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04:53:26-0600',mode:absolute,to:'2016-07-16 07:48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7" s="74" t="str">
        <f t="shared" si="20"/>
        <v>N</v>
      </c>
      <c r="X27" s="92">
        <f t="shared" si="21"/>
        <v>1</v>
      </c>
      <c r="Y27" s="89">
        <f t="shared" si="22"/>
        <v>23.301100000000002</v>
      </c>
      <c r="Z27" s="89">
        <f t="shared" si="23"/>
        <v>1.29E-2</v>
      </c>
      <c r="AA27" s="89">
        <f t="shared" si="24"/>
        <v>23.288200000000003</v>
      </c>
      <c r="AB27" s="86" t="e">
        <f>VLOOKUP(A27,Enforcements!$C$7:$J$23,8,0)</f>
        <v>#N/A</v>
      </c>
      <c r="AC27" s="82" t="e">
        <f>VLOOKUP(A27,Enforcements!$C$7:$E$23,3,0)</f>
        <v>#N/A</v>
      </c>
      <c r="AD27" s="83" t="str">
        <f t="shared" si="25"/>
        <v>0114-16</v>
      </c>
      <c r="AE27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27" s="75" t="str">
        <f t="shared" si="27"/>
        <v>"C:\Program Files (x86)\AstroGrep\AstroGrep.exe" /spath="C:\Users\stu\Documents\Analysis\2016-02-23 RTDC Observations" /stypes="*4019*20160716*"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49" t="s">
        <v>460</v>
      </c>
      <c r="B28" s="7">
        <v>4040</v>
      </c>
      <c r="C28" s="26" t="s">
        <v>59</v>
      </c>
      <c r="D28" s="26" t="s">
        <v>530</v>
      </c>
      <c r="E28" s="16">
        <v>42567.225810185184</v>
      </c>
      <c r="F28" s="16">
        <v>42567.226736111108</v>
      </c>
      <c r="G28" s="7">
        <v>1</v>
      </c>
      <c r="H28" s="16" t="s">
        <v>184</v>
      </c>
      <c r="I28" s="16">
        <v>42567.254629629628</v>
      </c>
      <c r="J28" s="7">
        <v>0</v>
      </c>
      <c r="K28" s="26" t="str">
        <f t="shared" si="15"/>
        <v>4039/4040</v>
      </c>
      <c r="L28" s="26" t="str">
        <f>VLOOKUP(A28,'Trips&amp;Operators'!$C$1:$E$10000,3,FALSE)</f>
        <v>YORK</v>
      </c>
      <c r="M28" s="6">
        <f t="shared" si="16"/>
        <v>2.789351851970423E-2</v>
      </c>
      <c r="N28" s="7">
        <f t="shared" si="2"/>
        <v>40.166666668374091</v>
      </c>
      <c r="O28" s="7"/>
      <c r="P28" s="7"/>
      <c r="Q28" s="27"/>
      <c r="R28" s="27"/>
      <c r="S28" s="45">
        <f t="shared" si="17"/>
        <v>1</v>
      </c>
      <c r="T28" s="69" t="str">
        <f t="shared" si="18"/>
        <v>NorthBound</v>
      </c>
      <c r="U28" s="96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04:25:10-0600',mode:absolute,to:'2016-07-16 07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8" s="74" t="str">
        <f t="shared" si="20"/>
        <v>N</v>
      </c>
      <c r="X28" s="92">
        <f t="shared" si="21"/>
        <v>1</v>
      </c>
      <c r="Y28" s="89">
        <f t="shared" si="22"/>
        <v>7.9000000000000001E-2</v>
      </c>
      <c r="Z28" s="89">
        <f t="shared" si="23"/>
        <v>23.329699999999999</v>
      </c>
      <c r="AA28" s="89">
        <f t="shared" si="24"/>
        <v>23.250699999999998</v>
      </c>
      <c r="AB28" s="86" t="e">
        <f>VLOOKUP(A28,Enforcements!$C$7:$J$23,8,0)</f>
        <v>#N/A</v>
      </c>
      <c r="AC28" s="82" t="e">
        <f>VLOOKUP(A28,Enforcements!$C$7:$E$23,3,0)</f>
        <v>#N/A</v>
      </c>
      <c r="AD28" s="83" t="str">
        <f t="shared" si="25"/>
        <v>0115-16</v>
      </c>
      <c r="AE28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28" s="75" t="str">
        <f t="shared" si="27"/>
        <v>"C:\Program Files (x86)\AstroGrep\AstroGrep.exe" /spath="C:\Users\stu\Documents\Analysis\2016-02-23 RTDC Observations" /stypes="*4040*20160716*"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49" t="s">
        <v>418</v>
      </c>
      <c r="B29" s="7">
        <v>4039</v>
      </c>
      <c r="C29" s="26" t="s">
        <v>59</v>
      </c>
      <c r="D29" s="26" t="s">
        <v>224</v>
      </c>
      <c r="E29" s="16">
        <v>42567.255532407406</v>
      </c>
      <c r="F29" s="16">
        <v>42567.256516203706</v>
      </c>
      <c r="G29" s="7">
        <v>1</v>
      </c>
      <c r="H29" s="16" t="s">
        <v>180</v>
      </c>
      <c r="I29" s="16">
        <v>42567.293391203704</v>
      </c>
      <c r="J29" s="7">
        <v>0</v>
      </c>
      <c r="K29" s="26" t="str">
        <f t="shared" si="15"/>
        <v>4039/4040</v>
      </c>
      <c r="L29" s="26" t="str">
        <f>VLOOKUP(A29,'Trips&amp;Operators'!$C$1:$E$10000,3,FALSE)</f>
        <v>YORK</v>
      </c>
      <c r="M29" s="6">
        <f t="shared" si="16"/>
        <v>3.6874999997962732E-2</v>
      </c>
      <c r="N29" s="7">
        <f t="shared" si="2"/>
        <v>53.099999997066334</v>
      </c>
      <c r="O29" s="7"/>
      <c r="P29" s="7"/>
      <c r="Q29" s="27"/>
      <c r="R29" s="27"/>
      <c r="S29" s="45">
        <f t="shared" si="17"/>
        <v>1</v>
      </c>
      <c r="T29" s="69" t="str">
        <f t="shared" si="18"/>
        <v>Southbound</v>
      </c>
      <c r="U29" s="96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05:07:58-0600',mode:absolute,to:'2016-07-16 08:02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9" s="74" t="str">
        <f t="shared" si="20"/>
        <v>N</v>
      </c>
      <c r="X29" s="92">
        <f t="shared" si="21"/>
        <v>1</v>
      </c>
      <c r="Y29" s="89">
        <f t="shared" si="22"/>
        <v>23.298100000000002</v>
      </c>
      <c r="Z29" s="89">
        <f t="shared" si="23"/>
        <v>1.4999999999999999E-2</v>
      </c>
      <c r="AA29" s="89">
        <f t="shared" si="24"/>
        <v>23.283100000000001</v>
      </c>
      <c r="AB29" s="86" t="e">
        <f>VLOOKUP(A29,Enforcements!$C$7:$J$23,8,0)</f>
        <v>#N/A</v>
      </c>
      <c r="AC29" s="82" t="e">
        <f>VLOOKUP(A29,Enforcements!$C$7:$E$23,3,0)</f>
        <v>#N/A</v>
      </c>
      <c r="AD29" s="83" t="str">
        <f t="shared" si="25"/>
        <v>0116-16</v>
      </c>
      <c r="AE29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29" s="75" t="str">
        <f t="shared" si="27"/>
        <v>"C:\Program Files (x86)\AstroGrep\AstroGrep.exe" /spath="C:\Users\stu\Documents\Analysis\2016-02-23 RTDC Observations" /stypes="*4039*20160716*"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49" t="s">
        <v>413</v>
      </c>
      <c r="B30" s="7">
        <v>4029</v>
      </c>
      <c r="C30" s="26" t="s">
        <v>59</v>
      </c>
      <c r="D30" s="26" t="s">
        <v>176</v>
      </c>
      <c r="E30" s="16">
        <v>42567.236087962963</v>
      </c>
      <c r="F30" s="16">
        <v>42567.237164351849</v>
      </c>
      <c r="G30" s="7">
        <v>1</v>
      </c>
      <c r="H30" s="16" t="s">
        <v>232</v>
      </c>
      <c r="I30" s="16">
        <v>42567.264224537037</v>
      </c>
      <c r="J30" s="7">
        <v>0</v>
      </c>
      <c r="K30" s="26" t="str">
        <f t="shared" si="15"/>
        <v>4029/4030</v>
      </c>
      <c r="L30" s="26" t="str">
        <f>VLOOKUP(A30,'Trips&amp;Operators'!$C$1:$E$10000,3,FALSE)</f>
        <v>MALAVE</v>
      </c>
      <c r="M30" s="6">
        <f t="shared" si="16"/>
        <v>2.7060185188020114E-2</v>
      </c>
      <c r="N30" s="7">
        <f t="shared" si="2"/>
        <v>38.966666670748964</v>
      </c>
      <c r="O30" s="7"/>
      <c r="P30" s="7"/>
      <c r="Q30" s="27"/>
      <c r="R30" s="27"/>
      <c r="S30" s="45">
        <f t="shared" si="17"/>
        <v>1</v>
      </c>
      <c r="T30" s="69" t="str">
        <f t="shared" si="18"/>
        <v>NorthBound</v>
      </c>
      <c r="U30" s="96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04:39:58-0600',mode:absolute,to:'2016-07-16 07:20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0" s="74" t="str">
        <f t="shared" si="20"/>
        <v>N</v>
      </c>
      <c r="X30" s="92">
        <f t="shared" si="21"/>
        <v>1</v>
      </c>
      <c r="Y30" s="89">
        <f t="shared" si="22"/>
        <v>4.5499999999999999E-2</v>
      </c>
      <c r="Z30" s="89">
        <f t="shared" si="23"/>
        <v>23.327400000000001</v>
      </c>
      <c r="AA30" s="89">
        <f t="shared" si="24"/>
        <v>23.2819</v>
      </c>
      <c r="AB30" s="86" t="e">
        <f>VLOOKUP(A30,Enforcements!$C$7:$J$23,8,0)</f>
        <v>#N/A</v>
      </c>
      <c r="AC30" s="82" t="e">
        <f>VLOOKUP(A30,Enforcements!$C$7:$E$23,3,0)</f>
        <v>#N/A</v>
      </c>
      <c r="AD30" s="83" t="str">
        <f t="shared" si="25"/>
        <v>0117-16</v>
      </c>
      <c r="AE30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30" s="75" t="str">
        <f t="shared" si="27"/>
        <v>"C:\Program Files (x86)\AstroGrep\AstroGrep.exe" /spath="C:\Users\stu\Documents\Analysis\2016-02-23 RTDC Observations" /stypes="*4029*20160716*"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49" t="s">
        <v>471</v>
      </c>
      <c r="B31" s="7">
        <v>4030</v>
      </c>
      <c r="C31" s="26" t="s">
        <v>59</v>
      </c>
      <c r="D31" s="26" t="s">
        <v>531</v>
      </c>
      <c r="E31" s="16">
        <v>42567.274976851855</v>
      </c>
      <c r="F31" s="16">
        <v>42567.275914351849</v>
      </c>
      <c r="G31" s="7">
        <v>1</v>
      </c>
      <c r="H31" s="16" t="s">
        <v>108</v>
      </c>
      <c r="I31" s="16">
        <v>42567.305034722223</v>
      </c>
      <c r="J31" s="7">
        <v>1</v>
      </c>
      <c r="K31" s="26" t="str">
        <f t="shared" si="15"/>
        <v>4029/4030</v>
      </c>
      <c r="L31" s="26" t="str">
        <f>VLOOKUP(A31,'Trips&amp;Operators'!$C$1:$E$10000,3,FALSE)</f>
        <v>MALAVE</v>
      </c>
      <c r="M31" s="6">
        <f t="shared" si="16"/>
        <v>2.9120370374585036E-2</v>
      </c>
      <c r="N31" s="7">
        <f t="shared" si="2"/>
        <v>41.933333339402452</v>
      </c>
      <c r="O31" s="7"/>
      <c r="P31" s="7"/>
      <c r="Q31" s="27"/>
      <c r="R31" s="27"/>
      <c r="S31" s="45">
        <f t="shared" si="17"/>
        <v>1</v>
      </c>
      <c r="T31" s="69" t="str">
        <f t="shared" si="18"/>
        <v>Southbound</v>
      </c>
      <c r="U31" s="96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05:35:58-0600',mode:absolute,to:'2016-07-16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1" s="74" t="str">
        <f t="shared" si="20"/>
        <v>N</v>
      </c>
      <c r="X31" s="92">
        <f t="shared" si="21"/>
        <v>1</v>
      </c>
      <c r="Y31" s="89">
        <f t="shared" si="22"/>
        <v>23.2959</v>
      </c>
      <c r="Z31" s="89">
        <f t="shared" si="23"/>
        <v>1.43E-2</v>
      </c>
      <c r="AA31" s="89">
        <f t="shared" si="24"/>
        <v>23.281600000000001</v>
      </c>
      <c r="AB31" s="86" t="e">
        <f>VLOOKUP(A31,Enforcements!$C$7:$J$23,8,0)</f>
        <v>#N/A</v>
      </c>
      <c r="AC31" s="82" t="e">
        <f>VLOOKUP(A31,Enforcements!$C$7:$E$23,3,0)</f>
        <v>#N/A</v>
      </c>
      <c r="AD31" s="83" t="str">
        <f t="shared" si="25"/>
        <v>0118-16</v>
      </c>
      <c r="AE31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31" s="75" t="str">
        <f t="shared" si="27"/>
        <v>"C:\Program Files (x86)\AstroGrep\AstroGrep.exe" /spath="C:\Users\stu\Documents\Analysis\2016-02-23 RTDC Observations" /stypes="*4030*20160716*"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49" t="s">
        <v>416</v>
      </c>
      <c r="B32" s="7">
        <v>4018</v>
      </c>
      <c r="C32" s="26" t="s">
        <v>59</v>
      </c>
      <c r="D32" s="26" t="s">
        <v>532</v>
      </c>
      <c r="E32" s="16">
        <v>42567.253252314818</v>
      </c>
      <c r="F32" s="16">
        <v>42567.253993055558</v>
      </c>
      <c r="G32" s="7">
        <v>1</v>
      </c>
      <c r="H32" s="16" t="s">
        <v>533</v>
      </c>
      <c r="I32" s="16">
        <v>42567.282800925925</v>
      </c>
      <c r="J32" s="7">
        <v>0</v>
      </c>
      <c r="K32" s="26" t="str">
        <f t="shared" si="15"/>
        <v>4017/4018</v>
      </c>
      <c r="L32" s="26" t="str">
        <f>VLOOKUP(A32,'Trips&amp;Operators'!$C$1:$E$10000,3,FALSE)</f>
        <v>ACKERMAN</v>
      </c>
      <c r="M32" s="6">
        <f t="shared" si="16"/>
        <v>2.880787036701804E-2</v>
      </c>
      <c r="N32" s="7">
        <f t="shared" si="2"/>
        <v>41.483333328505978</v>
      </c>
      <c r="O32" s="7"/>
      <c r="P32" s="7"/>
      <c r="Q32" s="27"/>
      <c r="R32" s="27"/>
      <c r="S32" s="45">
        <f t="shared" si="17"/>
        <v>1</v>
      </c>
      <c r="T32" s="69" t="str">
        <f t="shared" si="18"/>
        <v>NorthBound</v>
      </c>
      <c r="U32" s="96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05:04:41-0600',mode:absolute,to:'2016-07-16 07:47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2" s="74" t="str">
        <f t="shared" si="20"/>
        <v>N</v>
      </c>
      <c r="X32" s="92">
        <f t="shared" si="21"/>
        <v>1</v>
      </c>
      <c r="Y32" s="89">
        <f t="shared" si="22"/>
        <v>7.4399999999999994E-2</v>
      </c>
      <c r="Z32" s="89">
        <f t="shared" si="23"/>
        <v>23.334</v>
      </c>
      <c r="AA32" s="89">
        <f t="shared" si="24"/>
        <v>23.259599999999999</v>
      </c>
      <c r="AB32" s="86" t="e">
        <f>VLOOKUP(A32,Enforcements!$C$7:$J$23,8,0)</f>
        <v>#N/A</v>
      </c>
      <c r="AC32" s="82" t="e">
        <f>VLOOKUP(A32,Enforcements!$C$7:$E$23,3,0)</f>
        <v>#N/A</v>
      </c>
      <c r="AD32" s="83" t="str">
        <f t="shared" si="25"/>
        <v>0119-16</v>
      </c>
      <c r="AE32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32" s="75" t="str">
        <f t="shared" si="27"/>
        <v>"C:\Program Files (x86)\AstroGrep\AstroGrep.exe" /spath="C:\Users\stu\Documents\Analysis\2016-02-23 RTDC Observations" /stypes="*4018*20160716*"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49" t="s">
        <v>458</v>
      </c>
      <c r="B33" s="7">
        <v>4017</v>
      </c>
      <c r="C33" s="26" t="s">
        <v>59</v>
      </c>
      <c r="D33" s="26" t="s">
        <v>191</v>
      </c>
      <c r="E33" s="16">
        <v>42567.284409722219</v>
      </c>
      <c r="F33" s="16">
        <v>42567.285578703704</v>
      </c>
      <c r="G33" s="7">
        <v>1</v>
      </c>
      <c r="H33" s="16" t="s">
        <v>179</v>
      </c>
      <c r="I33" s="16">
        <v>42567.314965277779</v>
      </c>
      <c r="J33" s="7">
        <v>0</v>
      </c>
      <c r="K33" s="26" t="str">
        <f t="shared" si="15"/>
        <v>4017/4018</v>
      </c>
      <c r="L33" s="26" t="str">
        <f>VLOOKUP(A33,'Trips&amp;Operators'!$C$1:$E$10000,3,FALSE)</f>
        <v>ACKERMAN</v>
      </c>
      <c r="M33" s="6">
        <f t="shared" si="16"/>
        <v>2.9386574075033423E-2</v>
      </c>
      <c r="N33" s="7">
        <f t="shared" si="2"/>
        <v>42.316666668048128</v>
      </c>
      <c r="O33" s="7"/>
      <c r="P33" s="7"/>
      <c r="Q33" s="27"/>
      <c r="R33" s="27"/>
      <c r="S33" s="45">
        <f t="shared" si="17"/>
        <v>1</v>
      </c>
      <c r="T33" s="69" t="str">
        <f t="shared" si="18"/>
        <v>Southbound</v>
      </c>
      <c r="U33" s="96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05:49:33-0600',mode:absolute,to:'2016-07-16 08:33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3" s="74" t="str">
        <f t="shared" si="20"/>
        <v>N</v>
      </c>
      <c r="X33" s="92">
        <f t="shared" si="21"/>
        <v>1</v>
      </c>
      <c r="Y33" s="89">
        <f t="shared" si="22"/>
        <v>23.299800000000001</v>
      </c>
      <c r="Z33" s="89">
        <f t="shared" si="23"/>
        <v>1.54E-2</v>
      </c>
      <c r="AA33" s="89">
        <f t="shared" si="24"/>
        <v>23.284400000000002</v>
      </c>
      <c r="AB33" s="86" t="e">
        <f>VLOOKUP(A33,Enforcements!$C$7:$J$23,8,0)</f>
        <v>#N/A</v>
      </c>
      <c r="AC33" s="82" t="e">
        <f>VLOOKUP(A33,Enforcements!$C$7:$E$23,3,0)</f>
        <v>#N/A</v>
      </c>
      <c r="AD33" s="83" t="str">
        <f t="shared" si="25"/>
        <v>0120-16</v>
      </c>
      <c r="AE33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33" s="75" t="str">
        <f t="shared" si="27"/>
        <v>"C:\Program Files (x86)\AstroGrep\AstroGrep.exe" /spath="C:\Users\stu\Documents\Analysis\2016-02-23 RTDC Observations" /stypes="*4017*20160716*"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49" t="s">
        <v>419</v>
      </c>
      <c r="B34" s="7">
        <v>4011</v>
      </c>
      <c r="C34" s="26" t="s">
        <v>59</v>
      </c>
      <c r="D34" s="26" t="s">
        <v>207</v>
      </c>
      <c r="E34" s="16">
        <v>42567.25681712963</v>
      </c>
      <c r="F34" s="16">
        <v>42567.2578125</v>
      </c>
      <c r="G34" s="7">
        <v>1</v>
      </c>
      <c r="H34" s="16" t="s">
        <v>218</v>
      </c>
      <c r="I34" s="16">
        <v>42567.285324074073</v>
      </c>
      <c r="J34" s="7">
        <v>0</v>
      </c>
      <c r="K34" s="26" t="str">
        <f t="shared" si="15"/>
        <v>4011/4012</v>
      </c>
      <c r="L34" s="26" t="str">
        <f>VLOOKUP(A34,'Trips&amp;Operators'!$C$1:$E$10000,3,FALSE)</f>
        <v>NELSON</v>
      </c>
      <c r="M34" s="6">
        <f t="shared" si="16"/>
        <v>2.7511574073287193E-2</v>
      </c>
      <c r="N34" s="7">
        <f t="shared" si="2"/>
        <v>39.616666665533558</v>
      </c>
      <c r="O34" s="7"/>
      <c r="P34" s="7"/>
      <c r="Q34" s="27"/>
      <c r="R34" s="27"/>
      <c r="S34" s="45">
        <f t="shared" si="17"/>
        <v>1</v>
      </c>
      <c r="T34" s="69" t="str">
        <f t="shared" si="18"/>
        <v>NorthBound</v>
      </c>
      <c r="U34" s="96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05:09:49-0600',mode:absolute,to:'2016-07-16 07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4" s="74" t="str">
        <f t="shared" si="20"/>
        <v>N</v>
      </c>
      <c r="X34" s="92">
        <f t="shared" si="21"/>
        <v>1</v>
      </c>
      <c r="Y34" s="89">
        <f t="shared" si="22"/>
        <v>4.3700000000000003E-2</v>
      </c>
      <c r="Z34" s="89">
        <f t="shared" si="23"/>
        <v>23.3307</v>
      </c>
      <c r="AA34" s="89">
        <f t="shared" si="24"/>
        <v>23.286999999999999</v>
      </c>
      <c r="AB34" s="86" t="e">
        <f>VLOOKUP(A34,Enforcements!$C$7:$J$23,8,0)</f>
        <v>#N/A</v>
      </c>
      <c r="AC34" s="82" t="e">
        <f>VLOOKUP(A34,Enforcements!$C$7:$E$23,3,0)</f>
        <v>#N/A</v>
      </c>
      <c r="AD34" s="83" t="str">
        <f t="shared" si="25"/>
        <v>0121-16</v>
      </c>
      <c r="AE34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34" s="75" t="str">
        <f t="shared" si="27"/>
        <v>"C:\Program Files (x86)\AstroGrep\AstroGrep.exe" /spath="C:\Users\stu\Documents\Analysis\2016-02-23 RTDC Observations" /stypes="*4011*20160716*"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49" t="s">
        <v>444</v>
      </c>
      <c r="B35" s="7">
        <v>4012</v>
      </c>
      <c r="C35" s="26" t="s">
        <v>59</v>
      </c>
      <c r="D35" s="26" t="s">
        <v>348</v>
      </c>
      <c r="E35" s="16">
        <v>42567.292708333334</v>
      </c>
      <c r="F35" s="16">
        <v>42567.293634259258</v>
      </c>
      <c r="G35" s="7">
        <v>1</v>
      </c>
      <c r="H35" s="16" t="s">
        <v>185</v>
      </c>
      <c r="I35" s="16">
        <v>42567.32545138889</v>
      </c>
      <c r="J35" s="7">
        <v>0</v>
      </c>
      <c r="K35" s="26" t="str">
        <f t="shared" si="15"/>
        <v>4011/4012</v>
      </c>
      <c r="L35" s="26" t="str">
        <f>VLOOKUP(A35,'Trips&amp;Operators'!$C$1:$E$10000,3,FALSE)</f>
        <v>NELSON</v>
      </c>
      <c r="M35" s="6">
        <f t="shared" si="16"/>
        <v>3.181712963123573E-2</v>
      </c>
      <c r="N35" s="7">
        <f t="shared" si="2"/>
        <v>45.816666668979451</v>
      </c>
      <c r="O35" s="7"/>
      <c r="P35" s="7"/>
      <c r="Q35" s="27"/>
      <c r="R35" s="27"/>
      <c r="S35" s="45">
        <f t="shared" si="17"/>
        <v>1</v>
      </c>
      <c r="T35" s="69" t="str">
        <f t="shared" si="18"/>
        <v>Southbound</v>
      </c>
      <c r="U35" s="96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06:01:30-0600',mode:absolute,to:'2016-07-16 08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5" s="74" t="str">
        <f t="shared" si="20"/>
        <v>N</v>
      </c>
      <c r="X35" s="92">
        <f t="shared" si="21"/>
        <v>1</v>
      </c>
      <c r="Y35" s="89">
        <f t="shared" si="22"/>
        <v>23.2988</v>
      </c>
      <c r="Z35" s="89">
        <f t="shared" si="23"/>
        <v>1.3899999999999999E-2</v>
      </c>
      <c r="AA35" s="89">
        <f t="shared" si="24"/>
        <v>23.2849</v>
      </c>
      <c r="AB35" s="86" t="e">
        <f>VLOOKUP(A35,Enforcements!$C$7:$J$23,8,0)</f>
        <v>#N/A</v>
      </c>
      <c r="AC35" s="82" t="e">
        <f>VLOOKUP(A35,Enforcements!$C$7:$E$23,3,0)</f>
        <v>#N/A</v>
      </c>
      <c r="AD35" s="83" t="str">
        <f t="shared" si="25"/>
        <v>0122-16</v>
      </c>
      <c r="AE35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35" s="75" t="str">
        <f t="shared" si="27"/>
        <v>"C:\Program Files (x86)\AstroGrep\AstroGrep.exe" /spath="C:\Users\stu\Documents\Analysis\2016-02-23 RTDC Observations" /stypes="*4012*20160716*"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49" t="s">
        <v>508</v>
      </c>
      <c r="B36" s="7">
        <v>4042</v>
      </c>
      <c r="C36" s="26" t="s">
        <v>59</v>
      </c>
      <c r="D36" s="26" t="s">
        <v>532</v>
      </c>
      <c r="E36" s="16">
        <v>42567.268576388888</v>
      </c>
      <c r="F36" s="16">
        <v>42567.269525462965</v>
      </c>
      <c r="G36" s="7">
        <v>1</v>
      </c>
      <c r="H36" s="16" t="s">
        <v>534</v>
      </c>
      <c r="I36" s="16">
        <v>42567.296087962961</v>
      </c>
      <c r="J36" s="7">
        <v>1</v>
      </c>
      <c r="K36" s="26" t="str">
        <f t="shared" si="15"/>
        <v>4041/4042</v>
      </c>
      <c r="L36" s="26" t="str">
        <f>VLOOKUP(A36,'Trips&amp;Operators'!$C$1:$E$10000,3,FALSE)</f>
        <v>BRANNON</v>
      </c>
      <c r="M36" s="6">
        <f t="shared" si="16"/>
        <v>2.6562499995634425E-2</v>
      </c>
      <c r="N36" s="7">
        <f t="shared" si="2"/>
        <v>38.249999993713573</v>
      </c>
      <c r="O36" s="7"/>
      <c r="P36" s="7"/>
      <c r="Q36" s="27"/>
      <c r="R36" s="27"/>
      <c r="S36" s="45">
        <f t="shared" si="17"/>
        <v>1</v>
      </c>
      <c r="T36" s="69" t="str">
        <f t="shared" si="18"/>
        <v>NorthBound</v>
      </c>
      <c r="U36" s="96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05:26:45-0600',mode:absolute,to:'2016-07-16 08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6" s="74" t="str">
        <f t="shared" si="20"/>
        <v>N</v>
      </c>
      <c r="X36" s="92">
        <f t="shared" si="21"/>
        <v>1</v>
      </c>
      <c r="Y36" s="89">
        <f t="shared" si="22"/>
        <v>7.4399999999999994E-2</v>
      </c>
      <c r="Z36" s="89">
        <f t="shared" si="23"/>
        <v>23.317</v>
      </c>
      <c r="AA36" s="89">
        <f t="shared" si="24"/>
        <v>23.242599999999999</v>
      </c>
      <c r="AB36" s="86" t="e">
        <f>VLOOKUP(A36,Enforcements!$C$7:$J$23,8,0)</f>
        <v>#N/A</v>
      </c>
      <c r="AC36" s="82" t="e">
        <f>VLOOKUP(A36,Enforcements!$C$7:$E$23,3,0)</f>
        <v>#N/A</v>
      </c>
      <c r="AD36" s="83" t="str">
        <f t="shared" si="25"/>
        <v>0123-16</v>
      </c>
      <c r="AE36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36" s="75" t="str">
        <f t="shared" si="27"/>
        <v>"C:\Program Files (x86)\AstroGrep\AstroGrep.exe" /spath="C:\Users\stu\Documents\Analysis\2016-02-23 RTDC Observations" /stypes="*4042*20160716*"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49" t="s">
        <v>429</v>
      </c>
      <c r="B37" s="7">
        <v>4041</v>
      </c>
      <c r="C37" s="26" t="s">
        <v>59</v>
      </c>
      <c r="D37" s="26" t="s">
        <v>535</v>
      </c>
      <c r="E37" s="16">
        <v>42567.303171296298</v>
      </c>
      <c r="F37" s="16">
        <v>42567.304062499999</v>
      </c>
      <c r="G37" s="7">
        <v>1</v>
      </c>
      <c r="H37" s="16" t="s">
        <v>60</v>
      </c>
      <c r="I37" s="16">
        <v>42567.335081018522</v>
      </c>
      <c r="J37" s="7">
        <v>1</v>
      </c>
      <c r="K37" s="26" t="str">
        <f t="shared" si="15"/>
        <v>4041/4042</v>
      </c>
      <c r="L37" s="26" t="str">
        <f>VLOOKUP(A37,'Trips&amp;Operators'!$C$1:$E$10000,3,FALSE)</f>
        <v>BRANNON</v>
      </c>
      <c r="M37" s="6">
        <f t="shared" si="16"/>
        <v>3.1018518522614613E-2</v>
      </c>
      <c r="N37" s="7">
        <f t="shared" si="2"/>
        <v>44.666666672565043</v>
      </c>
      <c r="O37" s="7"/>
      <c r="P37" s="7"/>
      <c r="Q37" s="27"/>
      <c r="R37" s="27"/>
      <c r="S37" s="45">
        <f t="shared" si="17"/>
        <v>1</v>
      </c>
      <c r="T37" s="69" t="str">
        <f t="shared" si="18"/>
        <v>Southbound</v>
      </c>
      <c r="U37" s="96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06:16:34-0600',mode:absolute,to:'2016-07-16 09:02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7" s="74" t="str">
        <f t="shared" si="20"/>
        <v>N</v>
      </c>
      <c r="X37" s="92">
        <f t="shared" si="21"/>
        <v>1</v>
      </c>
      <c r="Y37" s="89">
        <f t="shared" si="22"/>
        <v>23.284700000000001</v>
      </c>
      <c r="Z37" s="89">
        <f t="shared" si="23"/>
        <v>1.4500000000000001E-2</v>
      </c>
      <c r="AA37" s="89">
        <f t="shared" si="24"/>
        <v>23.270199999999999</v>
      </c>
      <c r="AB37" s="86">
        <f>VLOOKUP(A37,Enforcements!$C$7:$J$23,8,0)</f>
        <v>190834</v>
      </c>
      <c r="AC37" s="82" t="str">
        <f>VLOOKUP(A37,Enforcements!$C$7:$E$23,3,0)</f>
        <v>PERMANENT SPEED RESTRICTION</v>
      </c>
      <c r="AD37" s="83" t="str">
        <f t="shared" si="25"/>
        <v>0124-16</v>
      </c>
      <c r="AE37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37" s="75" t="str">
        <f t="shared" si="27"/>
        <v>"C:\Program Files (x86)\AstroGrep\AstroGrep.exe" /spath="C:\Users\stu\Documents\Analysis\2016-02-23 RTDC Observations" /stypes="*4041*20160716*"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49" t="s">
        <v>421</v>
      </c>
      <c r="B38" s="7">
        <v>4014</v>
      </c>
      <c r="C38" s="26" t="s">
        <v>59</v>
      </c>
      <c r="D38" s="26" t="s">
        <v>170</v>
      </c>
      <c r="E38" s="16">
        <v>42567.277048611111</v>
      </c>
      <c r="F38" s="16">
        <v>42567.277986111112</v>
      </c>
      <c r="G38" s="7">
        <v>1</v>
      </c>
      <c r="H38" s="16" t="s">
        <v>262</v>
      </c>
      <c r="I38" s="16">
        <v>42567.307696759257</v>
      </c>
      <c r="J38" s="7">
        <v>0</v>
      </c>
      <c r="K38" s="26" t="str">
        <f t="shared" si="15"/>
        <v>4013/4014</v>
      </c>
      <c r="L38" s="26" t="str">
        <f>VLOOKUP(A38,'Trips&amp;Operators'!$C$1:$E$10000,3,FALSE)</f>
        <v>GEBRETEKLE</v>
      </c>
      <c r="M38" s="6">
        <f t="shared" si="16"/>
        <v>2.9710648144828156E-2</v>
      </c>
      <c r="N38" s="7">
        <f t="shared" si="2"/>
        <v>42.783333328552544</v>
      </c>
      <c r="O38" s="7"/>
      <c r="P38" s="7"/>
      <c r="Q38" s="27"/>
      <c r="R38" s="27"/>
      <c r="S38" s="45">
        <f t="shared" si="17"/>
        <v>1</v>
      </c>
      <c r="T38" s="69" t="str">
        <f t="shared" si="18"/>
        <v>NorthBound</v>
      </c>
      <c r="U38" s="96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05:38:57-0600',mode:absolute,to:'2016-07-16 08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8" s="74" t="str">
        <f t="shared" si="20"/>
        <v>N</v>
      </c>
      <c r="X38" s="92">
        <f t="shared" si="21"/>
        <v>1</v>
      </c>
      <c r="Y38" s="89">
        <f t="shared" si="22"/>
        <v>4.53E-2</v>
      </c>
      <c r="Z38" s="89">
        <f t="shared" si="23"/>
        <v>23.328199999999999</v>
      </c>
      <c r="AA38" s="89">
        <f t="shared" si="24"/>
        <v>23.282899999999998</v>
      </c>
      <c r="AB38" s="86" t="e">
        <f>VLOOKUP(A38,Enforcements!$C$7:$J$23,8,0)</f>
        <v>#N/A</v>
      </c>
      <c r="AC38" s="82" t="e">
        <f>VLOOKUP(A38,Enforcements!$C$7:$E$23,3,0)</f>
        <v>#N/A</v>
      </c>
      <c r="AD38" s="83" t="str">
        <f t="shared" si="25"/>
        <v>0125-16</v>
      </c>
      <c r="AE38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38" s="75" t="str">
        <f t="shared" si="27"/>
        <v>"C:\Program Files (x86)\AstroGrep\AstroGrep.exe" /spath="C:\Users\stu\Documents\Analysis\2016-02-23 RTDC Observations" /stypes="*4014*20160716*"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49" t="s">
        <v>426</v>
      </c>
      <c r="B39" s="7">
        <v>4013</v>
      </c>
      <c r="C39" s="26" t="s">
        <v>59</v>
      </c>
      <c r="D39" s="26" t="s">
        <v>222</v>
      </c>
      <c r="E39" s="16">
        <v>42567.317187499997</v>
      </c>
      <c r="F39" s="16">
        <v>42567.318298611113</v>
      </c>
      <c r="G39" s="7">
        <v>1</v>
      </c>
      <c r="H39" s="16" t="s">
        <v>190</v>
      </c>
      <c r="I39" s="16">
        <v>42567.345243055555</v>
      </c>
      <c r="J39" s="7">
        <v>1</v>
      </c>
      <c r="K39" s="26" t="str">
        <f t="shared" si="15"/>
        <v>4013/4014</v>
      </c>
      <c r="L39" s="26" t="str">
        <f>VLOOKUP(A39,'Trips&amp;Operators'!$C$1:$E$10000,3,FALSE)</f>
        <v>GEBRETEKLE</v>
      </c>
      <c r="M39" s="6">
        <f t="shared" si="16"/>
        <v>2.6944444442051463E-2</v>
      </c>
      <c r="N39" s="7">
        <f t="shared" si="2"/>
        <v>38.799999996554106</v>
      </c>
      <c r="O39" s="7"/>
      <c r="P39" s="7"/>
      <c r="Q39" s="27"/>
      <c r="R39" s="27"/>
      <c r="S39" s="45">
        <f t="shared" si="17"/>
        <v>1</v>
      </c>
      <c r="T39" s="69" t="str">
        <f t="shared" si="18"/>
        <v>Southbound</v>
      </c>
      <c r="U39" s="96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06:36:45-0600',mode:absolute,to:'2016-07-16 09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9" s="74" t="str">
        <f t="shared" si="20"/>
        <v>N</v>
      </c>
      <c r="X39" s="92">
        <f t="shared" si="21"/>
        <v>1</v>
      </c>
      <c r="Y39" s="89">
        <f t="shared" si="22"/>
        <v>23.296900000000001</v>
      </c>
      <c r="Z39" s="89">
        <f t="shared" si="23"/>
        <v>1.47E-2</v>
      </c>
      <c r="AA39" s="89">
        <f t="shared" si="24"/>
        <v>23.2822</v>
      </c>
      <c r="AB39" s="86" t="e">
        <f>VLOOKUP(A39,Enforcements!$C$7:$J$23,8,0)</f>
        <v>#N/A</v>
      </c>
      <c r="AC39" s="82" t="e">
        <f>VLOOKUP(A39,Enforcements!$C$7:$E$23,3,0)</f>
        <v>#N/A</v>
      </c>
      <c r="AD39" s="83" t="str">
        <f t="shared" si="25"/>
        <v>0126-16</v>
      </c>
      <c r="AE39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39" s="75" t="str">
        <f t="shared" si="27"/>
        <v>"C:\Program Files (x86)\AstroGrep\AstroGrep.exe" /spath="C:\Users\stu\Documents\Analysis\2016-02-23 RTDC Observations" /stypes="*4013*20160716*"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49" t="s">
        <v>507</v>
      </c>
      <c r="B40" s="7">
        <v>4020</v>
      </c>
      <c r="C40" s="26" t="s">
        <v>59</v>
      </c>
      <c r="D40" s="26" t="s">
        <v>112</v>
      </c>
      <c r="E40" s="16">
        <v>42567.288993055554</v>
      </c>
      <c r="F40" s="16">
        <v>42567.289930555555</v>
      </c>
      <c r="G40" s="7">
        <v>1</v>
      </c>
      <c r="H40" s="16" t="s">
        <v>182</v>
      </c>
      <c r="I40" s="16">
        <v>42567.317650462966</v>
      </c>
      <c r="J40" s="7">
        <v>0</v>
      </c>
      <c r="K40" s="26" t="str">
        <f t="shared" si="15"/>
        <v>4019/4020</v>
      </c>
      <c r="L40" s="26" t="str">
        <f>VLOOKUP(A40,'Trips&amp;Operators'!$C$1:$E$10000,3,FALSE)</f>
        <v>SANTIZO</v>
      </c>
      <c r="M40" s="6">
        <f t="shared" si="16"/>
        <v>2.771990741166519E-2</v>
      </c>
      <c r="N40" s="7">
        <f t="shared" si="2"/>
        <v>39.916666672797874</v>
      </c>
      <c r="O40" s="7"/>
      <c r="P40" s="7"/>
      <c r="Q40" s="27"/>
      <c r="R40" s="27"/>
      <c r="S40" s="45">
        <f t="shared" si="17"/>
        <v>1</v>
      </c>
      <c r="T40" s="69" t="str">
        <f t="shared" si="18"/>
        <v>NorthBound</v>
      </c>
      <c r="U40" s="96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05:56:09-0600',mode:absolute,to:'2016-07-16 08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0" s="74" t="str">
        <f t="shared" si="20"/>
        <v>N</v>
      </c>
      <c r="X40" s="92">
        <f t="shared" si="21"/>
        <v>1</v>
      </c>
      <c r="Y40" s="89">
        <f t="shared" si="22"/>
        <v>4.5100000000000001E-2</v>
      </c>
      <c r="Z40" s="89">
        <f t="shared" si="23"/>
        <v>23.331</v>
      </c>
      <c r="AA40" s="89">
        <f t="shared" si="24"/>
        <v>23.285899999999998</v>
      </c>
      <c r="AB40" s="86" t="e">
        <f>VLOOKUP(A40,Enforcements!$C$7:$J$23,8,0)</f>
        <v>#N/A</v>
      </c>
      <c r="AC40" s="82" t="e">
        <f>VLOOKUP(A40,Enforcements!$C$7:$E$23,3,0)</f>
        <v>#N/A</v>
      </c>
      <c r="AD40" s="83" t="str">
        <f t="shared" si="25"/>
        <v>0127-16</v>
      </c>
      <c r="AE40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40" s="75" t="str">
        <f t="shared" si="27"/>
        <v>"C:\Program Files (x86)\AstroGrep\AstroGrep.exe" /spath="C:\Users\stu\Documents\Analysis\2016-02-23 RTDC Observations" /stypes="*4020*20160716*" /stext=" 13:.+((prompt.+disp)|(slice.+state.+chan)|(ment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9" t="s">
        <v>390</v>
      </c>
      <c r="B41" s="7">
        <v>4019</v>
      </c>
      <c r="C41" s="26" t="s">
        <v>59</v>
      </c>
      <c r="D41" s="26" t="s">
        <v>250</v>
      </c>
      <c r="E41" s="16">
        <v>42567.318368055552</v>
      </c>
      <c r="F41" s="16">
        <v>42567.319212962961</v>
      </c>
      <c r="G41" s="7">
        <v>1</v>
      </c>
      <c r="H41" s="16" t="s">
        <v>108</v>
      </c>
      <c r="I41" s="16">
        <v>42567.356076388889</v>
      </c>
      <c r="J41" s="7">
        <v>0</v>
      </c>
      <c r="K41" s="26" t="str">
        <f t="shared" si="15"/>
        <v>4019/4020</v>
      </c>
      <c r="L41" s="26" t="str">
        <f>VLOOKUP(A41,'Trips&amp;Operators'!$C$1:$E$10000,3,FALSE)</f>
        <v>SANTIZO</v>
      </c>
      <c r="M41" s="6">
        <f t="shared" si="16"/>
        <v>3.6863425928459037E-2</v>
      </c>
      <c r="N41" s="7">
        <f t="shared" si="2"/>
        <v>53.083333336981013</v>
      </c>
      <c r="O41" s="7"/>
      <c r="P41" s="7"/>
      <c r="Q41" s="27"/>
      <c r="R41" s="27"/>
      <c r="S41" s="45">
        <f t="shared" si="17"/>
        <v>1</v>
      </c>
      <c r="T41" s="69" t="str">
        <f t="shared" si="18"/>
        <v>Southbound</v>
      </c>
      <c r="U41" s="96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06:38:27-0600',mode:absolute,to:'2016-07-16 09:32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1" s="74" t="str">
        <f t="shared" si="20"/>
        <v>N</v>
      </c>
      <c r="X41" s="92">
        <f t="shared" si="21"/>
        <v>1</v>
      </c>
      <c r="Y41" s="89">
        <f t="shared" si="22"/>
        <v>23.299099999999999</v>
      </c>
      <c r="Z41" s="89">
        <f t="shared" si="23"/>
        <v>1.43E-2</v>
      </c>
      <c r="AA41" s="89">
        <f t="shared" si="24"/>
        <v>23.284800000000001</v>
      </c>
      <c r="AB41" s="86" t="e">
        <f>VLOOKUP(A41,Enforcements!$C$7:$J$23,8,0)</f>
        <v>#N/A</v>
      </c>
      <c r="AC41" s="82" t="e">
        <f>VLOOKUP(A41,Enforcements!$C$7:$E$23,3,0)</f>
        <v>#N/A</v>
      </c>
      <c r="AD41" s="83" t="str">
        <f t="shared" si="25"/>
        <v>0128-16</v>
      </c>
      <c r="AE41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41" s="75" t="str">
        <f t="shared" si="27"/>
        <v>"C:\Program Files (x86)\AstroGrep\AstroGrep.exe" /spath="C:\Users\stu\Documents\Analysis\2016-02-23 RTDC Observations" /stypes="*4019*20160716*" /stext=" 14:.+((prompt.+disp)|(slice.+state.+chan)|(ment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49" t="s">
        <v>446</v>
      </c>
      <c r="B42" s="7">
        <v>4040</v>
      </c>
      <c r="C42" s="26" t="s">
        <v>59</v>
      </c>
      <c r="D42" s="26" t="s">
        <v>177</v>
      </c>
      <c r="E42" s="16">
        <v>42567.295127314814</v>
      </c>
      <c r="F42" s="16">
        <v>42567.295972222222</v>
      </c>
      <c r="G42" s="7">
        <v>1</v>
      </c>
      <c r="H42" s="16" t="s">
        <v>174</v>
      </c>
      <c r="I42" s="16">
        <v>42567.326562499999</v>
      </c>
      <c r="J42" s="7">
        <v>0</v>
      </c>
      <c r="K42" s="26" t="str">
        <f t="shared" si="15"/>
        <v>4039/4040</v>
      </c>
      <c r="L42" s="26" t="str">
        <f>VLOOKUP(A42,'Trips&amp;Operators'!$C$1:$E$10000,3,FALSE)</f>
        <v>YORK</v>
      </c>
      <c r="M42" s="6">
        <f t="shared" si="16"/>
        <v>3.0590277776354924E-2</v>
      </c>
      <c r="N42" s="7">
        <f t="shared" si="2"/>
        <v>44.04999999795109</v>
      </c>
      <c r="O42" s="7"/>
      <c r="P42" s="7"/>
      <c r="Q42" s="27"/>
      <c r="R42" s="27"/>
      <c r="S42" s="45">
        <f t="shared" si="17"/>
        <v>1</v>
      </c>
      <c r="T42" s="69" t="str">
        <f t="shared" si="18"/>
        <v>NorthBound</v>
      </c>
      <c r="U42" s="96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06:04:59-0600',mode:absolute,to:'2016-07-16 08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2" s="74" t="str">
        <f t="shared" si="20"/>
        <v>N</v>
      </c>
      <c r="X42" s="92">
        <f t="shared" si="21"/>
        <v>1</v>
      </c>
      <c r="Y42" s="89">
        <f t="shared" si="22"/>
        <v>4.6899999999999997E-2</v>
      </c>
      <c r="Z42" s="89">
        <f t="shared" si="23"/>
        <v>23.329899999999999</v>
      </c>
      <c r="AA42" s="89">
        <f t="shared" si="24"/>
        <v>23.282999999999998</v>
      </c>
      <c r="AB42" s="86" t="e">
        <f>VLOOKUP(A42,Enforcements!$C$7:$J$23,8,0)</f>
        <v>#N/A</v>
      </c>
      <c r="AC42" s="82" t="e">
        <f>VLOOKUP(A42,Enforcements!$C$7:$E$23,3,0)</f>
        <v>#N/A</v>
      </c>
      <c r="AD42" s="83" t="str">
        <f t="shared" si="25"/>
        <v>0129-16</v>
      </c>
      <c r="AE42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42" s="75" t="str">
        <f t="shared" si="27"/>
        <v>"C:\Program Files (x86)\AstroGrep\AstroGrep.exe" /spath="C:\Users\stu\Documents\Analysis\2016-02-23 RTDC Observations" /stypes="*4040*20160716*" /stext=" 13:.+((prompt.+disp)|(slice.+state.+chan)|(ment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49" t="s">
        <v>472</v>
      </c>
      <c r="B43" s="7">
        <v>4039</v>
      </c>
      <c r="C43" s="26" t="s">
        <v>59</v>
      </c>
      <c r="D43" s="26" t="s">
        <v>228</v>
      </c>
      <c r="E43" s="16">
        <v>42567.327685185184</v>
      </c>
      <c r="F43" s="16">
        <v>42567.328634259262</v>
      </c>
      <c r="G43" s="7">
        <v>1</v>
      </c>
      <c r="H43" s="16" t="s">
        <v>71</v>
      </c>
      <c r="I43" s="16">
        <v>42567.36645833333</v>
      </c>
      <c r="J43" s="7">
        <v>0</v>
      </c>
      <c r="K43" s="26" t="str">
        <f t="shared" si="15"/>
        <v>4039/4040</v>
      </c>
      <c r="L43" s="26" t="str">
        <f>VLOOKUP(A43,'Trips&amp;Operators'!$C$1:$E$10000,3,FALSE)</f>
        <v>YORK</v>
      </c>
      <c r="M43" s="6">
        <f t="shared" si="16"/>
        <v>3.7824074068339542E-2</v>
      </c>
      <c r="N43" s="7">
        <f t="shared" si="2"/>
        <v>54.46666665840894</v>
      </c>
      <c r="O43" s="7"/>
      <c r="P43" s="7"/>
      <c r="Q43" s="27"/>
      <c r="R43" s="27"/>
      <c r="S43" s="45">
        <f t="shared" si="17"/>
        <v>1</v>
      </c>
      <c r="T43" s="69" t="str">
        <f t="shared" si="18"/>
        <v>Southbound</v>
      </c>
      <c r="U43" s="96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06:51:52-0600',mode:absolute,to:'2016-07-16 09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3" s="74" t="str">
        <f t="shared" si="20"/>
        <v>N</v>
      </c>
      <c r="X43" s="92">
        <f t="shared" si="21"/>
        <v>1</v>
      </c>
      <c r="Y43" s="89">
        <f t="shared" si="22"/>
        <v>23.296500000000002</v>
      </c>
      <c r="Z43" s="89">
        <f t="shared" si="23"/>
        <v>1.49E-2</v>
      </c>
      <c r="AA43" s="89">
        <f t="shared" si="24"/>
        <v>23.281600000000001</v>
      </c>
      <c r="AB43" s="86" t="e">
        <f>VLOOKUP(A43,Enforcements!$C$7:$J$23,8,0)</f>
        <v>#N/A</v>
      </c>
      <c r="AC43" s="82" t="e">
        <f>VLOOKUP(A43,Enforcements!$C$7:$E$23,3,0)</f>
        <v>#N/A</v>
      </c>
      <c r="AD43" s="83" t="str">
        <f t="shared" si="25"/>
        <v>0130-16</v>
      </c>
      <c r="AE43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43" s="75" t="str">
        <f t="shared" si="27"/>
        <v>"C:\Program Files (x86)\AstroGrep\AstroGrep.exe" /spath="C:\Users\stu\Documents\Analysis\2016-02-23 RTDC Observations" /stypes="*4039*20160716*"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9" t="s">
        <v>393</v>
      </c>
      <c r="B44" s="7">
        <v>4029</v>
      </c>
      <c r="C44" s="26" t="s">
        <v>59</v>
      </c>
      <c r="D44" s="26" t="s">
        <v>70</v>
      </c>
      <c r="E44" s="16">
        <v>42567.310300925928</v>
      </c>
      <c r="F44" s="16">
        <v>42567.311585648145</v>
      </c>
      <c r="G44" s="7">
        <v>1</v>
      </c>
      <c r="H44" s="16" t="s">
        <v>135</v>
      </c>
      <c r="I44" s="16">
        <v>42567.337372685186</v>
      </c>
      <c r="J44" s="7">
        <v>0</v>
      </c>
      <c r="K44" s="26" t="str">
        <f t="shared" si="15"/>
        <v>4029/4030</v>
      </c>
      <c r="L44" s="26" t="str">
        <f>VLOOKUP(A44,'Trips&amp;Operators'!$C$1:$E$10000,3,FALSE)</f>
        <v>MALAVE</v>
      </c>
      <c r="M44" s="6">
        <f t="shared" si="16"/>
        <v>2.5787037040572613E-2</v>
      </c>
      <c r="N44" s="7">
        <f t="shared" si="2"/>
        <v>37.133333338424563</v>
      </c>
      <c r="O44" s="7"/>
      <c r="P44" s="7"/>
      <c r="Q44" s="27"/>
      <c r="R44" s="27"/>
      <c r="S44" s="45">
        <f t="shared" si="17"/>
        <v>1</v>
      </c>
      <c r="T44" s="69" t="str">
        <f t="shared" si="18"/>
        <v>NorthBound</v>
      </c>
      <c r="U44" s="96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06:26:50-0600',mode:absolute,to:'2016-07-16 09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4" s="74" t="str">
        <f t="shared" si="20"/>
        <v>N</v>
      </c>
      <c r="X44" s="92">
        <f t="shared" si="21"/>
        <v>1</v>
      </c>
      <c r="Y44" s="89">
        <f t="shared" si="22"/>
        <v>4.5699999999999998E-2</v>
      </c>
      <c r="Z44" s="89">
        <f t="shared" si="23"/>
        <v>23.330200000000001</v>
      </c>
      <c r="AA44" s="89">
        <f t="shared" si="24"/>
        <v>23.284500000000001</v>
      </c>
      <c r="AB44" s="86" t="e">
        <f>VLOOKUP(A44,Enforcements!$C$7:$J$23,8,0)</f>
        <v>#N/A</v>
      </c>
      <c r="AC44" s="82" t="e">
        <f>VLOOKUP(A44,Enforcements!$C$7:$E$23,3,0)</f>
        <v>#N/A</v>
      </c>
      <c r="AD44" s="83" t="str">
        <f t="shared" si="25"/>
        <v>0131-16</v>
      </c>
      <c r="AE44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44" s="75" t="str">
        <f t="shared" si="27"/>
        <v>"C:\Program Files (x86)\AstroGrep\AstroGrep.exe" /spath="C:\Users\stu\Documents\Analysis\2016-02-23 RTDC Observations" /stypes="*4029*20160716*" /stext=" 14:.+((prompt.+disp)|(slice.+state.+chan)|(ment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9" t="s">
        <v>490</v>
      </c>
      <c r="B45" s="7">
        <v>4030</v>
      </c>
      <c r="C45" s="26" t="s">
        <v>59</v>
      </c>
      <c r="D45" s="26" t="s">
        <v>358</v>
      </c>
      <c r="E45" s="16">
        <v>42567.34815972222</v>
      </c>
      <c r="F45" s="16">
        <v>42567.351597222223</v>
      </c>
      <c r="G45" s="7">
        <v>4</v>
      </c>
      <c r="H45" s="16" t="s">
        <v>136</v>
      </c>
      <c r="I45" s="16">
        <v>42567.377314814818</v>
      </c>
      <c r="J45" s="7">
        <v>0</v>
      </c>
      <c r="K45" s="26" t="str">
        <f t="shared" si="15"/>
        <v>4029/4030</v>
      </c>
      <c r="L45" s="26" t="str">
        <f>VLOOKUP(A45,'Trips&amp;Operators'!$C$1:$E$10000,3,FALSE)</f>
        <v>MALAVE</v>
      </c>
      <c r="M45" s="6">
        <f t="shared" si="16"/>
        <v>2.5717592594446614E-2</v>
      </c>
      <c r="N45" s="7">
        <f t="shared" si="2"/>
        <v>37.033333336003125</v>
      </c>
      <c r="O45" s="7"/>
      <c r="P45" s="7"/>
      <c r="Q45" s="27"/>
      <c r="R45" s="27"/>
      <c r="S45" s="45">
        <f t="shared" si="17"/>
        <v>1</v>
      </c>
      <c r="T45" s="69" t="str">
        <f t="shared" si="18"/>
        <v>Southbound</v>
      </c>
      <c r="U45" s="96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07:21:21-0600',mode:absolute,to:'2016-07-16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5" s="74" t="str">
        <f t="shared" si="20"/>
        <v>N</v>
      </c>
      <c r="X45" s="92">
        <f t="shared" si="21"/>
        <v>1</v>
      </c>
      <c r="Y45" s="89">
        <f t="shared" si="22"/>
        <v>23.297599999999999</v>
      </c>
      <c r="Z45" s="89">
        <f t="shared" si="23"/>
        <v>1.61E-2</v>
      </c>
      <c r="AA45" s="89">
        <f t="shared" si="24"/>
        <v>23.281499999999998</v>
      </c>
      <c r="AB45" s="86" t="e">
        <f>VLOOKUP(A45,Enforcements!$C$7:$J$23,8,0)</f>
        <v>#N/A</v>
      </c>
      <c r="AC45" s="82" t="e">
        <f>VLOOKUP(A45,Enforcements!$C$7:$E$23,3,0)</f>
        <v>#N/A</v>
      </c>
      <c r="AD45" s="83" t="str">
        <f t="shared" si="25"/>
        <v>0132-16</v>
      </c>
      <c r="AE45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45" s="75" t="str">
        <f t="shared" si="27"/>
        <v>"C:\Program Files (x86)\AstroGrep\AstroGrep.exe" /spath="C:\Users\stu\Documents\Analysis\2016-02-23 RTDC Observations" /stypes="*4030*20160716*" /stext=" 15:.+((prompt.+disp)|(slice.+state.+chan)|(ment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49" t="s">
        <v>448</v>
      </c>
      <c r="B46" s="7">
        <v>4018</v>
      </c>
      <c r="C46" s="26" t="s">
        <v>59</v>
      </c>
      <c r="D46" s="26" t="s">
        <v>353</v>
      </c>
      <c r="E46" s="16">
        <v>42567.319479166668</v>
      </c>
      <c r="F46" s="16">
        <v>42567.320543981485</v>
      </c>
      <c r="G46" s="7">
        <v>1</v>
      </c>
      <c r="H46" s="16" t="s">
        <v>536</v>
      </c>
      <c r="I46" s="16">
        <v>42567.347731481481</v>
      </c>
      <c r="J46" s="7">
        <v>0</v>
      </c>
      <c r="K46" s="26" t="str">
        <f t="shared" si="15"/>
        <v>4017/4018</v>
      </c>
      <c r="L46" s="26" t="str">
        <f>VLOOKUP(A46,'Trips&amp;Operators'!$C$1:$E$10000,3,FALSE)</f>
        <v>ACKERMAN</v>
      </c>
      <c r="M46" s="6">
        <f t="shared" si="16"/>
        <v>2.7187499996216502E-2</v>
      </c>
      <c r="N46" s="7">
        <f t="shared" si="2"/>
        <v>39.149999994551763</v>
      </c>
      <c r="O46" s="7"/>
      <c r="P46" s="7"/>
      <c r="Q46" s="27"/>
      <c r="R46" s="27"/>
      <c r="S46" s="45">
        <f t="shared" si="17"/>
        <v>1</v>
      </c>
      <c r="T46" s="69" t="str">
        <f t="shared" si="18"/>
        <v>NorthBound</v>
      </c>
      <c r="U46" s="96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06:40:03-0600',mode:absolute,to:'2016-07-16 09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6" s="74" t="str">
        <f t="shared" si="20"/>
        <v>N</v>
      </c>
      <c r="X46" s="92">
        <f t="shared" si="21"/>
        <v>1</v>
      </c>
      <c r="Y46" s="89">
        <f t="shared" si="22"/>
        <v>4.4600000000000001E-2</v>
      </c>
      <c r="Z46" s="89">
        <f t="shared" si="23"/>
        <v>23.335899999999999</v>
      </c>
      <c r="AA46" s="89">
        <f t="shared" si="24"/>
        <v>23.2913</v>
      </c>
      <c r="AB46" s="86" t="e">
        <f>VLOOKUP(A46,Enforcements!$C$7:$J$23,8,0)</f>
        <v>#N/A</v>
      </c>
      <c r="AC46" s="82" t="e">
        <f>VLOOKUP(A46,Enforcements!$C$7:$E$23,3,0)</f>
        <v>#N/A</v>
      </c>
      <c r="AD46" s="83" t="str">
        <f t="shared" si="25"/>
        <v>0133-16</v>
      </c>
      <c r="AE46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46" s="75" t="str">
        <f t="shared" si="27"/>
        <v>"C:\Program Files (x86)\AstroGrep\AstroGrep.exe" /spath="C:\Users\stu\Documents\Analysis\2016-02-23 RTDC Observations" /stypes="*4018*20160716*" /stext=" 14:.+((prompt.+disp)|(slice.+state.+chan)|(ment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49" t="s">
        <v>487</v>
      </c>
      <c r="B47" s="7">
        <v>4017</v>
      </c>
      <c r="C47" s="26" t="s">
        <v>59</v>
      </c>
      <c r="D47" s="26" t="s">
        <v>345</v>
      </c>
      <c r="E47" s="16">
        <v>42567.355810185189</v>
      </c>
      <c r="F47" s="16">
        <v>42567.356898148151</v>
      </c>
      <c r="G47" s="7">
        <v>1</v>
      </c>
      <c r="H47" s="16" t="s">
        <v>537</v>
      </c>
      <c r="I47" s="16">
        <v>42567.387939814813</v>
      </c>
      <c r="J47" s="7">
        <v>0</v>
      </c>
      <c r="K47" s="26" t="str">
        <f t="shared" si="15"/>
        <v>4017/4018</v>
      </c>
      <c r="L47" s="26" t="str">
        <f>VLOOKUP(A47,'Trips&amp;Operators'!$C$1:$E$10000,3,FALSE)</f>
        <v>ACKERMAN</v>
      </c>
      <c r="M47" s="6">
        <f t="shared" si="16"/>
        <v>3.1041666661622003E-2</v>
      </c>
      <c r="N47" s="7">
        <f t="shared" si="2"/>
        <v>44.699999992735684</v>
      </c>
      <c r="O47" s="7"/>
      <c r="P47" s="7"/>
      <c r="Q47" s="27"/>
      <c r="R47" s="27"/>
      <c r="S47" s="45">
        <f t="shared" si="17"/>
        <v>1</v>
      </c>
      <c r="T47" s="69" t="str">
        <f t="shared" si="18"/>
        <v>Southbound</v>
      </c>
      <c r="U47" s="96">
        <f>COUNTIFS(Variables!$M$2:$M$19,IF(T47="NorthBound","&gt;=","&lt;=")&amp;Y47,Variables!$M$2:$M$19,IF(T47="NorthBound","&lt;=","&gt;=")&amp;Z47)</f>
        <v>12</v>
      </c>
      <c r="V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07:32:22-0600',mode:absolute,to:'2016-07-16 10:18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7" s="74" t="str">
        <f t="shared" si="20"/>
        <v>N</v>
      </c>
      <c r="X47" s="92">
        <f t="shared" si="21"/>
        <v>1</v>
      </c>
      <c r="Y47" s="89">
        <f t="shared" si="22"/>
        <v>23.3005</v>
      </c>
      <c r="Z47" s="89">
        <f t="shared" si="23"/>
        <v>1.2999999999999999E-2</v>
      </c>
      <c r="AA47" s="89">
        <f t="shared" si="24"/>
        <v>23.287499999999998</v>
      </c>
      <c r="AB47" s="86" t="e">
        <f>VLOOKUP(A47,Enforcements!$C$7:$J$23,8,0)</f>
        <v>#N/A</v>
      </c>
      <c r="AC47" s="82" t="e">
        <f>VLOOKUP(A47,Enforcements!$C$7:$E$23,3,0)</f>
        <v>#N/A</v>
      </c>
      <c r="AD47" s="83" t="str">
        <f t="shared" si="25"/>
        <v>0134-16</v>
      </c>
      <c r="AE47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47" s="75" t="str">
        <f t="shared" si="27"/>
        <v>"C:\Program Files (x86)\AstroGrep\AstroGrep.exe" /spath="C:\Users\stu\Documents\Analysis\2016-02-23 RTDC Observations" /stypes="*4017*20160716*" /stext=" 15:.+((prompt.+disp)|(slice.+state.+chan)|(ment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49" t="s">
        <v>388</v>
      </c>
      <c r="B48" s="7">
        <v>4011</v>
      </c>
      <c r="C48" s="26" t="s">
        <v>59</v>
      </c>
      <c r="D48" s="26" t="s">
        <v>221</v>
      </c>
      <c r="E48" s="16">
        <v>42567.32708333333</v>
      </c>
      <c r="F48" s="16">
        <v>42567.328287037039</v>
      </c>
      <c r="G48" s="7">
        <v>1</v>
      </c>
      <c r="H48" s="16" t="s">
        <v>538</v>
      </c>
      <c r="I48" s="16">
        <v>42567.358182870368</v>
      </c>
      <c r="J48" s="7">
        <v>0</v>
      </c>
      <c r="K48" s="26" t="str">
        <f t="shared" si="15"/>
        <v>4011/4012</v>
      </c>
      <c r="L48" s="26" t="str">
        <f>VLOOKUP(A48,'Trips&amp;Operators'!$C$1:$E$10000,3,FALSE)</f>
        <v>NELSON</v>
      </c>
      <c r="M48" s="6">
        <f t="shared" si="16"/>
        <v>2.9895833329646848E-2</v>
      </c>
      <c r="N48" s="7">
        <f t="shared" si="2"/>
        <v>43.049999994691461</v>
      </c>
      <c r="O48" s="7"/>
      <c r="P48" s="7"/>
      <c r="Q48" s="27"/>
      <c r="R48" s="27"/>
      <c r="S48" s="45">
        <f t="shared" si="17"/>
        <v>1</v>
      </c>
      <c r="T48" s="69" t="str">
        <f t="shared" si="18"/>
        <v>NorthBound</v>
      </c>
      <c r="U48" s="96">
        <f>COUNTIFS(Variables!$M$2:$M$19,IF(T48="NorthBound","&gt;=","&lt;=")&amp;Y48,Variables!$M$2:$M$19,IF(T48="NorthBound","&lt;=","&gt;=")&amp;Z48)</f>
        <v>12</v>
      </c>
      <c r="V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06:51:00-0600',mode:absolute,to:'2016-07-16 09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8" s="74" t="str">
        <f t="shared" si="20"/>
        <v>N</v>
      </c>
      <c r="X48" s="92">
        <f t="shared" si="21"/>
        <v>1</v>
      </c>
      <c r="Y48" s="89">
        <f t="shared" si="22"/>
        <v>4.3499999999999997E-2</v>
      </c>
      <c r="Z48" s="89">
        <f t="shared" si="23"/>
        <v>23.332899999999999</v>
      </c>
      <c r="AA48" s="89">
        <f t="shared" si="24"/>
        <v>23.289399999999997</v>
      </c>
      <c r="AB48" s="86" t="e">
        <f>VLOOKUP(A48,Enforcements!$C$7:$J$23,8,0)</f>
        <v>#N/A</v>
      </c>
      <c r="AC48" s="82" t="e">
        <f>VLOOKUP(A48,Enforcements!$C$7:$E$23,3,0)</f>
        <v>#N/A</v>
      </c>
      <c r="AD48" s="83" t="str">
        <f t="shared" si="25"/>
        <v>0135-16</v>
      </c>
      <c r="AE48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48" s="75" t="str">
        <f t="shared" si="27"/>
        <v>"C:\Program Files (x86)\AstroGrep\AstroGrep.exe" /spath="C:\Users\stu\Documents\Analysis\2016-02-23 RTDC Observations" /stypes="*4011*20160716*" /stext=" 14:.+((prompt.+disp)|(slice.+state.+chan)|(ment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49" t="s">
        <v>474</v>
      </c>
      <c r="B49" s="7">
        <v>4012</v>
      </c>
      <c r="C49" s="26" t="s">
        <v>59</v>
      </c>
      <c r="D49" s="26" t="s">
        <v>539</v>
      </c>
      <c r="E49" s="16">
        <v>42567.366793981484</v>
      </c>
      <c r="F49" s="16">
        <v>42567.367858796293</v>
      </c>
      <c r="G49" s="7">
        <v>1</v>
      </c>
      <c r="H49" s="16" t="s">
        <v>61</v>
      </c>
      <c r="I49" s="16">
        <v>42567.39775462963</v>
      </c>
      <c r="J49" s="7">
        <v>0</v>
      </c>
      <c r="K49" s="26" t="str">
        <f t="shared" si="15"/>
        <v>4011/4012</v>
      </c>
      <c r="L49" s="26" t="str">
        <f>VLOOKUP(A49,'Trips&amp;Operators'!$C$1:$E$10000,3,FALSE)</f>
        <v>NELSON</v>
      </c>
      <c r="M49" s="6">
        <f t="shared" si="16"/>
        <v>2.9895833336922806E-2</v>
      </c>
      <c r="N49" s="7">
        <f t="shared" si="2"/>
        <v>43.05000000516884</v>
      </c>
      <c r="O49" s="7"/>
      <c r="P49" s="7"/>
      <c r="Q49" s="27"/>
      <c r="R49" s="27"/>
      <c r="S49" s="45">
        <f t="shared" si="17"/>
        <v>1</v>
      </c>
      <c r="T49" s="69" t="str">
        <f t="shared" si="18"/>
        <v>Southbound</v>
      </c>
      <c r="U49" s="96">
        <f>COUNTIFS(Variables!$M$2:$M$19,IF(T49="NorthBound","&gt;=","&lt;=")&amp;Y49,Variables!$M$2:$M$19,IF(T49="NorthBound","&lt;=","&gt;=")&amp;Z49)</f>
        <v>12</v>
      </c>
      <c r="V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07:48:11-0600',mode:absolute,to:'2016-07-16 10:32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9" s="74" t="str">
        <f t="shared" si="20"/>
        <v>N</v>
      </c>
      <c r="X49" s="92">
        <f t="shared" si="21"/>
        <v>1</v>
      </c>
      <c r="Y49" s="89">
        <f t="shared" si="22"/>
        <v>23.300599999999999</v>
      </c>
      <c r="Z49" s="89">
        <f t="shared" si="23"/>
        <v>1.52E-2</v>
      </c>
      <c r="AA49" s="89">
        <f t="shared" si="24"/>
        <v>23.285399999999999</v>
      </c>
      <c r="AB49" s="86" t="e">
        <f>VLOOKUP(A49,Enforcements!$C$7:$J$23,8,0)</f>
        <v>#N/A</v>
      </c>
      <c r="AC49" s="82" t="e">
        <f>VLOOKUP(A49,Enforcements!$C$7:$E$23,3,0)</f>
        <v>#N/A</v>
      </c>
      <c r="AD49" s="83" t="str">
        <f t="shared" si="25"/>
        <v>0136-16</v>
      </c>
      <c r="AE49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49" s="75" t="str">
        <f t="shared" si="27"/>
        <v>"C:\Program Files (x86)\AstroGrep\AstroGrep.exe" /spath="C:\Users\stu\Documents\Analysis\2016-02-23 RTDC Observations" /stypes="*4012*20160716*"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49" t="s">
        <v>423</v>
      </c>
      <c r="B50" s="7">
        <v>4042</v>
      </c>
      <c r="C50" s="26" t="s">
        <v>59</v>
      </c>
      <c r="D50" s="26" t="s">
        <v>112</v>
      </c>
      <c r="E50" s="16">
        <v>42567.338680555556</v>
      </c>
      <c r="F50" s="16">
        <v>42567.33965277778</v>
      </c>
      <c r="G50" s="7">
        <v>1</v>
      </c>
      <c r="H50" s="16" t="s">
        <v>168</v>
      </c>
      <c r="I50" s="16">
        <v>42567.368206018517</v>
      </c>
      <c r="J50" s="7">
        <v>0</v>
      </c>
      <c r="K50" s="26" t="str">
        <f t="shared" si="15"/>
        <v>4041/4042</v>
      </c>
      <c r="L50" s="26" t="str">
        <f>VLOOKUP(A50,'Trips&amp;Operators'!$C$1:$E$10000,3,FALSE)</f>
        <v>BRANNON</v>
      </c>
      <c r="M50" s="6">
        <f t="shared" si="16"/>
        <v>2.8553240736073349E-2</v>
      </c>
      <c r="N50" s="7">
        <f t="shared" si="2"/>
        <v>41.116666659945622</v>
      </c>
      <c r="O50" s="7"/>
      <c r="P50" s="7"/>
      <c r="Q50" s="27"/>
      <c r="R50" s="27"/>
      <c r="S50" s="45">
        <f t="shared" si="17"/>
        <v>1</v>
      </c>
      <c r="T50" s="69" t="str">
        <f t="shared" si="18"/>
        <v>NorthBound</v>
      </c>
      <c r="U50" s="96">
        <f>COUNTIFS(Variables!$M$2:$M$19,IF(T50="NorthBound","&gt;=","&lt;=")&amp;Y50,Variables!$M$2:$M$19,IF(T50="NorthBound","&lt;=","&gt;=")&amp;Z50)</f>
        <v>12</v>
      </c>
      <c r="V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07:07:42-0600',mode:absolute,to:'2016-07-16 09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0" s="74" t="str">
        <f t="shared" si="20"/>
        <v>N</v>
      </c>
      <c r="X50" s="92">
        <f t="shared" si="21"/>
        <v>1</v>
      </c>
      <c r="Y50" s="89">
        <f t="shared" si="22"/>
        <v>4.5100000000000001E-2</v>
      </c>
      <c r="Z50" s="89">
        <f t="shared" si="23"/>
        <v>23.330300000000001</v>
      </c>
      <c r="AA50" s="89">
        <f t="shared" si="24"/>
        <v>23.2852</v>
      </c>
      <c r="AB50" s="86" t="e">
        <f>VLOOKUP(A50,Enforcements!$C$7:$J$23,8,0)</f>
        <v>#N/A</v>
      </c>
      <c r="AC50" s="82" t="e">
        <f>VLOOKUP(A50,Enforcements!$C$7:$E$23,3,0)</f>
        <v>#N/A</v>
      </c>
      <c r="AD50" s="83" t="str">
        <f t="shared" si="25"/>
        <v>0137-16</v>
      </c>
      <c r="AE50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50" s="75" t="str">
        <f t="shared" si="27"/>
        <v>"C:\Program Files (x86)\AstroGrep\AstroGrep.exe" /spath="C:\Users\stu\Documents\Analysis\2016-02-23 RTDC Observations" /stypes="*4042*20160716*" /stext=" 14:.+((prompt.+disp)|(slice.+state.+chan)|(ment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9" t="s">
        <v>381</v>
      </c>
      <c r="B51" s="7">
        <v>4041</v>
      </c>
      <c r="C51" s="26" t="s">
        <v>59</v>
      </c>
      <c r="D51" s="26" t="s">
        <v>153</v>
      </c>
      <c r="E51" s="16">
        <v>42567.380509259259</v>
      </c>
      <c r="F51" s="16">
        <v>42567.381307870368</v>
      </c>
      <c r="G51" s="7">
        <v>1</v>
      </c>
      <c r="H51" s="16" t="s">
        <v>180</v>
      </c>
      <c r="I51" s="16">
        <v>42567.407881944448</v>
      </c>
      <c r="J51" s="7">
        <v>1</v>
      </c>
      <c r="K51" s="26" t="str">
        <f t="shared" si="15"/>
        <v>4041/4042</v>
      </c>
      <c r="L51" s="26" t="str">
        <f>VLOOKUP(A51,'Trips&amp;Operators'!$C$1:$E$10000,3,FALSE)</f>
        <v>BRANNON</v>
      </c>
      <c r="M51" s="6">
        <f t="shared" si="16"/>
        <v>2.6574074079690035E-2</v>
      </c>
      <c r="N51" s="7">
        <f t="shared" si="2"/>
        <v>38.266666674753651</v>
      </c>
      <c r="O51" s="7"/>
      <c r="P51" s="7"/>
      <c r="Q51" s="27"/>
      <c r="R51" s="27"/>
      <c r="S51" s="45">
        <f t="shared" si="17"/>
        <v>1</v>
      </c>
      <c r="T51" s="69" t="str">
        <f t="shared" si="18"/>
        <v>Southbound</v>
      </c>
      <c r="U51" s="96">
        <f>COUNTIFS(Variables!$M$2:$M$19,IF(T51="NorthBound","&gt;=","&lt;=")&amp;Y51,Variables!$M$2:$M$19,IF(T51="NorthBound","&lt;=","&gt;=")&amp;Z51)</f>
        <v>12</v>
      </c>
      <c r="V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08:07:56-0600',mode:absolute,to:'2016-07-16 10:47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1" s="74" t="str">
        <f t="shared" si="20"/>
        <v>N</v>
      </c>
      <c r="X51" s="92">
        <f t="shared" si="21"/>
        <v>1</v>
      </c>
      <c r="Y51" s="89">
        <f t="shared" si="22"/>
        <v>23.299600000000002</v>
      </c>
      <c r="Z51" s="89">
        <f t="shared" si="23"/>
        <v>1.4999999999999999E-2</v>
      </c>
      <c r="AA51" s="89">
        <f t="shared" si="24"/>
        <v>23.284600000000001</v>
      </c>
      <c r="AB51" s="86" t="e">
        <f>VLOOKUP(A51,Enforcements!$C$7:$J$23,8,0)</f>
        <v>#N/A</v>
      </c>
      <c r="AC51" s="82" t="e">
        <f>VLOOKUP(A51,Enforcements!$C$7:$E$23,3,0)</f>
        <v>#N/A</v>
      </c>
      <c r="AD51" s="83" t="str">
        <f t="shared" si="25"/>
        <v>0138-16</v>
      </c>
      <c r="AE51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51" s="75" t="str">
        <f t="shared" si="27"/>
        <v>"C:\Program Files (x86)\AstroGrep\AstroGrep.exe" /spath="C:\Users\stu\Documents\Analysis\2016-02-23 RTDC Observations" /stypes="*4041*20160716*" /stext=" 15:.+((prompt.+disp)|(slice.+state.+chan)|(ment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4" t="s">
        <v>473</v>
      </c>
      <c r="B52" s="7">
        <v>4014</v>
      </c>
      <c r="C52" s="26" t="s">
        <v>59</v>
      </c>
      <c r="D52" s="26" t="s">
        <v>201</v>
      </c>
      <c r="E52" s="16">
        <v>42567.347534722219</v>
      </c>
      <c r="F52" s="16">
        <v>42567.349027777775</v>
      </c>
      <c r="G52" s="7">
        <v>2</v>
      </c>
      <c r="H52" s="16" t="s">
        <v>223</v>
      </c>
      <c r="I52" s="16">
        <v>42567.378854166665</v>
      </c>
      <c r="J52" s="7">
        <v>0</v>
      </c>
      <c r="K52" s="26" t="str">
        <f t="shared" si="15"/>
        <v>4013/4014</v>
      </c>
      <c r="L52" s="26" t="str">
        <f>VLOOKUP(A52,'Trips&amp;Operators'!$C$1:$E$10000,3,FALSE)</f>
        <v>GEBRETEKLE</v>
      </c>
      <c r="M52" s="6">
        <f t="shared" si="16"/>
        <v>2.9826388890796807E-2</v>
      </c>
      <c r="N52" s="7">
        <f t="shared" si="2"/>
        <v>42.950000002747402</v>
      </c>
      <c r="O52" s="7"/>
      <c r="P52" s="7"/>
      <c r="Q52" s="27"/>
      <c r="R52" s="27"/>
      <c r="S52" s="45">
        <f t="shared" si="17"/>
        <v>1</v>
      </c>
      <c r="T52" s="69" t="str">
        <f t="shared" si="18"/>
        <v>NorthBound</v>
      </c>
      <c r="U52" s="96">
        <f>COUNTIFS(Variables!$M$2:$M$19,IF(T52="NorthBound","&gt;=","&lt;=")&amp;Y52,Variables!$M$2:$M$19,IF(T52="NorthBound","&lt;=","&gt;=")&amp;Z52)</f>
        <v>12</v>
      </c>
      <c r="V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07:20:27-0600',mode:absolute,to:'2016-07-16 10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2" s="74" t="str">
        <f t="shared" si="20"/>
        <v>N</v>
      </c>
      <c r="X52" s="92">
        <f t="shared" si="21"/>
        <v>1</v>
      </c>
      <c r="Y52" s="89">
        <f t="shared" si="22"/>
        <v>4.4400000000000002E-2</v>
      </c>
      <c r="Z52" s="89">
        <f t="shared" si="23"/>
        <v>23.3306</v>
      </c>
      <c r="AA52" s="89">
        <f t="shared" si="24"/>
        <v>23.286200000000001</v>
      </c>
      <c r="AB52" s="86" t="e">
        <f>VLOOKUP(A52,Enforcements!$C$7:$J$23,8,0)</f>
        <v>#N/A</v>
      </c>
      <c r="AC52" s="82" t="e">
        <f>VLOOKUP(A52,Enforcements!$C$7:$E$23,3,0)</f>
        <v>#N/A</v>
      </c>
      <c r="AD52" s="83" t="str">
        <f t="shared" si="25"/>
        <v>0139-16</v>
      </c>
      <c r="AE52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52" s="75" t="str">
        <f t="shared" si="27"/>
        <v>"C:\Program Files (x86)\AstroGrep\AstroGrep.exe" /spath="C:\Users\stu\Documents\Analysis\2016-02-23 RTDC Observations" /stypes="*4014*20160716*" /stext=" 15:.+((prompt.+disp)|(slice.+state.+chan)|(ment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49" t="s">
        <v>454</v>
      </c>
      <c r="B53" s="7">
        <v>4013</v>
      </c>
      <c r="C53" s="26" t="s">
        <v>59</v>
      </c>
      <c r="D53" s="26" t="s">
        <v>540</v>
      </c>
      <c r="E53" s="16">
        <v>42567.403055555558</v>
      </c>
      <c r="F53" s="16">
        <v>42567.403831018521</v>
      </c>
      <c r="G53" s="7">
        <v>1</v>
      </c>
      <c r="H53" s="16" t="s">
        <v>71</v>
      </c>
      <c r="I53" s="16">
        <v>42567.41988425926</v>
      </c>
      <c r="J53" s="7">
        <v>0</v>
      </c>
      <c r="K53" s="26" t="str">
        <f t="shared" si="15"/>
        <v>4013/4014</v>
      </c>
      <c r="L53" s="26" t="str">
        <f>VLOOKUP(A53,'Trips&amp;Operators'!$C$1:$E$10000,3,FALSE)</f>
        <v>GEBRETEKLE</v>
      </c>
      <c r="M53" s="6">
        <f t="shared" si="16"/>
        <v>1.6053240738983732E-2</v>
      </c>
      <c r="N53" s="7"/>
      <c r="O53" s="7"/>
      <c r="P53" s="7">
        <f t="shared" si="2"/>
        <v>23.116666664136574</v>
      </c>
      <c r="Q53" s="27"/>
      <c r="R53" s="27" t="s">
        <v>591</v>
      </c>
      <c r="S53" s="45">
        <f t="shared" si="17"/>
        <v>1</v>
      </c>
      <c r="T53" s="69" t="str">
        <f t="shared" si="18"/>
        <v>Southbound</v>
      </c>
      <c r="U53" s="96">
        <f>COUNTIFS(Variables!$M$2:$M$19,IF(T53="NorthBound","&gt;=","&lt;=")&amp;Y53,Variables!$M$2:$M$19,IF(T53="NorthBound","&lt;=","&gt;=")&amp;Z53)</f>
        <v>12</v>
      </c>
      <c r="V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08:40:24-0600',mode:absolute,to:'2016-07-16 11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3" s="74" t="str">
        <f t="shared" si="20"/>
        <v>Y</v>
      </c>
      <c r="X53" s="92">
        <f t="shared" si="21"/>
        <v>1</v>
      </c>
      <c r="Y53" s="89">
        <f t="shared" si="22"/>
        <v>12.7849</v>
      </c>
      <c r="Z53" s="89">
        <f t="shared" si="23"/>
        <v>1.49E-2</v>
      </c>
      <c r="AA53" s="89">
        <f t="shared" si="24"/>
        <v>12.77</v>
      </c>
      <c r="AB53" s="86" t="e">
        <f>VLOOKUP(A53,Enforcements!$C$7:$J$23,8,0)</f>
        <v>#N/A</v>
      </c>
      <c r="AC53" s="82" t="e">
        <f>VLOOKUP(A53,Enforcements!$C$7:$E$23,3,0)</f>
        <v>#N/A</v>
      </c>
      <c r="AD53" s="83" t="str">
        <f t="shared" si="25"/>
        <v>0140-16</v>
      </c>
      <c r="AE53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53" s="75" t="str">
        <f t="shared" si="27"/>
        <v>"C:\Program Files (x86)\AstroGrep\AstroGrep.exe" /spath="C:\Users\stu\Documents\Analysis\2016-02-23 RTDC Observations" /stypes="*4013*20160716*" /stext=" 16:.+((prompt.+disp)|(slice.+state.+chan)|(ment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49" t="s">
        <v>451</v>
      </c>
      <c r="B54" s="7">
        <v>4020</v>
      </c>
      <c r="C54" s="26" t="s">
        <v>59</v>
      </c>
      <c r="D54" s="26" t="s">
        <v>112</v>
      </c>
      <c r="E54" s="16">
        <v>42567.361203703702</v>
      </c>
      <c r="F54" s="16">
        <v>42567.362141203703</v>
      </c>
      <c r="G54" s="7">
        <v>1</v>
      </c>
      <c r="H54" s="16" t="s">
        <v>199</v>
      </c>
      <c r="I54" s="16">
        <v>42567.389664351853</v>
      </c>
      <c r="J54" s="7">
        <v>0</v>
      </c>
      <c r="K54" s="26" t="str">
        <f t="shared" si="15"/>
        <v>4019/4020</v>
      </c>
      <c r="L54" s="26" t="str">
        <f>VLOOKUP(A54,'Trips&amp;Operators'!$C$1:$E$10000,3,FALSE)</f>
        <v>SANTIZO</v>
      </c>
      <c r="M54" s="6">
        <f t="shared" si="16"/>
        <v>2.7523148150066845E-2</v>
      </c>
      <c r="N54" s="7">
        <f t="shared" si="2"/>
        <v>39.633333336096257</v>
      </c>
      <c r="O54" s="7"/>
      <c r="P54" s="7"/>
      <c r="Q54" s="27"/>
      <c r="R54" s="27"/>
      <c r="S54" s="45">
        <f t="shared" si="17"/>
        <v>1</v>
      </c>
      <c r="T54" s="69" t="str">
        <f t="shared" si="18"/>
        <v>NorthBound</v>
      </c>
      <c r="U54" s="96">
        <f>COUNTIFS(Variables!$M$2:$M$19,IF(T54="NorthBound","&gt;=","&lt;=")&amp;Y54,Variables!$M$2:$M$19,IF(T54="NorthBound","&lt;=","&gt;=")&amp;Z54)</f>
        <v>12</v>
      </c>
      <c r="V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07:40:08-0600',mode:absolute,to:'2016-07-16 10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4" s="74" t="str">
        <f t="shared" si="20"/>
        <v>N</v>
      </c>
      <c r="X54" s="92">
        <f t="shared" si="21"/>
        <v>1</v>
      </c>
      <c r="Y54" s="89">
        <f t="shared" si="22"/>
        <v>4.5100000000000001E-2</v>
      </c>
      <c r="Z54" s="89">
        <f t="shared" si="23"/>
        <v>23.331199999999999</v>
      </c>
      <c r="AA54" s="89">
        <f t="shared" si="24"/>
        <v>23.286099999999998</v>
      </c>
      <c r="AB54" s="86" t="e">
        <f>VLOOKUP(A54,Enforcements!$C$7:$J$23,8,0)</f>
        <v>#N/A</v>
      </c>
      <c r="AC54" s="82" t="e">
        <f>VLOOKUP(A54,Enforcements!$C$7:$E$23,3,0)</f>
        <v>#N/A</v>
      </c>
      <c r="AD54" s="83" t="str">
        <f t="shared" si="25"/>
        <v>0141-16</v>
      </c>
      <c r="AE54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54" s="75" t="str">
        <f t="shared" si="27"/>
        <v>"C:\Program Files (x86)\AstroGrep\AstroGrep.exe" /spath="C:\Users\stu\Documents\Analysis\2016-02-23 RTDC Observations" /stypes="*4020*20160716*" /stext=" 15:.+((prompt.+disp)|(slice.+state.+chan)|(ment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49" t="s">
        <v>476</v>
      </c>
      <c r="B55" s="7">
        <v>4019</v>
      </c>
      <c r="C55" s="26" t="s">
        <v>59</v>
      </c>
      <c r="D55" s="26" t="s">
        <v>345</v>
      </c>
      <c r="E55" s="16">
        <v>42567.39980324074</v>
      </c>
      <c r="F55" s="16">
        <v>42567.400891203702</v>
      </c>
      <c r="G55" s="7">
        <v>1</v>
      </c>
      <c r="H55" s="16" t="s">
        <v>541</v>
      </c>
      <c r="I55" s="16">
        <v>42567.428657407407</v>
      </c>
      <c r="J55" s="7">
        <v>1</v>
      </c>
      <c r="K55" s="26" t="str">
        <f t="shared" si="15"/>
        <v>4019/4020</v>
      </c>
      <c r="L55" s="26" t="str">
        <f>VLOOKUP(A55,'Trips&amp;Operators'!$C$1:$E$10000,3,FALSE)</f>
        <v>SANTIZO</v>
      </c>
      <c r="M55" s="6">
        <f t="shared" si="16"/>
        <v>2.7766203704231884E-2</v>
      </c>
      <c r="N55" s="7">
        <f t="shared" si="2"/>
        <v>39.983333334093913</v>
      </c>
      <c r="O55" s="7"/>
      <c r="P55" s="7"/>
      <c r="Q55" s="27"/>
      <c r="R55" s="27"/>
      <c r="S55" s="45">
        <f t="shared" si="17"/>
        <v>1</v>
      </c>
      <c r="T55" s="69" t="str">
        <f t="shared" si="18"/>
        <v>Southbound</v>
      </c>
      <c r="U55" s="96">
        <f>COUNTIFS(Variables!$M$2:$M$19,IF(T55="NorthBound","&gt;=","&lt;=")&amp;Y55,Variables!$M$2:$M$19,IF(T55="NorthBound","&lt;=","&gt;=")&amp;Z55)</f>
        <v>12</v>
      </c>
      <c r="V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08:35:43-0600',mode:absolute,to:'2016-07-16 11:17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5" s="74" t="str">
        <f t="shared" si="20"/>
        <v>N</v>
      </c>
      <c r="X55" s="92">
        <f t="shared" si="21"/>
        <v>1</v>
      </c>
      <c r="Y55" s="89">
        <f t="shared" si="22"/>
        <v>23.3005</v>
      </c>
      <c r="Z55" s="89">
        <f t="shared" si="23"/>
        <v>2.29E-2</v>
      </c>
      <c r="AA55" s="89">
        <f t="shared" si="24"/>
        <v>23.2776</v>
      </c>
      <c r="AB55" s="86" t="e">
        <f>VLOOKUP(A55,Enforcements!$C$7:$J$23,8,0)</f>
        <v>#N/A</v>
      </c>
      <c r="AC55" s="82" t="e">
        <f>VLOOKUP(A55,Enforcements!$C$7:$E$23,3,0)</f>
        <v>#N/A</v>
      </c>
      <c r="AD55" s="83" t="str">
        <f t="shared" si="25"/>
        <v>0142-16</v>
      </c>
      <c r="AE55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55" s="75" t="str">
        <f t="shared" si="27"/>
        <v>"C:\Program Files (x86)\AstroGrep\AstroGrep.exe" /spath="C:\Users\stu\Documents\Analysis\2016-02-23 RTDC Observations" /stypes="*4019*20160716*" /stext=" 16:.+((prompt.+disp)|(slice.+state.+chan)|(ment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49" t="s">
        <v>420</v>
      </c>
      <c r="B56" s="7">
        <v>4040</v>
      </c>
      <c r="C56" s="26" t="s">
        <v>59</v>
      </c>
      <c r="D56" s="26" t="s">
        <v>66</v>
      </c>
      <c r="E56" s="16">
        <v>42567.37</v>
      </c>
      <c r="F56" s="16">
        <v>42567.370972222219</v>
      </c>
      <c r="G56" s="7">
        <v>1</v>
      </c>
      <c r="H56" s="16" t="s">
        <v>227</v>
      </c>
      <c r="I56" s="16">
        <v>42567.399502314816</v>
      </c>
      <c r="J56" s="7">
        <v>0</v>
      </c>
      <c r="K56" s="26" t="str">
        <f t="shared" si="15"/>
        <v>4039/4040</v>
      </c>
      <c r="L56" s="26" t="str">
        <f>VLOOKUP(A56,'Trips&amp;Operators'!$C$1:$E$10000,3,FALSE)</f>
        <v>YORK</v>
      </c>
      <c r="M56" s="6">
        <f t="shared" si="16"/>
        <v>2.8530092597065959E-2</v>
      </c>
      <c r="N56" s="7">
        <f t="shared" si="2"/>
        <v>41.083333339774981</v>
      </c>
      <c r="O56" s="7"/>
      <c r="P56" s="7"/>
      <c r="Q56" s="27"/>
      <c r="R56" s="27"/>
      <c r="S56" s="45">
        <f t="shared" si="17"/>
        <v>1</v>
      </c>
      <c r="T56" s="69" t="str">
        <f t="shared" si="18"/>
        <v>NorthBound</v>
      </c>
      <c r="U56" s="96">
        <f>COUNTIFS(Variables!$M$2:$M$19,IF(T56="NorthBound","&gt;=","&lt;=")&amp;Y56,Variables!$M$2:$M$19,IF(T56="NorthBound","&lt;=","&gt;=")&amp;Z56)</f>
        <v>12</v>
      </c>
      <c r="V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07:52:48-0600',mode:absolute,to:'2016-07-16 10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6" s="74" t="str">
        <f t="shared" si="20"/>
        <v>N</v>
      </c>
      <c r="X56" s="92">
        <f t="shared" si="21"/>
        <v>1</v>
      </c>
      <c r="Y56" s="89">
        <f t="shared" si="22"/>
        <v>4.5999999999999999E-2</v>
      </c>
      <c r="Z56" s="89">
        <f t="shared" si="23"/>
        <v>23.328700000000001</v>
      </c>
      <c r="AA56" s="89">
        <f t="shared" si="24"/>
        <v>23.282700000000002</v>
      </c>
      <c r="AB56" s="86" t="e">
        <f>VLOOKUP(A56,Enforcements!$C$7:$J$23,8,0)</f>
        <v>#N/A</v>
      </c>
      <c r="AC56" s="82" t="e">
        <f>VLOOKUP(A56,Enforcements!$C$7:$E$23,3,0)</f>
        <v>#N/A</v>
      </c>
      <c r="AD56" s="83" t="str">
        <f t="shared" si="25"/>
        <v>0143-16</v>
      </c>
      <c r="AE56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56" s="75" t="str">
        <f t="shared" si="27"/>
        <v>"C:\Program Files (x86)\AstroGrep\AstroGrep.exe" /spath="C:\Users\stu\Documents\Analysis\2016-02-23 RTDC Observations" /stypes="*4040*20160716*" /stext=" 15:.+((prompt.+disp)|(slice.+state.+chan)|(ment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49" t="s">
        <v>415</v>
      </c>
      <c r="B57" s="7">
        <v>4039</v>
      </c>
      <c r="C57" s="26" t="s">
        <v>59</v>
      </c>
      <c r="D57" s="26" t="s">
        <v>68</v>
      </c>
      <c r="E57" s="16">
        <v>42567.401180555556</v>
      </c>
      <c r="F57" s="16">
        <v>42567.401875000003</v>
      </c>
      <c r="G57" s="7">
        <v>0</v>
      </c>
      <c r="H57" s="16" t="s">
        <v>82</v>
      </c>
      <c r="I57" s="16">
        <v>42567.439016203702</v>
      </c>
      <c r="J57" s="7">
        <v>0</v>
      </c>
      <c r="K57" s="26" t="str">
        <f t="shared" si="15"/>
        <v>4039/4040</v>
      </c>
      <c r="L57" s="26" t="str">
        <f>VLOOKUP(A57,'Trips&amp;Operators'!$C$1:$E$10000,3,FALSE)</f>
        <v>YORK</v>
      </c>
      <c r="M57" s="6">
        <f t="shared" si="16"/>
        <v>3.7141203698411118E-2</v>
      </c>
      <c r="N57" s="7">
        <f t="shared" si="2"/>
        <v>53.48333332571201</v>
      </c>
      <c r="O57" s="7"/>
      <c r="P57" s="7"/>
      <c r="Q57" s="27"/>
      <c r="R57" s="27"/>
      <c r="S57" s="45">
        <f t="shared" si="17"/>
        <v>1</v>
      </c>
      <c r="T57" s="69" t="str">
        <f t="shared" si="18"/>
        <v>Southbound</v>
      </c>
      <c r="U57" s="96">
        <f>COUNTIFS(Variables!$M$2:$M$19,IF(T57="NorthBound","&gt;=","&lt;=")&amp;Y57,Variables!$M$2:$M$19,IF(T57="NorthBound","&lt;=","&gt;=")&amp;Z57)</f>
        <v>12</v>
      </c>
      <c r="V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08:37:42-0600',mode:absolute,to:'2016-07-16 11:32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7" s="74" t="str">
        <f t="shared" si="20"/>
        <v>N</v>
      </c>
      <c r="X57" s="92">
        <f t="shared" si="21"/>
        <v>1</v>
      </c>
      <c r="Y57" s="89">
        <f t="shared" si="22"/>
        <v>23.297699999999999</v>
      </c>
      <c r="Z57" s="89">
        <f t="shared" si="23"/>
        <v>1.5800000000000002E-2</v>
      </c>
      <c r="AA57" s="89">
        <f t="shared" si="24"/>
        <v>23.2819</v>
      </c>
      <c r="AB57" s="86" t="e">
        <f>VLOOKUP(A57,Enforcements!$C$7:$J$23,8,0)</f>
        <v>#N/A</v>
      </c>
      <c r="AC57" s="82" t="e">
        <f>VLOOKUP(A57,Enforcements!$C$7:$E$23,3,0)</f>
        <v>#N/A</v>
      </c>
      <c r="AD57" s="83" t="str">
        <f t="shared" si="25"/>
        <v>0144-16</v>
      </c>
      <c r="AE57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57" s="75" t="str">
        <f t="shared" si="27"/>
        <v>"C:\Program Files (x86)\AstroGrep\AstroGrep.exe" /spath="C:\Users\stu\Documents\Analysis\2016-02-23 RTDC Observations" /stypes="*4039*20160716*" /stext=" 16:.+((prompt.+disp)|(slice.+state.+chan)|(ment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49" t="s">
        <v>382</v>
      </c>
      <c r="B58" s="7">
        <v>4029</v>
      </c>
      <c r="C58" s="26" t="s">
        <v>59</v>
      </c>
      <c r="D58" s="26" t="s">
        <v>187</v>
      </c>
      <c r="E58" s="16">
        <v>42567.385659722226</v>
      </c>
      <c r="F58" s="16">
        <v>42567.386400462965</v>
      </c>
      <c r="G58" s="7">
        <v>1</v>
      </c>
      <c r="H58" s="16" t="s">
        <v>232</v>
      </c>
      <c r="I58" s="16">
        <v>42567.410902777781</v>
      </c>
      <c r="J58" s="7">
        <v>1</v>
      </c>
      <c r="K58" s="26" t="str">
        <f t="shared" si="15"/>
        <v>4029/4030</v>
      </c>
      <c r="L58" s="26" t="str">
        <f>VLOOKUP(A58,'Trips&amp;Operators'!$C$1:$E$10000,3,FALSE)</f>
        <v>MALAVE</v>
      </c>
      <c r="M58" s="6">
        <f t="shared" si="16"/>
        <v>2.4502314816345461E-2</v>
      </c>
      <c r="N58" s="7">
        <f t="shared" si="2"/>
        <v>35.283333335537463</v>
      </c>
      <c r="O58" s="7"/>
      <c r="P58" s="7"/>
      <c r="Q58" s="27"/>
      <c r="R58" s="27"/>
      <c r="S58" s="45">
        <f t="shared" si="17"/>
        <v>1</v>
      </c>
      <c r="T58" s="69" t="str">
        <f t="shared" si="18"/>
        <v>NorthBound</v>
      </c>
      <c r="U58" s="96">
        <f>COUNTIFS(Variables!$M$2:$M$19,IF(T58="NorthBound","&gt;=","&lt;=")&amp;Y58,Variables!$M$2:$M$19,IF(T58="NorthBound","&lt;=","&gt;=")&amp;Z58)</f>
        <v>12</v>
      </c>
      <c r="V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08:15:21-0600',mode:absolute,to:'2016-07-16 10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58" s="74" t="str">
        <f t="shared" si="20"/>
        <v>N</v>
      </c>
      <c r="X58" s="92">
        <f t="shared" si="21"/>
        <v>1</v>
      </c>
      <c r="Y58" s="89">
        <f t="shared" si="22"/>
        <v>4.6199999999999998E-2</v>
      </c>
      <c r="Z58" s="89">
        <f t="shared" si="23"/>
        <v>23.327400000000001</v>
      </c>
      <c r="AA58" s="89">
        <f t="shared" si="24"/>
        <v>23.281200000000002</v>
      </c>
      <c r="AB58" s="86" t="e">
        <f>VLOOKUP(A58,Enforcements!$C$7:$J$23,8,0)</f>
        <v>#N/A</v>
      </c>
      <c r="AC58" s="82" t="e">
        <f>VLOOKUP(A58,Enforcements!$C$7:$E$23,3,0)</f>
        <v>#N/A</v>
      </c>
      <c r="AD58" s="83" t="str">
        <f t="shared" si="25"/>
        <v>0145-16</v>
      </c>
      <c r="AE58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58" s="75" t="str">
        <f t="shared" si="27"/>
        <v>"C:\Program Files (x86)\AstroGrep\AstroGrep.exe" /spath="C:\Users\stu\Documents\Analysis\2016-02-23 RTDC Observations" /stypes="*4029*20160716*" /stext=" 15:.+((prompt.+disp)|(slice.+state.+chan)|(ment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49" t="s">
        <v>478</v>
      </c>
      <c r="B59" s="7">
        <v>4030</v>
      </c>
      <c r="C59" s="26" t="s">
        <v>59</v>
      </c>
      <c r="D59" s="26" t="s">
        <v>542</v>
      </c>
      <c r="E59" s="16">
        <v>42567.420555555553</v>
      </c>
      <c r="F59" s="16">
        <v>42567.421215277776</v>
      </c>
      <c r="G59" s="7">
        <v>0</v>
      </c>
      <c r="H59" s="16" t="s">
        <v>179</v>
      </c>
      <c r="I59" s="16">
        <v>42567.450370370374</v>
      </c>
      <c r="J59" s="7">
        <v>0</v>
      </c>
      <c r="K59" s="26" t="str">
        <f t="shared" si="15"/>
        <v>4029/4030</v>
      </c>
      <c r="L59" s="26" t="str">
        <f>VLOOKUP(A59,'Trips&amp;Operators'!$C$1:$E$10000,3,FALSE)</f>
        <v>MALAVE</v>
      </c>
      <c r="M59" s="6">
        <f t="shared" si="16"/>
        <v>2.9155092597648036E-2</v>
      </c>
      <c r="N59" s="7">
        <f t="shared" si="2"/>
        <v>41.983333340613171</v>
      </c>
      <c r="O59" s="7"/>
      <c r="P59" s="7"/>
      <c r="Q59" s="27"/>
      <c r="R59" s="27"/>
      <c r="S59" s="45">
        <f t="shared" si="17"/>
        <v>1</v>
      </c>
      <c r="T59" s="69" t="str">
        <f t="shared" si="18"/>
        <v>Southbound</v>
      </c>
      <c r="U59" s="96">
        <f>COUNTIFS(Variables!$M$2:$M$19,IF(T59="NorthBound","&gt;=","&lt;=")&amp;Y59,Variables!$M$2:$M$19,IF(T59="NorthBound","&lt;=","&gt;=")&amp;Z59)</f>
        <v>12</v>
      </c>
      <c r="V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09:05:36-0600',mode:absolute,to:'2016-07-16 11:48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59" s="74" t="str">
        <f t="shared" si="20"/>
        <v>N</v>
      </c>
      <c r="X59" s="92">
        <f t="shared" si="21"/>
        <v>1</v>
      </c>
      <c r="Y59" s="89">
        <f t="shared" si="22"/>
        <v>23.295200000000001</v>
      </c>
      <c r="Z59" s="89">
        <f t="shared" si="23"/>
        <v>1.54E-2</v>
      </c>
      <c r="AA59" s="89">
        <f t="shared" si="24"/>
        <v>23.279800000000002</v>
      </c>
      <c r="AB59" s="86" t="e">
        <f>VLOOKUP(A59,Enforcements!$C$7:$J$23,8,0)</f>
        <v>#N/A</v>
      </c>
      <c r="AC59" s="82" t="e">
        <f>VLOOKUP(A59,Enforcements!$C$7:$E$23,3,0)</f>
        <v>#N/A</v>
      </c>
      <c r="AD59" s="83" t="str">
        <f t="shared" si="25"/>
        <v>0146-16</v>
      </c>
      <c r="AE59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59" s="75" t="str">
        <f t="shared" si="27"/>
        <v>"C:\Program Files (x86)\AstroGrep\AstroGrep.exe" /spath="C:\Users\stu\Documents\Analysis\2016-02-23 RTDC Observations" /stypes="*4030*20160716*"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49" t="s">
        <v>417</v>
      </c>
      <c r="B60" s="7">
        <v>4018</v>
      </c>
      <c r="C60" s="26" t="s">
        <v>59</v>
      </c>
      <c r="D60" s="26" t="s">
        <v>176</v>
      </c>
      <c r="E60" s="16">
        <v>42567.391701388886</v>
      </c>
      <c r="F60" s="16">
        <v>42567.392523148148</v>
      </c>
      <c r="G60" s="7">
        <v>1</v>
      </c>
      <c r="H60" s="16" t="s">
        <v>215</v>
      </c>
      <c r="I60" s="16">
        <v>42567.420914351853</v>
      </c>
      <c r="J60" s="7">
        <v>1</v>
      </c>
      <c r="K60" s="26" t="str">
        <f t="shared" si="15"/>
        <v>4017/4018</v>
      </c>
      <c r="L60" s="26" t="str">
        <f>VLOOKUP(A60,'Trips&amp;Operators'!$C$1:$E$10000,3,FALSE)</f>
        <v>ACKERMAN</v>
      </c>
      <c r="M60" s="6">
        <f t="shared" si="16"/>
        <v>2.8391203704813961E-2</v>
      </c>
      <c r="N60" s="7">
        <f t="shared" si="2"/>
        <v>40.883333334932104</v>
      </c>
      <c r="O60" s="7"/>
      <c r="P60" s="7"/>
      <c r="Q60" s="27"/>
      <c r="R60" s="27"/>
      <c r="S60" s="45">
        <f t="shared" si="17"/>
        <v>1</v>
      </c>
      <c r="T60" s="69" t="str">
        <f t="shared" si="18"/>
        <v>NorthBound</v>
      </c>
      <c r="U60" s="96">
        <f>COUNTIFS(Variables!$M$2:$M$19,IF(T60="NorthBound","&gt;=","&lt;=")&amp;Y60,Variables!$M$2:$M$19,IF(T60="NorthBound","&lt;=","&gt;=")&amp;Z60)</f>
        <v>12</v>
      </c>
      <c r="V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08:24:03-0600',mode:absolute,to:'2016-07-16 11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0" s="74" t="str">
        <f t="shared" si="20"/>
        <v>N</v>
      </c>
      <c r="X60" s="92">
        <f t="shared" si="21"/>
        <v>1</v>
      </c>
      <c r="Y60" s="89">
        <f t="shared" si="22"/>
        <v>4.5499999999999999E-2</v>
      </c>
      <c r="Z60" s="89">
        <f t="shared" si="23"/>
        <v>23.330400000000001</v>
      </c>
      <c r="AA60" s="89">
        <f t="shared" si="24"/>
        <v>23.2849</v>
      </c>
      <c r="AB60" s="86" t="e">
        <f>VLOOKUP(A60,Enforcements!$C$7:$J$23,8,0)</f>
        <v>#N/A</v>
      </c>
      <c r="AC60" s="82" t="e">
        <f>VLOOKUP(A60,Enforcements!$C$7:$E$23,3,0)</f>
        <v>#N/A</v>
      </c>
      <c r="AD60" s="83" t="str">
        <f t="shared" si="25"/>
        <v>0147-16</v>
      </c>
      <c r="AE60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60" s="75" t="str">
        <f t="shared" si="27"/>
        <v>"C:\Program Files (x86)\AstroGrep\AstroGrep.exe" /spath="C:\Users\stu\Documents\Analysis\2016-02-23 RTDC Observations" /stypes="*4018*20160716*"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49" t="s">
        <v>414</v>
      </c>
      <c r="B61" s="7">
        <v>4017</v>
      </c>
      <c r="C61" s="26" t="s">
        <v>59</v>
      </c>
      <c r="D61" s="26" t="s">
        <v>244</v>
      </c>
      <c r="E61" s="16">
        <v>42567.428368055553</v>
      </c>
      <c r="F61" s="16">
        <v>42567.429560185185</v>
      </c>
      <c r="G61" s="7">
        <v>1</v>
      </c>
      <c r="H61" s="16" t="s">
        <v>108</v>
      </c>
      <c r="I61" s="16">
        <v>42567.460821759261</v>
      </c>
      <c r="J61" s="7">
        <v>0</v>
      </c>
      <c r="K61" s="26" t="str">
        <f t="shared" si="15"/>
        <v>4017/4018</v>
      </c>
      <c r="L61" s="26" t="str">
        <f>VLOOKUP(A61,'Trips&amp;Operators'!$C$1:$E$10000,3,FALSE)</f>
        <v>ACKERMAN</v>
      </c>
      <c r="M61" s="6">
        <f t="shared" si="16"/>
        <v>3.1261574076779652E-2</v>
      </c>
      <c r="N61" s="7">
        <f t="shared" si="2"/>
        <v>45.016666670562699</v>
      </c>
      <c r="O61" s="7"/>
      <c r="P61" s="7"/>
      <c r="Q61" s="27"/>
      <c r="R61" s="27"/>
      <c r="S61" s="45">
        <f t="shared" si="17"/>
        <v>1</v>
      </c>
      <c r="T61" s="69" t="str">
        <f t="shared" si="18"/>
        <v>Southbound</v>
      </c>
      <c r="U61" s="96">
        <f>COUNTIFS(Variables!$M$2:$M$19,IF(T61="NorthBound","&gt;=","&lt;=")&amp;Y61,Variables!$M$2:$M$19,IF(T61="NorthBound","&lt;=","&gt;=")&amp;Z61)</f>
        <v>12</v>
      </c>
      <c r="V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09:16:51-0600',mode:absolute,to:'2016-07-16 12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1" s="74" t="str">
        <f t="shared" si="20"/>
        <v>N</v>
      </c>
      <c r="X61" s="92">
        <f t="shared" si="21"/>
        <v>1</v>
      </c>
      <c r="Y61" s="89">
        <f t="shared" si="22"/>
        <v>23.298500000000001</v>
      </c>
      <c r="Z61" s="89">
        <f t="shared" si="23"/>
        <v>1.43E-2</v>
      </c>
      <c r="AA61" s="89">
        <f t="shared" si="24"/>
        <v>23.284200000000002</v>
      </c>
      <c r="AB61" s="86" t="e">
        <f>VLOOKUP(A61,Enforcements!$C$7:$J$23,8,0)</f>
        <v>#N/A</v>
      </c>
      <c r="AC61" s="82" t="e">
        <f>VLOOKUP(A61,Enforcements!$C$7:$E$23,3,0)</f>
        <v>#N/A</v>
      </c>
      <c r="AD61" s="83" t="str">
        <f t="shared" si="25"/>
        <v>0148-16</v>
      </c>
      <c r="AE61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61" s="75" t="str">
        <f t="shared" si="27"/>
        <v>"C:\Program Files (x86)\AstroGrep\AstroGrep.exe" /spath="C:\Users\stu\Documents\Analysis\2016-02-23 RTDC Observations" /stypes="*4017*20160716*" /stext=" 17:.+((prompt.+disp)|(slice.+state.+chan)|(ment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49" t="s">
        <v>452</v>
      </c>
      <c r="B62" s="7">
        <v>4011</v>
      </c>
      <c r="C62" s="26" t="s">
        <v>59</v>
      </c>
      <c r="D62" s="26" t="s">
        <v>259</v>
      </c>
      <c r="E62" s="16">
        <v>42567.399398148147</v>
      </c>
      <c r="F62" s="16">
        <v>42567.400555555556</v>
      </c>
      <c r="G62" s="7">
        <v>1</v>
      </c>
      <c r="H62" s="16" t="s">
        <v>543</v>
      </c>
      <c r="I62" s="16">
        <v>42567.431481481479</v>
      </c>
      <c r="J62" s="7">
        <v>0</v>
      </c>
      <c r="K62" s="26" t="str">
        <f t="shared" si="15"/>
        <v>4011/4012</v>
      </c>
      <c r="L62" s="26" t="str">
        <f>VLOOKUP(A62,'Trips&amp;Operators'!$C$1:$E$10000,3,FALSE)</f>
        <v>NELSON</v>
      </c>
      <c r="M62" s="6">
        <f t="shared" si="16"/>
        <v>3.0925925922929309E-2</v>
      </c>
      <c r="N62" s="7">
        <f t="shared" si="2"/>
        <v>44.533333329018205</v>
      </c>
      <c r="O62" s="7"/>
      <c r="P62" s="7"/>
      <c r="Q62" s="27"/>
      <c r="R62" s="27"/>
      <c r="S62" s="45">
        <f t="shared" si="17"/>
        <v>1</v>
      </c>
      <c r="T62" s="69" t="str">
        <f t="shared" si="18"/>
        <v>NorthBound</v>
      </c>
      <c r="U62" s="96">
        <f>COUNTIFS(Variables!$M$2:$M$19,IF(T62="NorthBound","&gt;=","&lt;=")&amp;Y62,Variables!$M$2:$M$19,IF(T62="NorthBound","&lt;=","&gt;=")&amp;Z62)</f>
        <v>12</v>
      </c>
      <c r="V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08:35:08-0600',mode:absolute,to:'2016-07-16 11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2" s="74" t="str">
        <f t="shared" si="20"/>
        <v>N</v>
      </c>
      <c r="X62" s="92">
        <f t="shared" si="21"/>
        <v>1</v>
      </c>
      <c r="Y62" s="89">
        <f t="shared" si="22"/>
        <v>4.4900000000000002E-2</v>
      </c>
      <c r="Z62" s="89">
        <f t="shared" si="23"/>
        <v>23.3337</v>
      </c>
      <c r="AA62" s="89">
        <f t="shared" si="24"/>
        <v>23.288800000000002</v>
      </c>
      <c r="AB62" s="86" t="e">
        <f>VLOOKUP(A62,Enforcements!$C$7:$J$23,8,0)</f>
        <v>#N/A</v>
      </c>
      <c r="AC62" s="82" t="e">
        <f>VLOOKUP(A62,Enforcements!$C$7:$E$23,3,0)</f>
        <v>#N/A</v>
      </c>
      <c r="AD62" s="83" t="str">
        <f t="shared" si="25"/>
        <v>0149-16</v>
      </c>
      <c r="AE62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62" s="75" t="str">
        <f t="shared" si="27"/>
        <v>"C:\Program Files (x86)\AstroGrep\AstroGrep.exe" /spath="C:\Users\stu\Documents\Analysis\2016-02-23 RTDC Observations" /stypes="*4011*20160716*"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49" t="s">
        <v>482</v>
      </c>
      <c r="B63" s="7">
        <v>4012</v>
      </c>
      <c r="C63" s="26" t="s">
        <v>59</v>
      </c>
      <c r="D63" s="26" t="s">
        <v>348</v>
      </c>
      <c r="E63" s="16">
        <v>42567.441030092596</v>
      </c>
      <c r="F63" s="16">
        <v>42567.44195601852</v>
      </c>
      <c r="G63" s="7">
        <v>1</v>
      </c>
      <c r="H63" s="16" t="s">
        <v>213</v>
      </c>
      <c r="I63" s="16">
        <v>42567.47084490741</v>
      </c>
      <c r="J63" s="7">
        <v>0</v>
      </c>
      <c r="K63" s="26" t="str">
        <f t="shared" si="15"/>
        <v>4011/4012</v>
      </c>
      <c r="L63" s="26" t="str">
        <f>VLOOKUP(A63,'Trips&amp;Operators'!$C$1:$E$10000,3,FALSE)</f>
        <v>NELSON</v>
      </c>
      <c r="M63" s="6">
        <f t="shared" si="16"/>
        <v>2.8888888889923692E-2</v>
      </c>
      <c r="N63" s="7">
        <f t="shared" si="2"/>
        <v>41.600000001490116</v>
      </c>
      <c r="O63" s="7"/>
      <c r="P63" s="7"/>
      <c r="Q63" s="27"/>
      <c r="R63" s="27"/>
      <c r="S63" s="45">
        <f t="shared" si="17"/>
        <v>1</v>
      </c>
      <c r="T63" s="69" t="str">
        <f t="shared" si="18"/>
        <v>Southbound</v>
      </c>
      <c r="U63" s="96">
        <f>COUNTIFS(Variables!$M$2:$M$19,IF(T63="NorthBound","&gt;=","&lt;=")&amp;Y63,Variables!$M$2:$M$19,IF(T63="NorthBound","&lt;=","&gt;=")&amp;Z63)</f>
        <v>12</v>
      </c>
      <c r="V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09:35:05-0600',mode:absolute,to:'2016-07-16 12:18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3" s="74" t="str">
        <f t="shared" si="20"/>
        <v>N</v>
      </c>
      <c r="X63" s="92">
        <f t="shared" si="21"/>
        <v>1</v>
      </c>
      <c r="Y63" s="89">
        <f t="shared" si="22"/>
        <v>23.2988</v>
      </c>
      <c r="Z63" s="89">
        <f t="shared" si="23"/>
        <v>1.41E-2</v>
      </c>
      <c r="AA63" s="89">
        <f t="shared" si="24"/>
        <v>23.284700000000001</v>
      </c>
      <c r="AB63" s="86" t="e">
        <f>VLOOKUP(A63,Enforcements!$C$7:$J$23,8,0)</f>
        <v>#N/A</v>
      </c>
      <c r="AC63" s="82" t="e">
        <f>VLOOKUP(A63,Enforcements!$C$7:$E$23,3,0)</f>
        <v>#N/A</v>
      </c>
      <c r="AD63" s="83" t="str">
        <f t="shared" si="25"/>
        <v>0150-16</v>
      </c>
      <c r="AE63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63" s="75" t="str">
        <f t="shared" si="27"/>
        <v>"C:\Program Files (x86)\AstroGrep\AstroGrep.exe" /spath="C:\Users\stu\Documents\Analysis\2016-02-23 RTDC Observations" /stypes="*4012*20160716*" /stext=" 17:.+((prompt.+disp)|(slice.+state.+chan)|(ment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49" t="s">
        <v>384</v>
      </c>
      <c r="B64" s="7">
        <v>4042</v>
      </c>
      <c r="C64" s="26" t="s">
        <v>59</v>
      </c>
      <c r="D64" s="26" t="s">
        <v>70</v>
      </c>
      <c r="E64" s="16">
        <v>42567.413356481484</v>
      </c>
      <c r="F64" s="16">
        <v>42567.416805555556</v>
      </c>
      <c r="G64" s="7">
        <v>4</v>
      </c>
      <c r="H64" s="16" t="s">
        <v>347</v>
      </c>
      <c r="I64" s="16">
        <v>42567.441377314812</v>
      </c>
      <c r="J64" s="7">
        <v>0</v>
      </c>
      <c r="K64" s="26" t="str">
        <f t="shared" si="15"/>
        <v>4041/4042</v>
      </c>
      <c r="L64" s="26" t="str">
        <f>VLOOKUP(A64,'Trips&amp;Operators'!$C$1:$E$10000,3,FALSE)</f>
        <v>BRANNON</v>
      </c>
      <c r="M64" s="6">
        <f t="shared" si="16"/>
        <v>2.4571759255195502E-2</v>
      </c>
      <c r="N64" s="7">
        <f t="shared" si="2"/>
        <v>35.383333327481523</v>
      </c>
      <c r="O64" s="7"/>
      <c r="P64" s="7"/>
      <c r="Q64" s="27"/>
      <c r="R64" s="27"/>
      <c r="S64" s="45">
        <f t="shared" si="17"/>
        <v>1</v>
      </c>
      <c r="T64" s="69" t="str">
        <f t="shared" si="18"/>
        <v>NorthBound</v>
      </c>
      <c r="U64" s="96">
        <f>COUNTIFS(Variables!$M$2:$M$19,IF(T64="NorthBound","&gt;=","&lt;=")&amp;Y64,Variables!$M$2:$M$19,IF(T64="NorthBound","&lt;=","&gt;=")&amp;Z64)</f>
        <v>12</v>
      </c>
      <c r="V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08:55:14-0600',mode:absolute,to:'2016-07-16 11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4" s="74" t="str">
        <f t="shared" si="20"/>
        <v>N</v>
      </c>
      <c r="X64" s="92">
        <f t="shared" si="21"/>
        <v>1</v>
      </c>
      <c r="Y64" s="89">
        <f t="shared" si="22"/>
        <v>4.5699999999999998E-2</v>
      </c>
      <c r="Z64" s="89">
        <f t="shared" si="23"/>
        <v>23.331700000000001</v>
      </c>
      <c r="AA64" s="89">
        <f t="shared" si="24"/>
        <v>23.286000000000001</v>
      </c>
      <c r="AB64" s="86" t="e">
        <f>VLOOKUP(A64,Enforcements!$C$7:$J$23,8,0)</f>
        <v>#N/A</v>
      </c>
      <c r="AC64" s="82" t="e">
        <f>VLOOKUP(A64,Enforcements!$C$7:$E$23,3,0)</f>
        <v>#N/A</v>
      </c>
      <c r="AD64" s="83" t="str">
        <f t="shared" si="25"/>
        <v>0151-16</v>
      </c>
      <c r="AE64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64" s="75" t="str">
        <f t="shared" si="27"/>
        <v>"C:\Program Files (x86)\AstroGrep\AstroGrep.exe" /spath="C:\Users\stu\Documents\Analysis\2016-02-23 RTDC Observations" /stypes="*4042*20160716*" /stext=" 16:.+((prompt.+disp)|(slice.+state.+chan)|(ment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49" t="s">
        <v>411</v>
      </c>
      <c r="B65" s="7">
        <v>4041</v>
      </c>
      <c r="C65" s="26" t="s">
        <v>59</v>
      </c>
      <c r="D65" s="26" t="s">
        <v>200</v>
      </c>
      <c r="E65" s="16">
        <v>42567.448495370372</v>
      </c>
      <c r="F65" s="16">
        <v>42567.449259259258</v>
      </c>
      <c r="G65" s="7">
        <v>1</v>
      </c>
      <c r="H65" s="16" t="s">
        <v>190</v>
      </c>
      <c r="I65" s="16">
        <v>42567.480740740742</v>
      </c>
      <c r="J65" s="7">
        <v>0</v>
      </c>
      <c r="K65" s="26" t="str">
        <f t="shared" si="15"/>
        <v>4041/4042</v>
      </c>
      <c r="L65" s="26" t="str">
        <f>VLOOKUP(A65,'Trips&amp;Operators'!$C$1:$E$10000,3,FALSE)</f>
        <v>BRANNON</v>
      </c>
      <c r="M65" s="6">
        <f t="shared" si="16"/>
        <v>3.1481481484661344E-2</v>
      </c>
      <c r="N65" s="7">
        <f t="shared" si="2"/>
        <v>45.333333337912336</v>
      </c>
      <c r="O65" s="7"/>
      <c r="P65" s="7"/>
      <c r="Q65" s="27"/>
      <c r="R65" s="27"/>
      <c r="S65" s="45">
        <f t="shared" si="17"/>
        <v>1</v>
      </c>
      <c r="T65" s="69" t="str">
        <f t="shared" si="18"/>
        <v>Southbound</v>
      </c>
      <c r="U65" s="96">
        <f>COUNTIFS(Variables!$M$2:$M$19,IF(T65="NorthBound","&gt;=","&lt;=")&amp;Y65,Variables!$M$2:$M$19,IF(T65="NorthBound","&lt;=","&gt;=")&amp;Z65)</f>
        <v>12</v>
      </c>
      <c r="V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09:45:50-0600',mode:absolute,to:'2016-07-16 12:32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5" s="74" t="str">
        <f t="shared" si="20"/>
        <v>N</v>
      </c>
      <c r="X65" s="92">
        <f t="shared" si="21"/>
        <v>1</v>
      </c>
      <c r="Y65" s="89">
        <f t="shared" si="22"/>
        <v>23.299399999999999</v>
      </c>
      <c r="Z65" s="89">
        <f t="shared" si="23"/>
        <v>1.47E-2</v>
      </c>
      <c r="AA65" s="89">
        <f t="shared" si="24"/>
        <v>23.284699999999997</v>
      </c>
      <c r="AB65" s="86" t="e">
        <f>VLOOKUP(A65,Enforcements!$C$7:$J$23,8,0)</f>
        <v>#N/A</v>
      </c>
      <c r="AC65" s="82" t="e">
        <f>VLOOKUP(A65,Enforcements!$C$7:$E$23,3,0)</f>
        <v>#N/A</v>
      </c>
      <c r="AD65" s="83" t="str">
        <f t="shared" si="25"/>
        <v>0152-16</v>
      </c>
      <c r="AE65" s="75" t="str">
        <f t="shared" si="26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65" s="75" t="str">
        <f t="shared" si="27"/>
        <v>"C:\Program Files (x86)\AstroGrep\AstroGrep.exe" /spath="C:\Users\stu\Documents\Analysis\2016-02-23 RTDC Observations" /stypes="*4041*20160716*" /stext=" 17:.+((prompt.+disp)|(slice.+state.+chan)|(ment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x14ac:dyDescent="0.25">
      <c r="A66" s="49" t="s">
        <v>480</v>
      </c>
      <c r="B66" s="7">
        <v>4014</v>
      </c>
      <c r="C66" s="26" t="s">
        <v>59</v>
      </c>
      <c r="D66" s="26" t="s">
        <v>259</v>
      </c>
      <c r="E66" s="16">
        <v>42567.423657407409</v>
      </c>
      <c r="F66" s="16">
        <v>42567.424629629626</v>
      </c>
      <c r="G66" s="7">
        <v>1</v>
      </c>
      <c r="H66" s="16" t="s">
        <v>183</v>
      </c>
      <c r="I66" s="16">
        <v>42567.451504629629</v>
      </c>
      <c r="J66" s="7">
        <v>0</v>
      </c>
      <c r="K66" s="26" t="str">
        <f t="shared" si="15"/>
        <v>4013/4014</v>
      </c>
      <c r="L66" s="26" t="str">
        <f>VLOOKUP(A66,'Trips&amp;Operators'!$C$1:$E$10000,3,FALSE)</f>
        <v>GEBRETEKLE</v>
      </c>
      <c r="M66" s="6">
        <f t="shared" si="16"/>
        <v>2.6875000003201421E-2</v>
      </c>
      <c r="N66" s="7">
        <f t="shared" si="2"/>
        <v>38.700000004610047</v>
      </c>
      <c r="O66" s="7"/>
      <c r="P66" s="7"/>
      <c r="Q66" s="27"/>
      <c r="R66" s="27"/>
      <c r="S66" s="45">
        <f t="shared" si="17"/>
        <v>1</v>
      </c>
      <c r="T66" s="69" t="str">
        <f t="shared" si="18"/>
        <v>NorthBound</v>
      </c>
      <c r="U66" s="96">
        <f>COUNTIFS(Variables!$M$2:$M$19,IF(T66="NorthBound","&gt;=","&lt;=")&amp;Y66,Variables!$M$2:$M$19,IF(T66="NorthBound","&lt;=","&gt;=")&amp;Z66)</f>
        <v>12</v>
      </c>
      <c r="V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09:10:04-0600',mode:absolute,to:'2016-07-16 11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6" s="74" t="str">
        <f t="shared" si="20"/>
        <v>N</v>
      </c>
      <c r="X66" s="92">
        <f t="shared" si="21"/>
        <v>1</v>
      </c>
      <c r="Y66" s="89">
        <f t="shared" si="22"/>
        <v>4.4900000000000002E-2</v>
      </c>
      <c r="Z66" s="89">
        <f t="shared" si="23"/>
        <v>23.329499999999999</v>
      </c>
      <c r="AA66" s="89">
        <f t="shared" si="24"/>
        <v>23.284600000000001</v>
      </c>
      <c r="AB66" s="86" t="e">
        <f>VLOOKUP(A66,Enforcements!$C$7:$J$23,8,0)</f>
        <v>#N/A</v>
      </c>
      <c r="AC66" s="82" t="e">
        <f>VLOOKUP(A66,Enforcements!$C$7:$E$23,3,0)</f>
        <v>#N/A</v>
      </c>
      <c r="AD66" s="83" t="str">
        <f t="shared" si="25"/>
        <v>0153-16</v>
      </c>
      <c r="AE66" s="75" t="str">
        <f t="shared" si="26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66" s="75" t="str">
        <f t="shared" si="27"/>
        <v>"C:\Program Files (x86)\AstroGrep\AstroGrep.exe" /spath="C:\Users\stu\Documents\Analysis\2016-02-23 RTDC Observations" /stypes="*4014*20160716*" /stext=" 16:.+((prompt.+disp)|(slice.+state.+chan)|(ment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49" t="s">
        <v>457</v>
      </c>
      <c r="B67" s="7">
        <v>4013</v>
      </c>
      <c r="C67" s="26" t="s">
        <v>59</v>
      </c>
      <c r="D67" s="26" t="s">
        <v>229</v>
      </c>
      <c r="E67" s="16">
        <v>42567.463449074072</v>
      </c>
      <c r="F67" s="16">
        <v>42567.464201388888</v>
      </c>
      <c r="G67" s="7">
        <v>1</v>
      </c>
      <c r="H67" s="16" t="s">
        <v>136</v>
      </c>
      <c r="I67" s="16">
        <v>42567.491273148145</v>
      </c>
      <c r="J67" s="7">
        <v>0</v>
      </c>
      <c r="K67" s="26" t="str">
        <f t="shared" si="15"/>
        <v>4013/4014</v>
      </c>
      <c r="L67" s="26" t="str">
        <f>VLOOKUP(A67,'Trips&amp;Operators'!$C$1:$E$10000,3,FALSE)</f>
        <v>GEBRETEKLE</v>
      </c>
      <c r="M67" s="6">
        <f t="shared" si="16"/>
        <v>2.7071759257523809E-2</v>
      </c>
      <c r="N67" s="7">
        <f t="shared" si="2"/>
        <v>38.983333330834284</v>
      </c>
      <c r="O67" s="7"/>
      <c r="P67" s="7"/>
      <c r="Q67" s="27"/>
      <c r="R67" s="27"/>
      <c r="S67" s="45">
        <f t="shared" si="17"/>
        <v>1</v>
      </c>
      <c r="T67" s="69" t="str">
        <f t="shared" si="18"/>
        <v>Southbound</v>
      </c>
      <c r="U67" s="96">
        <f>COUNTIFS(Variables!$M$2:$M$19,IF(T67="NorthBound","&gt;=","&lt;=")&amp;Y67,Variables!$M$2:$M$19,IF(T67="NorthBound","&lt;=","&gt;=")&amp;Z67)</f>
        <v>12</v>
      </c>
      <c r="V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10:07:22-0600',mode:absolute,to:'2016-07-16 12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7" s="74" t="str">
        <f t="shared" si="20"/>
        <v>N</v>
      </c>
      <c r="X67" s="92">
        <f t="shared" si="21"/>
        <v>1</v>
      </c>
      <c r="Y67" s="89">
        <f t="shared" si="22"/>
        <v>23.2971</v>
      </c>
      <c r="Z67" s="89">
        <f t="shared" si="23"/>
        <v>1.61E-2</v>
      </c>
      <c r="AA67" s="89">
        <f t="shared" si="24"/>
        <v>23.280999999999999</v>
      </c>
      <c r="AB67" s="86" t="e">
        <f>VLOOKUP(A67,Enforcements!$C$7:$J$23,8,0)</f>
        <v>#N/A</v>
      </c>
      <c r="AC67" s="82" t="e">
        <f>VLOOKUP(A67,Enforcements!$C$7:$E$23,3,0)</f>
        <v>#N/A</v>
      </c>
      <c r="AD67" s="83" t="str">
        <f t="shared" si="25"/>
        <v>0154-16</v>
      </c>
      <c r="AE67" s="75" t="str">
        <f t="shared" si="26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67" s="75" t="str">
        <f t="shared" si="27"/>
        <v>"C:\Program Files (x86)\AstroGrep\AstroGrep.exe" /spath="C:\Users\stu\Documents\Analysis\2016-02-23 RTDC Observations" /stypes="*4013*20160716*" /stext=" 17:.+((prompt.+disp)|(slice.+state.+chan)|(ment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x14ac:dyDescent="0.25">
      <c r="A68" s="49" t="s">
        <v>456</v>
      </c>
      <c r="B68" s="7">
        <v>4020</v>
      </c>
      <c r="C68" s="26" t="s">
        <v>59</v>
      </c>
      <c r="D68" s="26" t="s">
        <v>544</v>
      </c>
      <c r="E68" s="16">
        <v>42567.432060185187</v>
      </c>
      <c r="F68" s="16">
        <v>42567.433344907404</v>
      </c>
      <c r="G68" s="7">
        <v>1</v>
      </c>
      <c r="H68" s="16" t="s">
        <v>223</v>
      </c>
      <c r="I68" s="16">
        <v>42567.461516203701</v>
      </c>
      <c r="J68" s="7">
        <v>1</v>
      </c>
      <c r="K68" s="26" t="str">
        <f t="shared" si="15"/>
        <v>4019/4020</v>
      </c>
      <c r="L68" s="26" t="str">
        <f>VLOOKUP(A68,'Trips&amp;Operators'!$C$1:$E$10000,3,FALSE)</f>
        <v>BEAM</v>
      </c>
      <c r="M68" s="6">
        <f t="shared" si="16"/>
        <v>2.8171296296932269E-2</v>
      </c>
      <c r="N68" s="7">
        <f t="shared" si="2"/>
        <v>40.566666667582467</v>
      </c>
      <c r="O68" s="7"/>
      <c r="P68" s="7"/>
      <c r="Q68" s="27"/>
      <c r="R68" s="27"/>
      <c r="S68" s="45">
        <f t="shared" si="17"/>
        <v>1</v>
      </c>
      <c r="T68" s="69" t="str">
        <f t="shared" si="18"/>
        <v>NorthBound</v>
      </c>
      <c r="U68" s="96">
        <f>COUNTIFS(Variables!$M$2:$M$19,IF(T68="NorthBound","&gt;=","&lt;=")&amp;Y68,Variables!$M$2:$M$19,IF(T68="NorthBound","&lt;=","&gt;=")&amp;Z68)</f>
        <v>12</v>
      </c>
      <c r="V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09:22:10-0600',mode:absolute,to:'2016-07-16 12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8" s="74" t="str">
        <f t="shared" si="20"/>
        <v>N</v>
      </c>
      <c r="X68" s="92">
        <f t="shared" si="21"/>
        <v>1</v>
      </c>
      <c r="Y68" s="89">
        <f t="shared" si="22"/>
        <v>5.28E-2</v>
      </c>
      <c r="Z68" s="89">
        <f t="shared" si="23"/>
        <v>23.3306</v>
      </c>
      <c r="AA68" s="89">
        <f t="shared" si="24"/>
        <v>23.277799999999999</v>
      </c>
      <c r="AB68" s="86" t="e">
        <f>VLOOKUP(A68,Enforcements!$C$7:$J$23,8,0)</f>
        <v>#N/A</v>
      </c>
      <c r="AC68" s="82" t="e">
        <f>VLOOKUP(A68,Enforcements!$C$7:$E$23,3,0)</f>
        <v>#N/A</v>
      </c>
      <c r="AD68" s="83" t="str">
        <f t="shared" si="25"/>
        <v>0155-16</v>
      </c>
      <c r="AE68" s="75" t="str">
        <f t="shared" si="26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68" s="75" t="str">
        <f t="shared" si="27"/>
        <v>"C:\Program Files (x86)\AstroGrep\AstroGrep.exe" /spath="C:\Users\stu\Documents\Analysis\2016-02-23 RTDC Observations" /stypes="*4020*20160716*" /stext=" 17:.+((prompt.+disp)|(slice.+state.+chan)|(ment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49" t="s">
        <v>484</v>
      </c>
      <c r="B69" s="7">
        <v>4019</v>
      </c>
      <c r="C69" s="26" t="s">
        <v>59</v>
      </c>
      <c r="D69" s="26" t="s">
        <v>196</v>
      </c>
      <c r="E69" s="16">
        <v>42567.474733796298</v>
      </c>
      <c r="F69" s="16">
        <v>42567.475601851853</v>
      </c>
      <c r="G69" s="7">
        <v>1</v>
      </c>
      <c r="H69" s="16" t="s">
        <v>60</v>
      </c>
      <c r="I69" s="16">
        <v>42567.501643518517</v>
      </c>
      <c r="J69" s="7">
        <v>1</v>
      </c>
      <c r="K69" s="26" t="str">
        <f t="shared" si="15"/>
        <v>4019/4020</v>
      </c>
      <c r="L69" s="26" t="str">
        <f>VLOOKUP(A69,'Trips&amp;Operators'!$C$1:$E$10000,3,FALSE)</f>
        <v>BEAM</v>
      </c>
      <c r="M69" s="6">
        <f t="shared" si="16"/>
        <v>2.6041666664241347E-2</v>
      </c>
      <c r="N69" s="7">
        <f t="shared" si="2"/>
        <v>37.49999999650754</v>
      </c>
      <c r="O69" s="7"/>
      <c r="P69" s="7"/>
      <c r="Q69" s="27"/>
      <c r="R69" s="27"/>
      <c r="S69" s="45">
        <f t="shared" si="17"/>
        <v>1</v>
      </c>
      <c r="T69" s="69" t="str">
        <f t="shared" si="18"/>
        <v>Southbound</v>
      </c>
      <c r="U69" s="96">
        <f>COUNTIFS(Variables!$M$2:$M$19,IF(T69="NorthBound","&gt;=","&lt;=")&amp;Y69,Variables!$M$2:$M$19,IF(T69="NorthBound","&lt;=","&gt;=")&amp;Z69)</f>
        <v>12</v>
      </c>
      <c r="V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10:23:37-0600',mode:absolute,to:'2016-07-16 13:02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9" s="74" t="str">
        <f t="shared" si="20"/>
        <v>N</v>
      </c>
      <c r="X69" s="92">
        <f t="shared" si="21"/>
        <v>1</v>
      </c>
      <c r="Y69" s="89">
        <f t="shared" si="22"/>
        <v>23.299299999999999</v>
      </c>
      <c r="Z69" s="89">
        <f t="shared" si="23"/>
        <v>1.4500000000000001E-2</v>
      </c>
      <c r="AA69" s="89">
        <f t="shared" si="24"/>
        <v>23.284799999999997</v>
      </c>
      <c r="AB69" s="86" t="e">
        <f>VLOOKUP(A69,Enforcements!$C$7:$J$23,8,0)</f>
        <v>#N/A</v>
      </c>
      <c r="AC69" s="82" t="e">
        <f>VLOOKUP(A69,Enforcements!$C$7:$E$23,3,0)</f>
        <v>#N/A</v>
      </c>
      <c r="AD69" s="83" t="str">
        <f t="shared" si="25"/>
        <v>0156-16</v>
      </c>
      <c r="AE69" s="75" t="str">
        <f t="shared" si="26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69" s="75" t="str">
        <f t="shared" si="27"/>
        <v>"C:\Program Files (x86)\AstroGrep\AstroGrep.exe" /spath="C:\Users\stu\Documents\Analysis\2016-02-23 RTDC Observations" /stypes="*4019*20160716*" /stext=" 18:.+((prompt.+disp)|(slice.+state.+chan)|(ment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x14ac:dyDescent="0.25">
      <c r="A70" s="49" t="s">
        <v>387</v>
      </c>
      <c r="B70" s="7">
        <v>4040</v>
      </c>
      <c r="C70" s="26" t="s">
        <v>59</v>
      </c>
      <c r="D70" s="26" t="s">
        <v>170</v>
      </c>
      <c r="E70" s="16">
        <v>42567.440763888888</v>
      </c>
      <c r="F70" s="16">
        <v>42567.441689814812</v>
      </c>
      <c r="G70" s="7">
        <v>1</v>
      </c>
      <c r="H70" s="16" t="s">
        <v>248</v>
      </c>
      <c r="I70" s="16">
        <v>42567.472268518519</v>
      </c>
      <c r="J70" s="7">
        <v>0</v>
      </c>
      <c r="K70" s="26" t="str">
        <f t="shared" si="15"/>
        <v>4039/4040</v>
      </c>
      <c r="L70" s="26" t="str">
        <f>VLOOKUP(A70,'Trips&amp;Operators'!$C$1:$E$10000,3,FALSE)</f>
        <v>YORK</v>
      </c>
      <c r="M70" s="6">
        <f t="shared" si="16"/>
        <v>3.0578703706851229E-2</v>
      </c>
      <c r="N70" s="7">
        <f t="shared" si="2"/>
        <v>44.03333333786577</v>
      </c>
      <c r="O70" s="7"/>
      <c r="P70" s="7"/>
      <c r="Q70" s="27"/>
      <c r="R70" s="27"/>
      <c r="S70" s="45">
        <f t="shared" si="17"/>
        <v>1</v>
      </c>
      <c r="T70" s="69" t="str">
        <f t="shared" si="18"/>
        <v>NorthBound</v>
      </c>
      <c r="U70" s="96">
        <f>COUNTIFS(Variables!$M$2:$M$19,IF(T70="NorthBound","&gt;=","&lt;=")&amp;Y70,Variables!$M$2:$M$19,IF(T70="NorthBound","&lt;=","&gt;=")&amp;Z70)</f>
        <v>12</v>
      </c>
      <c r="V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09:34:42-0600',mode:absolute,to:'2016-07-16 12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0" s="74" t="str">
        <f t="shared" si="20"/>
        <v>N</v>
      </c>
      <c r="X70" s="92">
        <f t="shared" si="21"/>
        <v>1</v>
      </c>
      <c r="Y70" s="89">
        <f t="shared" si="22"/>
        <v>4.53E-2</v>
      </c>
      <c r="Z70" s="89">
        <f t="shared" si="23"/>
        <v>23.3293</v>
      </c>
      <c r="AA70" s="89">
        <f t="shared" si="24"/>
        <v>23.283999999999999</v>
      </c>
      <c r="AB70" s="86" t="e">
        <f>VLOOKUP(A70,Enforcements!$C$7:$J$23,8,0)</f>
        <v>#N/A</v>
      </c>
      <c r="AC70" s="82" t="e">
        <f>VLOOKUP(A70,Enforcements!$C$7:$E$23,3,0)</f>
        <v>#N/A</v>
      </c>
      <c r="AD70" s="83" t="str">
        <f t="shared" si="25"/>
        <v>0157-16</v>
      </c>
      <c r="AE70" s="75" t="str">
        <f t="shared" si="26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70" s="75" t="str">
        <f t="shared" si="27"/>
        <v>"C:\Program Files (x86)\AstroGrep\AstroGrep.exe" /spath="C:\Users\stu\Documents\Analysis\2016-02-23 RTDC Observations" /stypes="*4040*20160716*" /stext=" 17:.+((prompt.+disp)|(slice.+state.+chan)|(ment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49" t="s">
        <v>409</v>
      </c>
      <c r="B71" s="7">
        <v>4039</v>
      </c>
      <c r="C71" s="26" t="s">
        <v>59</v>
      </c>
      <c r="D71" s="26" t="s">
        <v>217</v>
      </c>
      <c r="E71" s="16">
        <v>42567.473854166667</v>
      </c>
      <c r="F71" s="16">
        <v>42567.474537037036</v>
      </c>
      <c r="G71" s="7">
        <v>0</v>
      </c>
      <c r="H71" s="16" t="s">
        <v>61</v>
      </c>
      <c r="I71" s="16">
        <v>42567.51190972222</v>
      </c>
      <c r="J71" s="7">
        <v>0</v>
      </c>
      <c r="K71" s="26" t="str">
        <f t="shared" si="15"/>
        <v>4039/4040</v>
      </c>
      <c r="L71" s="26" t="str">
        <f>VLOOKUP(A71,'Trips&amp;Operators'!$C$1:$E$10000,3,FALSE)</f>
        <v>YORK</v>
      </c>
      <c r="M71" s="6">
        <f t="shared" si="16"/>
        <v>3.7372685183072463E-2</v>
      </c>
      <c r="N71" s="7">
        <f t="shared" si="2"/>
        <v>53.816666663624346</v>
      </c>
      <c r="O71" s="7"/>
      <c r="P71" s="7"/>
      <c r="Q71" s="27"/>
      <c r="R71" s="27"/>
      <c r="S71" s="45">
        <f t="shared" si="17"/>
        <v>1</v>
      </c>
      <c r="T71" s="69" t="str">
        <f t="shared" si="18"/>
        <v>Southbound</v>
      </c>
      <c r="U71" s="96">
        <f>COUNTIFS(Variables!$M$2:$M$19,IF(T71="NorthBound","&gt;=","&lt;=")&amp;Y71,Variables!$M$2:$M$19,IF(T71="NorthBound","&lt;=","&gt;=")&amp;Z71)</f>
        <v>12</v>
      </c>
      <c r="V7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10:22:21-0600',mode:absolute,to:'2016-07-16 13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1" s="74" t="str">
        <f t="shared" si="20"/>
        <v>N</v>
      </c>
      <c r="X71" s="92">
        <f t="shared" si="21"/>
        <v>1</v>
      </c>
      <c r="Y71" s="89">
        <f t="shared" si="22"/>
        <v>23.296099999999999</v>
      </c>
      <c r="Z71" s="89">
        <f t="shared" si="23"/>
        <v>1.52E-2</v>
      </c>
      <c r="AA71" s="89">
        <f t="shared" si="24"/>
        <v>23.280899999999999</v>
      </c>
      <c r="AB71" s="86" t="e">
        <f>VLOOKUP(A71,Enforcements!$C$7:$J$23,8,0)</f>
        <v>#N/A</v>
      </c>
      <c r="AC71" s="82" t="e">
        <f>VLOOKUP(A71,Enforcements!$C$7:$E$23,3,0)</f>
        <v>#N/A</v>
      </c>
      <c r="AD71" s="83" t="str">
        <f t="shared" si="25"/>
        <v>0158-16</v>
      </c>
      <c r="AE71" s="75" t="str">
        <f t="shared" si="26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71" s="75" t="str">
        <f t="shared" si="27"/>
        <v>"C:\Program Files (x86)\AstroGrep\AstroGrep.exe" /spath="C:\Users\stu\Documents\Analysis\2016-02-23 RTDC Observations" /stypes="*4039*20160716*" /stext=" 18:.+((prompt.+disp)|(slice.+state.+chan)|(ment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49" t="s">
        <v>389</v>
      </c>
      <c r="B72" s="7">
        <v>4029</v>
      </c>
      <c r="C72" s="26" t="s">
        <v>59</v>
      </c>
      <c r="D72" s="26" t="s">
        <v>346</v>
      </c>
      <c r="E72" s="16">
        <v>42567.455000000002</v>
      </c>
      <c r="F72" s="16">
        <v>42567.455868055556</v>
      </c>
      <c r="G72" s="7">
        <v>1</v>
      </c>
      <c r="H72" s="16" t="s">
        <v>223</v>
      </c>
      <c r="I72" s="16">
        <v>42567.483657407407</v>
      </c>
      <c r="J72" s="7">
        <v>0</v>
      </c>
      <c r="K72" s="26" t="str">
        <f t="shared" si="15"/>
        <v>4029/4030</v>
      </c>
      <c r="L72" s="26" t="str">
        <f>VLOOKUP(A72,'Trips&amp;Operators'!$C$1:$E$10000,3,FALSE)</f>
        <v>STEWART</v>
      </c>
      <c r="M72" s="6">
        <f t="shared" si="16"/>
        <v>2.7789351850515231E-2</v>
      </c>
      <c r="N72" s="7">
        <f t="shared" si="2"/>
        <v>40.016666664741933</v>
      </c>
      <c r="O72" s="7"/>
      <c r="P72" s="7"/>
      <c r="Q72" s="27"/>
      <c r="R72" s="27"/>
      <c r="S72" s="45">
        <f t="shared" si="17"/>
        <v>1</v>
      </c>
      <c r="T72" s="69" t="str">
        <f t="shared" si="18"/>
        <v>NorthBound</v>
      </c>
      <c r="U72" s="96">
        <f>COUNTIFS(Variables!$M$2:$M$19,IF(T72="NorthBound","&gt;=","&lt;=")&amp;Y72,Variables!$M$2:$M$19,IF(T72="NorthBound","&lt;=","&gt;=")&amp;Z72)</f>
        <v>12</v>
      </c>
      <c r="V7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09:55:12-0600',mode:absolute,to:'2016-07-16 12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2" s="74" t="str">
        <f t="shared" si="20"/>
        <v>N</v>
      </c>
      <c r="X72" s="92">
        <f t="shared" si="21"/>
        <v>1</v>
      </c>
      <c r="Y72" s="89">
        <f t="shared" si="22"/>
        <v>4.7300000000000002E-2</v>
      </c>
      <c r="Z72" s="89">
        <f t="shared" si="23"/>
        <v>23.3306</v>
      </c>
      <c r="AA72" s="89">
        <f t="shared" si="24"/>
        <v>23.283300000000001</v>
      </c>
      <c r="AB72" s="86" t="e">
        <f>VLOOKUP(A72,Enforcements!$C$7:$J$23,8,0)</f>
        <v>#N/A</v>
      </c>
      <c r="AC72" s="82" t="e">
        <f>VLOOKUP(A72,Enforcements!$C$7:$E$23,3,0)</f>
        <v>#N/A</v>
      </c>
      <c r="AD72" s="83" t="str">
        <f t="shared" si="25"/>
        <v>0159-16</v>
      </c>
      <c r="AE72" s="75" t="str">
        <f t="shared" si="26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72" s="75" t="str">
        <f t="shared" si="27"/>
        <v>"C:\Program Files (x86)\AstroGrep\AstroGrep.exe" /spath="C:\Users\stu\Documents\Analysis\2016-02-23 RTDC Observations" /stypes="*4029*20160716*" /stext=" 17:.+((prompt.+disp)|(slice.+state.+chan)|(ment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485</v>
      </c>
      <c r="B73" s="7">
        <v>4030</v>
      </c>
      <c r="C73" s="26" t="s">
        <v>59</v>
      </c>
      <c r="D73" s="26" t="s">
        <v>219</v>
      </c>
      <c r="E73" s="16">
        <v>42567.493645833332</v>
      </c>
      <c r="F73" s="16">
        <v>42567.494606481479</v>
      </c>
      <c r="G73" s="7">
        <v>1</v>
      </c>
      <c r="H73" s="16" t="s">
        <v>179</v>
      </c>
      <c r="I73" s="16">
        <v>42567.523009259261</v>
      </c>
      <c r="J73" s="7">
        <v>0</v>
      </c>
      <c r="K73" s="26" t="str">
        <f t="shared" si="15"/>
        <v>4029/4030</v>
      </c>
      <c r="L73" s="26" t="str">
        <f>VLOOKUP(A73,'Trips&amp;Operators'!$C$1:$E$10000,3,FALSE)</f>
        <v>STEWART</v>
      </c>
      <c r="M73" s="6">
        <f t="shared" si="16"/>
        <v>2.8402777781593613E-2</v>
      </c>
      <c r="N73" s="7">
        <f t="shared" si="2"/>
        <v>40.900000005494803</v>
      </c>
      <c r="O73" s="7"/>
      <c r="P73" s="7"/>
      <c r="Q73" s="27"/>
      <c r="R73" s="27"/>
      <c r="S73" s="45">
        <f t="shared" si="17"/>
        <v>1</v>
      </c>
      <c r="T73" s="69" t="str">
        <f t="shared" si="18"/>
        <v>Southbound</v>
      </c>
      <c r="U73" s="96">
        <f>COUNTIFS(Variables!$M$2:$M$19,IF(T73="NorthBound","&gt;=","&lt;=")&amp;Y73,Variables!$M$2:$M$19,IF(T73="NorthBound","&lt;=","&gt;=")&amp;Z73)</f>
        <v>12</v>
      </c>
      <c r="V7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10:50:51-0600',mode:absolute,to:'2016-07-16 13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3" s="74" t="str">
        <f t="shared" si="20"/>
        <v>N</v>
      </c>
      <c r="X73" s="92">
        <f t="shared" si="21"/>
        <v>1</v>
      </c>
      <c r="Y73" s="89">
        <f t="shared" si="22"/>
        <v>23.3002</v>
      </c>
      <c r="Z73" s="89">
        <f t="shared" si="23"/>
        <v>1.54E-2</v>
      </c>
      <c r="AA73" s="89">
        <f t="shared" si="24"/>
        <v>23.284800000000001</v>
      </c>
      <c r="AB73" s="86" t="e">
        <f>VLOOKUP(A73,Enforcements!$C$7:$J$23,8,0)</f>
        <v>#N/A</v>
      </c>
      <c r="AC73" s="82" t="e">
        <f>VLOOKUP(A73,Enforcements!$C$7:$E$23,3,0)</f>
        <v>#N/A</v>
      </c>
      <c r="AD73" s="83" t="str">
        <f t="shared" si="25"/>
        <v>0160-16</v>
      </c>
      <c r="AE73" s="75" t="str">
        <f t="shared" si="26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73" s="75" t="str">
        <f t="shared" si="27"/>
        <v>"C:\Program Files (x86)\AstroGrep\AstroGrep.exe" /spath="C:\Users\stu\Documents\Analysis\2016-02-23 RTDC Observations" /stypes="*4030*20160716*" /stext=" 18:.+((prompt.+disp)|(slice.+state.+chan)|(ment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49" t="s">
        <v>391</v>
      </c>
      <c r="B74" s="7">
        <v>4018</v>
      </c>
      <c r="C74" s="26" t="s">
        <v>59</v>
      </c>
      <c r="D74" s="26" t="s">
        <v>202</v>
      </c>
      <c r="E74" s="16">
        <v>42567.463136574072</v>
      </c>
      <c r="F74" s="16">
        <v>42567.464467592596</v>
      </c>
      <c r="G74" s="7">
        <v>1</v>
      </c>
      <c r="H74" s="16" t="s">
        <v>225</v>
      </c>
      <c r="I74" s="16">
        <v>42567.495069444441</v>
      </c>
      <c r="J74" s="7">
        <v>1</v>
      </c>
      <c r="K74" s="26" t="str">
        <f t="shared" si="15"/>
        <v>4017/4018</v>
      </c>
      <c r="L74" s="26" t="str">
        <f>VLOOKUP(A74,'Trips&amp;Operators'!$C$1:$E$10000,3,FALSE)</f>
        <v>STORY</v>
      </c>
      <c r="M74" s="6">
        <f t="shared" si="16"/>
        <v>3.0601851845858619E-2</v>
      </c>
      <c r="N74" s="7">
        <f t="shared" si="2"/>
        <v>44.066666658036411</v>
      </c>
      <c r="O74" s="7"/>
      <c r="P74" s="7"/>
      <c r="Q74" s="27"/>
      <c r="R74" s="27"/>
      <c r="S74" s="45">
        <f t="shared" si="17"/>
        <v>1</v>
      </c>
      <c r="T74" s="69" t="str">
        <f t="shared" si="18"/>
        <v>NorthBound</v>
      </c>
      <c r="U74" s="96">
        <f>COUNTIFS(Variables!$M$2:$M$19,IF(T74="NorthBound","&gt;=","&lt;=")&amp;Y74,Variables!$M$2:$M$19,IF(T74="NorthBound","&lt;=","&gt;=")&amp;Z74)</f>
        <v>12</v>
      </c>
      <c r="V7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10:06:55-0600',mode:absolute,to:'2016-07-16 12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4" s="74" t="str">
        <f t="shared" si="20"/>
        <v>N</v>
      </c>
      <c r="X74" s="92">
        <f t="shared" si="21"/>
        <v>1</v>
      </c>
      <c r="Y74" s="89">
        <f t="shared" si="22"/>
        <v>4.4200000000000003E-2</v>
      </c>
      <c r="Z74" s="89">
        <f t="shared" si="23"/>
        <v>23.328800000000001</v>
      </c>
      <c r="AA74" s="89">
        <f t="shared" si="24"/>
        <v>23.284600000000001</v>
      </c>
      <c r="AB74" s="86" t="e">
        <f>VLOOKUP(A74,Enforcements!$C$7:$J$23,8,0)</f>
        <v>#N/A</v>
      </c>
      <c r="AC74" s="82" t="e">
        <f>VLOOKUP(A74,Enforcements!$C$7:$E$23,3,0)</f>
        <v>#N/A</v>
      </c>
      <c r="AD74" s="83" t="str">
        <f t="shared" si="25"/>
        <v>0161-16</v>
      </c>
      <c r="AE74" s="75" t="str">
        <f t="shared" si="26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74" s="75" t="str">
        <f t="shared" si="27"/>
        <v>"C:\Program Files (x86)\AstroGrep\AstroGrep.exe" /spath="C:\Users\stu\Documents\Analysis\2016-02-23 RTDC Observations" /stypes="*4018*20160716*" /stext=" 17:.+((prompt.+disp)|(slice.+state.+chan)|(ment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49" t="s">
        <v>488</v>
      </c>
      <c r="B75" s="7">
        <v>4017</v>
      </c>
      <c r="C75" s="26" t="s">
        <v>59</v>
      </c>
      <c r="D75" s="26" t="s">
        <v>193</v>
      </c>
      <c r="E75" s="16">
        <v>42567.503958333335</v>
      </c>
      <c r="F75" s="16">
        <v>42567.504884259259</v>
      </c>
      <c r="G75" s="7">
        <v>1</v>
      </c>
      <c r="H75" s="16" t="s">
        <v>356</v>
      </c>
      <c r="I75" s="16">
        <v>42567.535127314812</v>
      </c>
      <c r="J75" s="7">
        <v>1</v>
      </c>
      <c r="K75" s="26" t="str">
        <f t="shared" si="15"/>
        <v>4017/4018</v>
      </c>
      <c r="L75" s="26" t="str">
        <f>VLOOKUP(A75,'Trips&amp;Operators'!$C$1:$E$10000,3,FALSE)</f>
        <v>HAUSER</v>
      </c>
      <c r="M75" s="6">
        <f t="shared" si="16"/>
        <v>3.0243055553000886E-2</v>
      </c>
      <c r="N75" s="7">
        <f t="shared" si="2"/>
        <v>43.549999996321276</v>
      </c>
      <c r="O75" s="7"/>
      <c r="P75" s="7"/>
      <c r="Q75" s="27"/>
      <c r="R75" s="27"/>
      <c r="S75" s="45">
        <f t="shared" si="17"/>
        <v>1</v>
      </c>
      <c r="T75" s="69" t="str">
        <f t="shared" si="18"/>
        <v>Southbound</v>
      </c>
      <c r="U75" s="96">
        <f>COUNTIFS(Variables!$M$2:$M$19,IF(T75="NorthBound","&gt;=","&lt;=")&amp;Y75,Variables!$M$2:$M$19,IF(T75="NorthBound","&lt;=","&gt;=")&amp;Z75)</f>
        <v>12</v>
      </c>
      <c r="V7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11:05:42-0600',mode:absolute,to:'2016-07-16 13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5" s="74" t="str">
        <f t="shared" si="20"/>
        <v>N</v>
      </c>
      <c r="X75" s="92">
        <f t="shared" si="21"/>
        <v>1</v>
      </c>
      <c r="Y75" s="89">
        <f t="shared" si="22"/>
        <v>23.298200000000001</v>
      </c>
      <c r="Z75" s="89">
        <f t="shared" si="23"/>
        <v>1.3599999999999999E-2</v>
      </c>
      <c r="AA75" s="89">
        <f t="shared" si="24"/>
        <v>23.284600000000001</v>
      </c>
      <c r="AB75" s="86">
        <f>VLOOKUP(A75,Enforcements!$C$7:$J$23,8,0)</f>
        <v>228668</v>
      </c>
      <c r="AC75" s="82" t="str">
        <f>VLOOKUP(A75,Enforcements!$C$7:$E$23,3,0)</f>
        <v>PERMANENT SPEED RESTRICTION</v>
      </c>
      <c r="AD75" s="83" t="str">
        <f t="shared" si="25"/>
        <v>0162-16</v>
      </c>
      <c r="AE75" s="75" t="str">
        <f t="shared" si="26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75" s="75" t="str">
        <f t="shared" si="27"/>
        <v>"C:\Program Files (x86)\AstroGrep\AstroGrep.exe" /spath="C:\Users\stu\Documents\Analysis\2016-02-23 RTDC Observations" /stypes="*4017*20160716*" /stext=" 18:.+((prompt.+disp)|(slice.+state.+chan)|(ment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49" t="s">
        <v>459</v>
      </c>
      <c r="B76" s="7">
        <v>4011</v>
      </c>
      <c r="C76" s="26" t="s">
        <v>59</v>
      </c>
      <c r="D76" s="26" t="s">
        <v>70</v>
      </c>
      <c r="E76" s="16">
        <v>42567.472708333335</v>
      </c>
      <c r="F76" s="16">
        <v>42567.473819444444</v>
      </c>
      <c r="G76" s="7">
        <v>1</v>
      </c>
      <c r="H76" s="16" t="s">
        <v>182</v>
      </c>
      <c r="I76" s="16">
        <v>42567.504317129627</v>
      </c>
      <c r="J76" s="7">
        <v>0</v>
      </c>
      <c r="K76" s="26" t="str">
        <f t="shared" si="15"/>
        <v>4011/4012</v>
      </c>
      <c r="L76" s="26" t="str">
        <f>VLOOKUP(A76,'Trips&amp;Operators'!$C$1:$E$10000,3,FALSE)</f>
        <v>REBOLETTI</v>
      </c>
      <c r="M76" s="6">
        <f t="shared" si="16"/>
        <v>3.0497685183945578E-2</v>
      </c>
      <c r="N76" s="7">
        <f t="shared" si="2"/>
        <v>43.916666664881632</v>
      </c>
      <c r="O76" s="7"/>
      <c r="P76" s="7"/>
      <c r="Q76" s="27"/>
      <c r="R76" s="27"/>
      <c r="S76" s="45">
        <f t="shared" si="17"/>
        <v>1</v>
      </c>
      <c r="T76" s="69" t="str">
        <f t="shared" si="18"/>
        <v>NorthBound</v>
      </c>
      <c r="U76" s="96">
        <f>COUNTIFS(Variables!$M$2:$M$19,IF(T76="NorthBound","&gt;=","&lt;=")&amp;Y76,Variables!$M$2:$M$19,IF(T76="NorthBound","&lt;=","&gt;=")&amp;Z76)</f>
        <v>12</v>
      </c>
      <c r="V7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10:20:42-0600',mode:absolute,to:'2016-07-16 13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6" s="74" t="str">
        <f t="shared" si="20"/>
        <v>N</v>
      </c>
      <c r="X76" s="92">
        <f t="shared" si="21"/>
        <v>1</v>
      </c>
      <c r="Y76" s="89">
        <f t="shared" si="22"/>
        <v>4.5699999999999998E-2</v>
      </c>
      <c r="Z76" s="89">
        <f t="shared" si="23"/>
        <v>23.331</v>
      </c>
      <c r="AA76" s="89">
        <f t="shared" si="24"/>
        <v>23.285299999999999</v>
      </c>
      <c r="AB76" s="86" t="e">
        <f>VLOOKUP(A76,Enforcements!$C$7:$J$23,8,0)</f>
        <v>#N/A</v>
      </c>
      <c r="AC76" s="82" t="e">
        <f>VLOOKUP(A76,Enforcements!$C$7:$E$23,3,0)</f>
        <v>#N/A</v>
      </c>
      <c r="AD76" s="83" t="str">
        <f t="shared" si="25"/>
        <v>0163-16</v>
      </c>
      <c r="AE76" s="75" t="str">
        <f t="shared" si="26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76" s="75" t="str">
        <f t="shared" si="27"/>
        <v>"C:\Program Files (x86)\AstroGrep\AstroGrep.exe" /spath="C:\Users\stu\Documents\Analysis\2016-02-23 RTDC Observations" /stypes="*4011*20160716*"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49" t="s">
        <v>394</v>
      </c>
      <c r="B77" s="7">
        <v>4012</v>
      </c>
      <c r="C77" s="26" t="s">
        <v>59</v>
      </c>
      <c r="D77" s="26" t="s">
        <v>191</v>
      </c>
      <c r="E77" s="16">
        <v>42567.511273148149</v>
      </c>
      <c r="F77" s="16">
        <v>42567.51221064815</v>
      </c>
      <c r="G77" s="7">
        <v>1</v>
      </c>
      <c r="H77" s="16" t="s">
        <v>108</v>
      </c>
      <c r="I77" s="16">
        <v>42567.54383101852</v>
      </c>
      <c r="J77" s="7">
        <v>0</v>
      </c>
      <c r="K77" s="26" t="str">
        <f t="shared" si="15"/>
        <v>4011/4012</v>
      </c>
      <c r="L77" s="26" t="str">
        <f>VLOOKUP(A77,'Trips&amp;Operators'!$C$1:$E$10000,3,FALSE)</f>
        <v>REBOLETTI</v>
      </c>
      <c r="M77" s="6">
        <f t="shared" si="16"/>
        <v>3.1620370369637385E-2</v>
      </c>
      <c r="N77" s="7">
        <f t="shared" ref="N77:P142" si="29">24*60*SUM($M77:$M77)</f>
        <v>45.533333332277834</v>
      </c>
      <c r="O77" s="7"/>
      <c r="P77" s="7"/>
      <c r="Q77" s="27"/>
      <c r="R77" s="27"/>
      <c r="S77" s="45">
        <f t="shared" si="17"/>
        <v>1</v>
      </c>
      <c r="T77" s="69" t="str">
        <f t="shared" si="18"/>
        <v>Southbound</v>
      </c>
      <c r="U77" s="96">
        <f>COUNTIFS(Variables!$M$2:$M$19,IF(T77="NorthBound","&gt;=","&lt;=")&amp;Y77,Variables!$M$2:$M$19,IF(T77="NorthBound","&lt;=","&gt;=")&amp;Z77)</f>
        <v>12</v>
      </c>
      <c r="V7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11:16:14-0600',mode:absolute,to:'2016-07-16 14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7" s="74" t="str">
        <f t="shared" si="20"/>
        <v>N</v>
      </c>
      <c r="X77" s="92">
        <f t="shared" si="21"/>
        <v>1</v>
      </c>
      <c r="Y77" s="89">
        <f t="shared" si="22"/>
        <v>23.299800000000001</v>
      </c>
      <c r="Z77" s="89">
        <f t="shared" si="23"/>
        <v>1.43E-2</v>
      </c>
      <c r="AA77" s="89">
        <f t="shared" si="24"/>
        <v>23.285500000000003</v>
      </c>
      <c r="AB77" s="86" t="e">
        <f>VLOOKUP(A77,Enforcements!$C$7:$J$23,8,0)</f>
        <v>#N/A</v>
      </c>
      <c r="AC77" s="82" t="e">
        <f>VLOOKUP(A77,Enforcements!$C$7:$E$23,3,0)</f>
        <v>#N/A</v>
      </c>
      <c r="AD77" s="83" t="str">
        <f t="shared" si="25"/>
        <v>0164-16</v>
      </c>
      <c r="AE77" s="75" t="str">
        <f t="shared" si="26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77" s="75" t="str">
        <f t="shared" si="27"/>
        <v>"C:\Program Files (x86)\AstroGrep\AstroGrep.exe" /spath="C:\Users\stu\Documents\Analysis\2016-02-23 RTDC Observations" /stypes="*4012*20160716*" /stext=" 19:.+((prompt.+disp)|(slice.+state.+chan)|(ment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49" t="s">
        <v>483</v>
      </c>
      <c r="B78" s="7">
        <v>4042</v>
      </c>
      <c r="C78" s="26" t="s">
        <v>59</v>
      </c>
      <c r="D78" s="26" t="s">
        <v>355</v>
      </c>
      <c r="E78" s="16">
        <v>42567.483888888892</v>
      </c>
      <c r="F78" s="16">
        <v>42567.485254629632</v>
      </c>
      <c r="G78" s="7">
        <v>1</v>
      </c>
      <c r="H78" s="16" t="s">
        <v>545</v>
      </c>
      <c r="I78" s="16">
        <v>42567.514502314814</v>
      </c>
      <c r="J78" s="7">
        <v>0</v>
      </c>
      <c r="K78" s="26" t="str">
        <f t="shared" si="15"/>
        <v>4041/4042</v>
      </c>
      <c r="L78" s="26" t="str">
        <f>VLOOKUP(A78,'Trips&amp;Operators'!$C$1:$E$10000,3,FALSE)</f>
        <v>HELVIE</v>
      </c>
      <c r="M78" s="6">
        <f t="shared" si="16"/>
        <v>2.9247685182781424E-2</v>
      </c>
      <c r="N78" s="7">
        <f t="shared" si="29"/>
        <v>42.116666663205251</v>
      </c>
      <c r="O78" s="7"/>
      <c r="P78" s="7"/>
      <c r="Q78" s="27"/>
      <c r="R78" s="27"/>
      <c r="S78" s="45">
        <f t="shared" si="17"/>
        <v>1</v>
      </c>
      <c r="T78" s="69" t="str">
        <f t="shared" si="18"/>
        <v>NorthBound</v>
      </c>
      <c r="U78" s="96">
        <f>COUNTIFS(Variables!$M$2:$M$19,IF(T78="NorthBound","&gt;=","&lt;=")&amp;Y78,Variables!$M$2:$M$19,IF(T78="NorthBound","&lt;=","&gt;=")&amp;Z78)</f>
        <v>12</v>
      </c>
      <c r="V7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https://search-rtdc-monitor-bjffxe2xuh6vdkpspy63sjmuny.us-east-1.es.amazonaws.com/_plugin/kibana/#/discover/Steve-Slow-Train-Analysis-(2080s-and-2083s)?_g=(refreshInterval:(display:Off,section:0,value:0),time:(from:'2016-07-16 10:36:48-0600',mode:absolute,to:'2016-07-16 13:20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8" s="74" t="str">
        <f t="shared" si="20"/>
        <v>N</v>
      </c>
      <c r="X78" s="92">
        <f t="shared" si="21"/>
        <v>1</v>
      </c>
      <c r="Y78" s="89">
        <f t="shared" si="22"/>
        <v>4.7100000000000003E-2</v>
      </c>
      <c r="Z78" s="89">
        <f t="shared" si="23"/>
        <v>23.331800000000001</v>
      </c>
      <c r="AA78" s="89">
        <f t="shared" si="24"/>
        <v>23.284700000000001</v>
      </c>
      <c r="AB78" s="86" t="e">
        <f>VLOOKUP(A78,Enforcements!$C$7:$J$23,8,0)</f>
        <v>#N/A</v>
      </c>
      <c r="AC78" s="82" t="e">
        <f>VLOOKUP(A78,Enforcements!$C$7:$E$23,3,0)</f>
        <v>#N/A</v>
      </c>
      <c r="AD78" s="83" t="str">
        <f t="shared" si="25"/>
        <v>0165-16</v>
      </c>
      <c r="AE78" s="75" t="str">
        <f t="shared" si="26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78" s="75" t="str">
        <f t="shared" si="27"/>
        <v>"C:\Program Files (x86)\AstroGrep\AstroGrep.exe" /spath="C:\Users\stu\Documents\Analysis\2016-02-23 RTDC Observations" /stypes="*4042*20160716*" /stext=" 18:.+((prompt.+disp)|(slice.+state.+chan)|(ment ac)|(system.+state.+chan)|(\|lc)|(penalty)|(\[timeout))" /e /r /s</v>
      </c>
      <c r="AG78" s="1" t="str">
        <f t="shared" si="28"/>
        <v>EC</v>
      </c>
    </row>
    <row r="79" spans="1:33" x14ac:dyDescent="0.25">
      <c r="A79" s="49" t="s">
        <v>491</v>
      </c>
      <c r="B79" s="7">
        <v>4041</v>
      </c>
      <c r="C79" s="26" t="s">
        <v>59</v>
      </c>
      <c r="D79" s="26" t="s">
        <v>186</v>
      </c>
      <c r="E79" s="16">
        <v>42567.524027777778</v>
      </c>
      <c r="F79" s="16">
        <v>42567.526064814818</v>
      </c>
      <c r="G79" s="7">
        <v>2</v>
      </c>
      <c r="H79" s="16" t="s">
        <v>546</v>
      </c>
      <c r="I79" s="16">
        <v>42567.56040509259</v>
      </c>
      <c r="J79" s="7">
        <v>0</v>
      </c>
      <c r="K79" s="26" t="str">
        <f t="shared" ref="K79:K144" si="30">IF(ISEVEN(B79),(B79-1)&amp;"/"&amp;B79,B79&amp;"/"&amp;(B79+1))</f>
        <v>4041/4042</v>
      </c>
      <c r="L79" s="26" t="str">
        <f>VLOOKUP(A79,'Trips&amp;Operators'!$C$1:$E$10000,3,FALSE)</f>
        <v>HELVIE</v>
      </c>
      <c r="M79" s="6">
        <f t="shared" ref="M79:M144" si="31">I79-F79</f>
        <v>3.4340277772571426E-2</v>
      </c>
      <c r="N79" s="7">
        <f t="shared" si="29"/>
        <v>49.449999992502853</v>
      </c>
      <c r="O79" s="7"/>
      <c r="P79" s="7"/>
      <c r="Q79" s="27"/>
      <c r="R79" s="27"/>
      <c r="S79" s="45">
        <f t="shared" ref="S79:S144" si="32">SUM(U79:U79)/12</f>
        <v>1</v>
      </c>
      <c r="T79" s="69" t="str">
        <f t="shared" ref="T79:T144" si="33">IF(ISEVEN(LEFT(A79,3)),"Southbound","NorthBound")</f>
        <v>Southbound</v>
      </c>
      <c r="U79" s="96">
        <f>COUNTIFS(Variables!$M$2:$M$19,IF(T79="NorthBound","&gt;=","&lt;=")&amp;Y79,Variables!$M$2:$M$19,IF(T79="NorthBound","&lt;=","&gt;=")&amp;Z79)</f>
        <v>12</v>
      </c>
      <c r="V79" s="74" t="str">
        <f t="shared" ref="V79:V144" si="34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https://search-rtdc-monitor-bjffxe2xuh6vdkpspy63sjmuny.us-east-1.es.amazonaws.com/_plugin/kibana/#/discover/Steve-Slow-Train-Analysis-(2080s-and-2083s)?_g=(refreshInterval:(display:Off,section:0,value:0),time:(from:'2016-07-16 11:34:36-0600',mode:absolute,to:'2016-07-16 14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9" s="74" t="str">
        <f t="shared" ref="W79:W144" si="35">IF(AA79&lt;23,"Y","N")</f>
        <v>N</v>
      </c>
      <c r="X79" s="92">
        <f t="shared" ref="X79:X144" si="36">VALUE(LEFT(A79,3))-VALUE(LEFT(A78,3))</f>
        <v>1</v>
      </c>
      <c r="Y79" s="89">
        <f t="shared" ref="Y79:Y144" si="37">RIGHT(D79,LEN(D79)-4)/10000</f>
        <v>23.2986</v>
      </c>
      <c r="Z79" s="89">
        <f t="shared" ref="Z79:Z144" si="38">RIGHT(H79,LEN(H79)-4)/10000</f>
        <v>2.58E-2</v>
      </c>
      <c r="AA79" s="89">
        <f t="shared" ref="AA79:AA144" si="39">ABS(Z79-Y79)</f>
        <v>23.2728</v>
      </c>
      <c r="AB79" s="86" t="e">
        <f>VLOOKUP(A79,Enforcements!$C$7:$J$23,8,0)</f>
        <v>#N/A</v>
      </c>
      <c r="AC79" s="82" t="e">
        <f>VLOOKUP(A79,Enforcements!$C$7:$E$23,3,0)</f>
        <v>#N/A</v>
      </c>
      <c r="AD79" s="83" t="str">
        <f t="shared" ref="AD79:AD144" si="40">IF(LEN(A79)=6,"0"&amp;A79,A79)</f>
        <v>0166-16</v>
      </c>
      <c r="AE79" s="75" t="str">
        <f t="shared" ref="AE79:AE144" si="41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79" s="75" t="str">
        <f t="shared" ref="AF79:AF144" si="42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/stypes="*4041*20160716*" /stext=" 19:.+((prompt.+disp)|(slice.+state.+chan)|(ment ac)|(system.+state.+chan)|(\|lc)|(penalty)|(\[timeout))" /e /r /s</v>
      </c>
      <c r="AG79" s="1" t="str">
        <f t="shared" ref="AG79:AG144" si="43">IF(VALUE(LEFT(A79,3))&lt;300,"EC","NWGL")</f>
        <v>EC</v>
      </c>
    </row>
    <row r="80" spans="1:33" x14ac:dyDescent="0.25">
      <c r="A80" s="49" t="s">
        <v>486</v>
      </c>
      <c r="B80" s="7">
        <v>4014</v>
      </c>
      <c r="C80" s="26" t="s">
        <v>59</v>
      </c>
      <c r="D80" s="26" t="s">
        <v>146</v>
      </c>
      <c r="E80" s="16">
        <v>42567.49559027778</v>
      </c>
      <c r="F80" s="16">
        <v>42567.497453703705</v>
      </c>
      <c r="G80" s="7">
        <v>2</v>
      </c>
      <c r="H80" s="16" t="s">
        <v>216</v>
      </c>
      <c r="I80" s="16">
        <v>42567.524826388886</v>
      </c>
      <c r="J80" s="7">
        <v>0</v>
      </c>
      <c r="K80" s="26" t="str">
        <f t="shared" si="30"/>
        <v>4013/4014</v>
      </c>
      <c r="L80" s="26" t="str">
        <f>VLOOKUP(A80,'Trips&amp;Operators'!$C$1:$E$10000,3,FALSE)</f>
        <v>BRUDER</v>
      </c>
      <c r="M80" s="6">
        <f t="shared" si="31"/>
        <v>2.7372685181035195E-2</v>
      </c>
      <c r="N80" s="7">
        <f t="shared" si="29"/>
        <v>39.41666666069068</v>
      </c>
      <c r="O80" s="7"/>
      <c r="P80" s="7"/>
      <c r="Q80" s="27"/>
      <c r="R80" s="27"/>
      <c r="S80" s="45">
        <f t="shared" si="32"/>
        <v>1</v>
      </c>
      <c r="T80" s="69" t="str">
        <f t="shared" si="33"/>
        <v>NorthBound</v>
      </c>
      <c r="U80" s="96">
        <f>COUNTIFS(Variables!$M$2:$M$19,IF(T80="NorthBound","&gt;=","&lt;=")&amp;Y80,Variables!$M$2:$M$19,IF(T80="NorthBound","&lt;=","&gt;=")&amp;Z80)</f>
        <v>12</v>
      </c>
      <c r="V8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10:53:39-0600',mode:absolute,to:'2016-07-16 13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0" s="74" t="str">
        <f t="shared" si="35"/>
        <v>N</v>
      </c>
      <c r="X80" s="92">
        <f t="shared" si="36"/>
        <v>1</v>
      </c>
      <c r="Y80" s="89">
        <f t="shared" si="37"/>
        <v>4.58E-2</v>
      </c>
      <c r="Z80" s="89">
        <f t="shared" si="38"/>
        <v>23.328900000000001</v>
      </c>
      <c r="AA80" s="89">
        <f t="shared" si="39"/>
        <v>23.283100000000001</v>
      </c>
      <c r="AB80" s="86" t="e">
        <f>VLOOKUP(A80,Enforcements!$C$7:$J$23,8,0)</f>
        <v>#N/A</v>
      </c>
      <c r="AC80" s="82" t="e">
        <f>VLOOKUP(A80,Enforcements!$C$7:$E$23,3,0)</f>
        <v>#N/A</v>
      </c>
      <c r="AD80" s="83" t="str">
        <f t="shared" si="40"/>
        <v>0167-16</v>
      </c>
      <c r="AE80" s="75" t="str">
        <f t="shared" si="41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80" s="75" t="str">
        <f t="shared" si="42"/>
        <v>"C:\Program Files (x86)\AstroGrep\AstroGrep.exe" /spath="C:\Users\stu\Documents\Analysis\2016-02-23 RTDC Observations" /stypes="*4014*20160716*" /stext=" 18:.+((prompt.+disp)|(slice.+state.+chan)|(ment ac)|(system.+state.+chan)|(\|lc)|(penalty)|(\[timeout))" /e /r /s</v>
      </c>
      <c r="AG80" s="1" t="str">
        <f t="shared" si="43"/>
        <v>EC</v>
      </c>
    </row>
    <row r="81" spans="1:33" x14ac:dyDescent="0.25">
      <c r="A81" s="49" t="s">
        <v>396</v>
      </c>
      <c r="B81" s="7">
        <v>4013</v>
      </c>
      <c r="C81" s="26" t="s">
        <v>59</v>
      </c>
      <c r="D81" s="26" t="s">
        <v>68</v>
      </c>
      <c r="E81" s="16">
        <v>42567.535763888889</v>
      </c>
      <c r="F81" s="16">
        <v>42567.538645833331</v>
      </c>
      <c r="G81" s="7">
        <v>4</v>
      </c>
      <c r="H81" s="16" t="s">
        <v>547</v>
      </c>
      <c r="I81" s="16">
        <v>42567.568032407406</v>
      </c>
      <c r="J81" s="7">
        <v>0</v>
      </c>
      <c r="K81" s="26" t="str">
        <f t="shared" si="30"/>
        <v>4013/4014</v>
      </c>
      <c r="L81" s="26" t="str">
        <f>VLOOKUP(A81,'Trips&amp;Operators'!$C$1:$E$10000,3,FALSE)</f>
        <v>BRUDER</v>
      </c>
      <c r="M81" s="6">
        <f t="shared" si="31"/>
        <v>2.9386574075033423E-2</v>
      </c>
      <c r="N81" s="7">
        <f t="shared" si="29"/>
        <v>42.316666668048128</v>
      </c>
      <c r="O81" s="7"/>
      <c r="P81" s="7"/>
      <c r="Q81" s="27"/>
      <c r="R81" s="27"/>
      <c r="S81" s="45">
        <f t="shared" si="32"/>
        <v>1</v>
      </c>
      <c r="T81" s="69" t="str">
        <f t="shared" si="33"/>
        <v>Southbound</v>
      </c>
      <c r="U81" s="96">
        <f>COUNTIFS(Variables!$M$2:$M$19,IF(T81="NorthBound","&gt;=","&lt;=")&amp;Y81,Variables!$M$2:$M$19,IF(T81="NorthBound","&lt;=","&gt;=")&amp;Z81)</f>
        <v>12</v>
      </c>
      <c r="V8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11:51:30-0600',mode:absolute,to:'2016-07-16 14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1" s="74" t="str">
        <f t="shared" si="35"/>
        <v>N</v>
      </c>
      <c r="X81" s="92">
        <f t="shared" si="36"/>
        <v>1</v>
      </c>
      <c r="Y81" s="89">
        <f t="shared" si="37"/>
        <v>23.297699999999999</v>
      </c>
      <c r="Z81" s="89">
        <f t="shared" si="38"/>
        <v>1.1900000000000001E-2</v>
      </c>
      <c r="AA81" s="89">
        <f t="shared" si="39"/>
        <v>23.285799999999998</v>
      </c>
      <c r="AB81" s="86" t="e">
        <f>VLOOKUP(A81,Enforcements!$C$7:$J$23,8,0)</f>
        <v>#N/A</v>
      </c>
      <c r="AC81" s="82" t="e">
        <f>VLOOKUP(A81,Enforcements!$C$7:$E$23,3,0)</f>
        <v>#N/A</v>
      </c>
      <c r="AD81" s="83" t="str">
        <f t="shared" si="40"/>
        <v>0168-16</v>
      </c>
      <c r="AE81" s="75" t="str">
        <f t="shared" si="41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81" s="75" t="str">
        <f t="shared" si="42"/>
        <v>"C:\Program Files (x86)\AstroGrep\AstroGrep.exe" /spath="C:\Users\stu\Documents\Analysis\2016-02-23 RTDC Observations" /stypes="*4013*20160716*" /stext=" 19:.+((prompt.+disp)|(slice.+state.+chan)|(ment ac)|(system.+state.+chan)|(\|lc)|(penalty)|(\[timeout))" /e /r /s</v>
      </c>
      <c r="AG81" s="1" t="str">
        <f t="shared" si="43"/>
        <v>EC</v>
      </c>
    </row>
    <row r="82" spans="1:33" x14ac:dyDescent="0.25">
      <c r="A82" s="49" t="s">
        <v>424</v>
      </c>
      <c r="B82" s="7">
        <v>4020</v>
      </c>
      <c r="C82" s="26" t="s">
        <v>59</v>
      </c>
      <c r="D82" s="26" t="s">
        <v>181</v>
      </c>
      <c r="E82" s="16">
        <v>42567.507349537038</v>
      </c>
      <c r="F82" s="16">
        <v>42567.510659722226</v>
      </c>
      <c r="G82" s="7">
        <v>4</v>
      </c>
      <c r="H82" s="16" t="s">
        <v>232</v>
      </c>
      <c r="I82" s="16">
        <v>42567.53570601852</v>
      </c>
      <c r="J82" s="7">
        <v>1</v>
      </c>
      <c r="K82" s="26" t="str">
        <f t="shared" si="30"/>
        <v>4019/4020</v>
      </c>
      <c r="L82" s="26" t="str">
        <f>VLOOKUP(A82,'Trips&amp;Operators'!$C$1:$E$10000,3,FALSE)</f>
        <v>MAYBERRY</v>
      </c>
      <c r="M82" s="6">
        <f t="shared" si="31"/>
        <v>2.5046296294021886E-2</v>
      </c>
      <c r="N82" s="7">
        <f t="shared" si="29"/>
        <v>36.066666663391516</v>
      </c>
      <c r="O82" s="7"/>
      <c r="P82" s="7"/>
      <c r="Q82" s="27"/>
      <c r="R82" s="27"/>
      <c r="S82" s="45">
        <f t="shared" si="32"/>
        <v>1</v>
      </c>
      <c r="T82" s="69" t="str">
        <f t="shared" si="33"/>
        <v>NorthBound</v>
      </c>
      <c r="U82" s="96">
        <f>COUNTIFS(Variables!$M$2:$M$19,IF(T82="NorthBound","&gt;=","&lt;=")&amp;Y82,Variables!$M$2:$M$19,IF(T82="NorthBound","&lt;=","&gt;=")&amp;Z82)</f>
        <v>12</v>
      </c>
      <c r="V8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11:10:35-0600',mode:absolute,to:'2016-07-16 13:51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2" s="74" t="str">
        <f t="shared" si="35"/>
        <v>N</v>
      </c>
      <c r="X82" s="92">
        <f t="shared" si="36"/>
        <v>1</v>
      </c>
      <c r="Y82" s="89">
        <f t="shared" si="37"/>
        <v>4.6399999999999997E-2</v>
      </c>
      <c r="Z82" s="89">
        <f t="shared" si="38"/>
        <v>23.327400000000001</v>
      </c>
      <c r="AA82" s="89">
        <f t="shared" si="39"/>
        <v>23.281000000000002</v>
      </c>
      <c r="AB82" s="86" t="e">
        <f>VLOOKUP(A82,Enforcements!$C$7:$J$23,8,0)</f>
        <v>#N/A</v>
      </c>
      <c r="AC82" s="82" t="e">
        <f>VLOOKUP(A82,Enforcements!$C$7:$E$23,3,0)</f>
        <v>#N/A</v>
      </c>
      <c r="AD82" s="83" t="str">
        <f t="shared" si="40"/>
        <v>0169-16</v>
      </c>
      <c r="AE82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82" s="75" t="str">
        <f t="shared" si="42"/>
        <v>"C:\Program Files (x86)\AstroGrep\AstroGrep.exe" /spath="C:\Users\stu\Documents\Analysis\2016-02-23 RTDC Observations" /stypes="*4020*20160716*" /stext=" 18:.+((prompt.+disp)|(slice.+state.+chan)|(ment ac)|(system.+state.+chan)|(\|lc)|(penalty)|(\[timeout))" /e /r /s</v>
      </c>
      <c r="AG82" s="1" t="str">
        <f t="shared" si="43"/>
        <v>EC</v>
      </c>
    </row>
    <row r="83" spans="1:33" x14ac:dyDescent="0.25">
      <c r="A83" s="49" t="s">
        <v>506</v>
      </c>
      <c r="B83" s="7">
        <v>4019</v>
      </c>
      <c r="C83" s="26" t="s">
        <v>59</v>
      </c>
      <c r="D83" s="26" t="s">
        <v>229</v>
      </c>
      <c r="E83" s="16">
        <v>42567.53665509259</v>
      </c>
      <c r="F83" s="16">
        <v>42567.538888888892</v>
      </c>
      <c r="G83" s="7">
        <v>3</v>
      </c>
      <c r="H83" s="16" t="s">
        <v>108</v>
      </c>
      <c r="I83" s="16">
        <v>42567.58222222222</v>
      </c>
      <c r="J83" s="7">
        <v>2</v>
      </c>
      <c r="K83" s="26" t="str">
        <f t="shared" si="30"/>
        <v>4019/4020</v>
      </c>
      <c r="L83" s="26" t="str">
        <f>VLOOKUP(A83,'Trips&amp;Operators'!$C$1:$E$10000,3,FALSE)</f>
        <v>MAYBERRY</v>
      </c>
      <c r="M83" s="6">
        <f t="shared" si="31"/>
        <v>4.333333332760958E-2</v>
      </c>
      <c r="N83" s="7">
        <f t="shared" si="29"/>
        <v>62.399999991757795</v>
      </c>
      <c r="O83" s="7"/>
      <c r="P83" s="7"/>
      <c r="Q83" s="27"/>
      <c r="R83" s="27"/>
      <c r="S83" s="45">
        <f t="shared" si="32"/>
        <v>1</v>
      </c>
      <c r="T83" s="69" t="str">
        <f t="shared" si="33"/>
        <v>Southbound</v>
      </c>
      <c r="U83" s="96">
        <f>COUNTIFS(Variables!$M$2:$M$19,IF(T83="NorthBound","&gt;=","&lt;=")&amp;Y83,Variables!$M$2:$M$19,IF(T83="NorthBound","&lt;=","&gt;=")&amp;Z83)</f>
        <v>12</v>
      </c>
      <c r="V8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11:52:47-0600',mode:absolute,to:'2016-07-16 14:58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3" s="74" t="str">
        <f t="shared" si="35"/>
        <v>N</v>
      </c>
      <c r="X83" s="92">
        <f t="shared" si="36"/>
        <v>1</v>
      </c>
      <c r="Y83" s="89">
        <f t="shared" si="37"/>
        <v>23.2971</v>
      </c>
      <c r="Z83" s="89">
        <f t="shared" si="38"/>
        <v>1.43E-2</v>
      </c>
      <c r="AA83" s="89">
        <f t="shared" si="39"/>
        <v>23.282800000000002</v>
      </c>
      <c r="AB83" s="86">
        <f>VLOOKUP(A83,Enforcements!$C$7:$J$23,8,0)</f>
        <v>30562</v>
      </c>
      <c r="AC83" s="82" t="str">
        <f>VLOOKUP(A83,Enforcements!$C$7:$E$23,3,0)</f>
        <v>PERMANENT SPEED RESTRICTION</v>
      </c>
      <c r="AD83" s="83" t="str">
        <f t="shared" si="40"/>
        <v>0170-16</v>
      </c>
      <c r="AE83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83" s="75" t="str">
        <f t="shared" si="42"/>
        <v>"C:\Program Files (x86)\AstroGrep\AstroGrep.exe" /spath="C:\Users\stu\Documents\Analysis\2016-02-23 RTDC Observations" /stypes="*4019*20160716*" /stext=" 19:.+((prompt.+disp)|(slice.+state.+chan)|(ment ac)|(system.+state.+chan)|(\|lc)|(penalty)|(\[timeout))" /e /r /s</v>
      </c>
      <c r="AG83" s="1" t="str">
        <f t="shared" si="43"/>
        <v>EC</v>
      </c>
    </row>
    <row r="84" spans="1:33" x14ac:dyDescent="0.25">
      <c r="A84" s="49" t="s">
        <v>481</v>
      </c>
      <c r="B84" s="7">
        <v>4040</v>
      </c>
      <c r="C84" s="26" t="s">
        <v>59</v>
      </c>
      <c r="D84" s="26" t="s">
        <v>208</v>
      </c>
      <c r="E84" s="16">
        <v>42567.515740740739</v>
      </c>
      <c r="F84" s="16">
        <v>42567.51699074074</v>
      </c>
      <c r="G84" s="7">
        <v>1</v>
      </c>
      <c r="H84" s="16" t="s">
        <v>255</v>
      </c>
      <c r="I84" s="16">
        <v>42567.553518518522</v>
      </c>
      <c r="J84" s="7">
        <v>1</v>
      </c>
      <c r="K84" s="26" t="str">
        <f t="shared" si="30"/>
        <v>4039/4040</v>
      </c>
      <c r="L84" s="26" t="str">
        <f>VLOOKUP(A84,'Trips&amp;Operators'!$C$1:$E$10000,3,FALSE)</f>
        <v>WEBSTER</v>
      </c>
      <c r="M84" s="6">
        <f t="shared" si="31"/>
        <v>3.6527777781884652E-2</v>
      </c>
      <c r="N84" s="7">
        <f t="shared" si="29"/>
        <v>52.600000005913898</v>
      </c>
      <c r="O84" s="7"/>
      <c r="P84" s="7"/>
      <c r="Q84" s="27"/>
      <c r="R84" s="27"/>
      <c r="S84" s="45">
        <f t="shared" si="32"/>
        <v>1</v>
      </c>
      <c r="T84" s="69" t="str">
        <f t="shared" si="33"/>
        <v>NorthBound</v>
      </c>
      <c r="U84" s="96">
        <f>COUNTIFS(Variables!$M$2:$M$19,IF(T84="NorthBound","&gt;=","&lt;=")&amp;Y84,Variables!$M$2:$M$19,IF(T84="NorthBound","&lt;=","&gt;=")&amp;Z84)</f>
        <v>12</v>
      </c>
      <c r="V8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11:22:40-0600',mode:absolute,to:'2016-07-16 14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4" s="74" t="str">
        <f t="shared" si="35"/>
        <v>N</v>
      </c>
      <c r="X84" s="92">
        <f t="shared" si="36"/>
        <v>1</v>
      </c>
      <c r="Y84" s="89">
        <f t="shared" si="37"/>
        <v>4.7699999999999999E-2</v>
      </c>
      <c r="Z84" s="89">
        <f t="shared" si="38"/>
        <v>23.3308</v>
      </c>
      <c r="AA84" s="89">
        <f t="shared" si="39"/>
        <v>23.283100000000001</v>
      </c>
      <c r="AB84" s="86" t="e">
        <f>VLOOKUP(A84,Enforcements!$C$7:$J$23,8,0)</f>
        <v>#N/A</v>
      </c>
      <c r="AC84" s="82" t="e">
        <f>VLOOKUP(A84,Enforcements!$C$7:$E$23,3,0)</f>
        <v>#N/A</v>
      </c>
      <c r="AD84" s="83" t="str">
        <f t="shared" si="40"/>
        <v>0171-16</v>
      </c>
      <c r="AE84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84" s="75" t="str">
        <f t="shared" si="42"/>
        <v>"C:\Program Files (x86)\AstroGrep\AstroGrep.exe" /spath="C:\Users\stu\Documents\Analysis\2016-02-23 RTDC Observations" /stypes="*4040*20160716*" /stext=" 19:.+((prompt.+disp)|(slice.+state.+chan)|(ment ac)|(system.+state.+chan)|(\|lc)|(penalty)|(\[timeout))" /e /r /s</v>
      </c>
      <c r="AG84" s="1" t="str">
        <f t="shared" si="43"/>
        <v>EC</v>
      </c>
    </row>
    <row r="85" spans="1:33" x14ac:dyDescent="0.25">
      <c r="A85" s="49" t="s">
        <v>399</v>
      </c>
      <c r="B85" s="7">
        <v>4039</v>
      </c>
      <c r="C85" s="26" t="s">
        <v>59</v>
      </c>
      <c r="D85" s="26" t="s">
        <v>226</v>
      </c>
      <c r="E85" s="16">
        <v>42567.556388888886</v>
      </c>
      <c r="F85" s="16">
        <v>42567.557708333334</v>
      </c>
      <c r="G85" s="7">
        <v>1</v>
      </c>
      <c r="H85" s="16" t="s">
        <v>71</v>
      </c>
      <c r="I85" s="16">
        <v>42567.594097222223</v>
      </c>
      <c r="J85" s="7">
        <v>0</v>
      </c>
      <c r="K85" s="26" t="str">
        <f t="shared" si="30"/>
        <v>4039/4040</v>
      </c>
      <c r="L85" s="26" t="str">
        <f>VLOOKUP(A85,'Trips&amp;Operators'!$C$1:$E$10000,3,FALSE)</f>
        <v>WEBSTER</v>
      </c>
      <c r="M85" s="6">
        <f t="shared" si="31"/>
        <v>3.6388888889632653E-2</v>
      </c>
      <c r="N85" s="7">
        <f t="shared" si="29"/>
        <v>52.400000001071021</v>
      </c>
      <c r="O85" s="7"/>
      <c r="P85" s="7"/>
      <c r="Q85" s="27"/>
      <c r="R85" s="27"/>
      <c r="S85" s="45">
        <f t="shared" si="32"/>
        <v>1</v>
      </c>
      <c r="T85" s="69" t="str">
        <f t="shared" si="33"/>
        <v>Southbound</v>
      </c>
      <c r="U85" s="96">
        <f>COUNTIFS(Variables!$M$2:$M$19,IF(T85="NorthBound","&gt;=","&lt;=")&amp;Y85,Variables!$M$2:$M$19,IF(T85="NorthBound","&lt;=","&gt;=")&amp;Z85)</f>
        <v>12</v>
      </c>
      <c r="V8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12:21:12-0600',mode:absolute,to:'2016-07-16 15:15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5" s="74" t="str">
        <f t="shared" si="35"/>
        <v>N</v>
      </c>
      <c r="X85" s="92">
        <f t="shared" si="36"/>
        <v>1</v>
      </c>
      <c r="Y85" s="89">
        <f t="shared" si="37"/>
        <v>23.298300000000001</v>
      </c>
      <c r="Z85" s="89">
        <f t="shared" si="38"/>
        <v>1.49E-2</v>
      </c>
      <c r="AA85" s="89">
        <f t="shared" si="39"/>
        <v>23.2834</v>
      </c>
      <c r="AB85" s="86" t="e">
        <f>VLOOKUP(A85,Enforcements!$C$7:$J$23,8,0)</f>
        <v>#N/A</v>
      </c>
      <c r="AC85" s="82" t="e">
        <f>VLOOKUP(A85,Enforcements!$C$7:$E$23,3,0)</f>
        <v>#N/A</v>
      </c>
      <c r="AD85" s="83" t="str">
        <f t="shared" si="40"/>
        <v>0172-16</v>
      </c>
      <c r="AE85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85" s="75" t="str">
        <f t="shared" si="42"/>
        <v>"C:\Program Files (x86)\AstroGrep\AstroGrep.exe" /spath="C:\Users\stu\Documents\Analysis\2016-02-23 RTDC Observations" /stypes="*4039*20160716*" /stext=" 20:.+((prompt.+disp)|(slice.+state.+chan)|(ment ac)|(system.+state.+chan)|(\|lc)|(penalty)|(\[timeout))" /e /r /s</v>
      </c>
      <c r="AG85" s="1" t="str">
        <f t="shared" si="43"/>
        <v>EC</v>
      </c>
    </row>
    <row r="86" spans="1:33" s="25" customFormat="1" x14ac:dyDescent="0.25">
      <c r="A86" s="49" t="s">
        <v>427</v>
      </c>
      <c r="B86" s="7">
        <v>4029</v>
      </c>
      <c r="C86" s="26" t="s">
        <v>59</v>
      </c>
      <c r="D86" s="26" t="s">
        <v>226</v>
      </c>
      <c r="E86" s="16">
        <v>42567.556388888886</v>
      </c>
      <c r="F86" s="16">
        <v>42567.527245370373</v>
      </c>
      <c r="G86" s="7">
        <v>1</v>
      </c>
      <c r="H86" s="16" t="s">
        <v>71</v>
      </c>
      <c r="I86" s="16">
        <v>42567.53601851852</v>
      </c>
      <c r="J86" s="7">
        <v>0</v>
      </c>
      <c r="K86" s="26" t="str">
        <f t="shared" ref="K86" si="44">IF(ISEVEN(B86),(B86-1)&amp;"/"&amp;B86,B86&amp;"/"&amp;(B86+1))</f>
        <v>4029/4030</v>
      </c>
      <c r="L86" s="26" t="str">
        <f>VLOOKUP(A86,'Trips&amp;Operators'!$C$1:$E$10000,3,FALSE)</f>
        <v>STEWART</v>
      </c>
      <c r="M86" s="6">
        <f t="shared" ref="M86" si="45">I86-F86</f>
        <v>8.7731481471564621E-3</v>
      </c>
      <c r="N86" s="7"/>
      <c r="O86" s="7"/>
      <c r="P86" s="7">
        <f t="shared" si="29"/>
        <v>12.633333331905305</v>
      </c>
      <c r="Q86" s="27"/>
      <c r="R86" s="27" t="s">
        <v>594</v>
      </c>
      <c r="S86" s="45">
        <f t="shared" ref="S86" si="46">SUM(U86:U86)/12</f>
        <v>0</v>
      </c>
      <c r="T86" s="69" t="str">
        <f t="shared" ref="T86" si="47">IF(ISEVEN(LEFT(A86,3)),"Southbound","NorthBound")</f>
        <v>NorthBound</v>
      </c>
      <c r="U86" s="96">
        <f>COUNTIFS(Variables!$M$2:$M$19,IF(T86="NorthBound","&gt;=","&lt;=")&amp;Y86,Variables!$M$2:$M$19,IF(T86="NorthBound","&lt;=","&gt;=")&amp;Z86)</f>
        <v>0</v>
      </c>
      <c r="V86" s="74" t="str">
        <f t="shared" ref="V86" si="48">"https://search-rtdc-monitor-bjffxe2xuh6vdkpspy63sjmuny.us-east-1.es.amazonaws.com/_plugin/kibana/#/discover/Steve-Slow-Train-Analysis-(2080s-and-2083s)?_g=(refreshInterval:(display:Off,section:0,value:0),time:(from:'"&amp;TEXT(E86-1/24,"yyyy-MM-DD hh:mm:ss")&amp;"-0600',mode:absolute,to:'"&amp;TEXT(I86+1/24,"yyyy-MM-DD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https://search-rtdc-monitor-bjffxe2xuh6vdkpspy63sjmuny.us-east-1.es.amazonaws.com/_plugin/kibana/#/discover/Steve-Slow-Train-Analysis-(2080s-and-2083s)?_g=(refreshInterval:(display:Off,section:0,value:0),time:(from:'2016-07-16 12:21:12-0600',mode:absolute,to:'2016-07-16 13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86" s="74" t="str">
        <f t="shared" ref="W86" si="49">IF(AA86&lt;23,"Y","N")</f>
        <v>Y</v>
      </c>
      <c r="X86" s="92">
        <f t="shared" si="36"/>
        <v>1</v>
      </c>
      <c r="Y86" s="89">
        <v>0.2</v>
      </c>
      <c r="Z86" s="89">
        <v>2.7</v>
      </c>
      <c r="AA86" s="89">
        <f t="shared" ref="AA86" si="50">ABS(Z86-Y86)</f>
        <v>2.5</v>
      </c>
      <c r="AB86" s="86" t="e">
        <f>VLOOKUP(A86,Enforcements!$C$7:$J$23,8,0)</f>
        <v>#N/A</v>
      </c>
      <c r="AC86" s="82" t="e">
        <f>VLOOKUP(A86,Enforcements!$C$7:$E$23,3,0)</f>
        <v>#N/A</v>
      </c>
      <c r="AD86" s="83" t="str">
        <f t="shared" ref="AD86" si="51">IF(LEN(A86)=6,"0"&amp;A86,A86)</f>
        <v>0173-16</v>
      </c>
      <c r="AE86" s="75" t="str">
        <f t="shared" ref="AE86" si="52">"aws s3 cp "&amp;s3_bucket&amp;"/RTDC"&amp;B86&amp;"/"&amp;TEXT(F86,"YYYY-MM-DD")&amp;"/ "&amp;search_path&amp;"\RTDC"&amp;B86&amp;"\"&amp;TEXT(F86,"YYYY-MM-DD")&amp;" --recursive &amp; """&amp;walkandungz&amp;""" "&amp;search_path&amp;"\RTDC"&amp;B86&amp;"\"&amp;TEXT(F86,"YYYY-MM-DD")
&amp;" &amp; "&amp;"aws s3 cp "&amp;s3_bucket&amp;"/RTDC"&amp;B86&amp;"/"&amp;TEXT(F86+1,"YYYY-MM-DD")&amp;"/ "&amp;search_path&amp;"\RTDC"&amp;B86&amp;"\"&amp;TEXT(F86+1,"YYYY-MM-DD")&amp;" --recursive &amp; """&amp;walkandungz&amp;""" "&amp;search_path&amp;"\RTDC"&amp;B86&amp;"\"&amp;TEXT(F86+1,"YYYY-MM-DD")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86" s="75" t="str">
        <f t="shared" ref="AF86" si="53">astrogrep_path&amp;" /spath="&amp;search_path&amp;" /stypes=""*"&amp;B86&amp;"*"&amp;TEXT(I86-utc_offset/24,"YYYYMMDD")&amp;"*"" /stext="" "&amp;TEXT(I86-utc_offset/24,"HH")&amp;search_regexp&amp;""" /e /r /s"</f>
        <v>"C:\Program Files (x86)\AstroGrep\AstroGrep.exe" /spath="C:\Users\stu\Documents\Analysis\2016-02-23 RTDC Observations" /stypes="*4029*20160716*" /stext=" 18:.+((prompt.+disp)|(slice.+state.+chan)|(ment ac)|(system.+state.+chan)|(\|lc)|(penalty)|(\[timeout))" /e /r /s</v>
      </c>
      <c r="AG86" s="1" t="str">
        <f t="shared" ref="AG86" si="54">IF(VALUE(LEFT(A86,3))&lt;300,"EC","NWGL")</f>
        <v>EC</v>
      </c>
    </row>
    <row r="87" spans="1:33" x14ac:dyDescent="0.25">
      <c r="A87" s="49" t="s">
        <v>401</v>
      </c>
      <c r="B87" s="7">
        <v>4030</v>
      </c>
      <c r="C87" s="26" t="s">
        <v>59</v>
      </c>
      <c r="D87" s="26" t="s">
        <v>195</v>
      </c>
      <c r="E87" s="16">
        <v>42567.568194444444</v>
      </c>
      <c r="F87" s="16">
        <v>42567.569710648146</v>
      </c>
      <c r="G87" s="7">
        <v>2</v>
      </c>
      <c r="H87" s="16" t="s">
        <v>548</v>
      </c>
      <c r="I87" s="16">
        <v>42567.593333333331</v>
      </c>
      <c r="J87" s="7">
        <v>0</v>
      </c>
      <c r="K87" s="26" t="str">
        <f t="shared" si="30"/>
        <v>4029/4030</v>
      </c>
      <c r="L87" s="26" t="str">
        <f>VLOOKUP(A87,'Trips&amp;Operators'!$C$1:$E$10000,3,FALSE)</f>
        <v>STEWART</v>
      </c>
      <c r="M87" s="6">
        <f t="shared" si="31"/>
        <v>2.3622685184818693E-2</v>
      </c>
      <c r="N87" s="7"/>
      <c r="O87" s="7"/>
      <c r="P87" s="7">
        <f>24*60*SUM($M87:$M88)</f>
        <v>46.116666665766388</v>
      </c>
      <c r="Q87" s="27"/>
      <c r="R87" s="27" t="s">
        <v>592</v>
      </c>
      <c r="S87" s="45">
        <f>SUM(U87:U88)/12</f>
        <v>0.58333333333333337</v>
      </c>
      <c r="T87" s="69" t="str">
        <f t="shared" si="33"/>
        <v>Southbound</v>
      </c>
      <c r="U87" s="96">
        <f>COUNTIFS(Variables!$M$2:$M$19,IF(T87="NorthBound","&gt;=","&lt;=")&amp;Y87,Variables!$M$2:$M$19,IF(T87="NorthBound","&lt;=","&gt;=")&amp;Z87)</f>
        <v>4</v>
      </c>
      <c r="V8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12:38:12-0600',mode:absolute,to:'2016-07-16 15:14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7" s="74" t="str">
        <f t="shared" si="35"/>
        <v>Y</v>
      </c>
      <c r="X87" s="92">
        <f t="shared" si="36"/>
        <v>1</v>
      </c>
      <c r="Y87" s="89">
        <f t="shared" si="37"/>
        <v>23.297499999999999</v>
      </c>
      <c r="Z87" s="89">
        <f t="shared" si="38"/>
        <v>6.04</v>
      </c>
      <c r="AA87" s="89">
        <f t="shared" si="39"/>
        <v>17.2575</v>
      </c>
      <c r="AB87" s="86" t="e">
        <f>VLOOKUP(A87,Enforcements!$C$7:$J$23,8,0)</f>
        <v>#N/A</v>
      </c>
      <c r="AC87" s="82" t="e">
        <f>VLOOKUP(A87,Enforcements!$C$7:$E$23,3,0)</f>
        <v>#N/A</v>
      </c>
      <c r="AD87" s="83" t="str">
        <f t="shared" si="40"/>
        <v>0174-16</v>
      </c>
      <c r="AE87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87" s="75" t="str">
        <f t="shared" si="42"/>
        <v>"C:\Program Files (x86)\AstroGrep\AstroGrep.exe" /spath="C:\Users\stu\Documents\Analysis\2016-02-23 RTDC Observations" /stypes="*4030*20160716*" /stext=" 20:.+((prompt.+disp)|(slice.+state.+chan)|(ment ac)|(system.+state.+chan)|(\|lc)|(penalty)|(\[timeout))" /e /r /s</v>
      </c>
      <c r="AG87" s="1" t="str">
        <f t="shared" si="43"/>
        <v>EC</v>
      </c>
    </row>
    <row r="88" spans="1:33" x14ac:dyDescent="0.25">
      <c r="A88" s="49" t="s">
        <v>401</v>
      </c>
      <c r="B88" s="7">
        <v>4030</v>
      </c>
      <c r="C88" s="26" t="s">
        <v>59</v>
      </c>
      <c r="D88" s="26" t="s">
        <v>549</v>
      </c>
      <c r="E88" s="16">
        <v>42567.599108796298</v>
      </c>
      <c r="F88" s="16">
        <v>42567.599687499998</v>
      </c>
      <c r="G88" s="7">
        <v>0</v>
      </c>
      <c r="H88" s="16" t="s">
        <v>61</v>
      </c>
      <c r="I88" s="16">
        <v>42567.608090277776</v>
      </c>
      <c r="J88" s="7">
        <v>0</v>
      </c>
      <c r="K88" s="26" t="str">
        <f t="shared" si="30"/>
        <v>4029/4030</v>
      </c>
      <c r="L88" s="26" t="str">
        <f>VLOOKUP(A88,'Trips&amp;Operators'!$C$1:$E$10000,3,FALSE)</f>
        <v>STEWART</v>
      </c>
      <c r="M88" s="6">
        <f t="shared" si="31"/>
        <v>8.4027777775190771E-3</v>
      </c>
      <c r="N88" s="7"/>
      <c r="O88" s="7"/>
      <c r="P88" s="7"/>
      <c r="Q88" s="27"/>
      <c r="R88" s="27"/>
      <c r="S88" s="45"/>
      <c r="T88" s="69" t="str">
        <f t="shared" si="33"/>
        <v>Southbound</v>
      </c>
      <c r="U88" s="96">
        <f>COUNTIFS(Variables!$M$2:$M$19,IF(T88="NorthBound","&gt;=","&lt;=")&amp;Y88,Variables!$M$2:$M$19,IF(T88="NorthBound","&lt;=","&gt;=")&amp;Z88)</f>
        <v>3</v>
      </c>
      <c r="V8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13:22:43-0600',mode:absolute,to:'2016-07-16 15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88" s="74" t="str">
        <f t="shared" si="35"/>
        <v>Y</v>
      </c>
      <c r="X88" s="92">
        <f t="shared" si="36"/>
        <v>0</v>
      </c>
      <c r="Y88" s="89">
        <f t="shared" si="37"/>
        <v>3.6791</v>
      </c>
      <c r="Z88" s="89">
        <f t="shared" si="38"/>
        <v>1.52E-2</v>
      </c>
      <c r="AA88" s="89">
        <f t="shared" si="39"/>
        <v>3.6638999999999999</v>
      </c>
      <c r="AB88" s="86" t="e">
        <f>VLOOKUP(A88,Enforcements!$C$7:$J$23,8,0)</f>
        <v>#N/A</v>
      </c>
      <c r="AC88" s="82" t="e">
        <f>VLOOKUP(A88,Enforcements!$C$7:$E$23,3,0)</f>
        <v>#N/A</v>
      </c>
      <c r="AD88" s="83" t="str">
        <f t="shared" si="40"/>
        <v>0174-16</v>
      </c>
      <c r="AE88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88" s="75" t="str">
        <f t="shared" si="42"/>
        <v>"C:\Program Files (x86)\AstroGrep\AstroGrep.exe" /spath="C:\Users\stu\Documents\Analysis\2016-02-23 RTDC Observations" /stypes="*4030*20160716*" /stext=" 20:.+((prompt.+disp)|(slice.+state.+chan)|(ment ac)|(system.+state.+chan)|(\|lc)|(penalty)|(\[timeout))" /e /r /s</v>
      </c>
      <c r="AG88" s="1" t="str">
        <f t="shared" si="43"/>
        <v>EC</v>
      </c>
    </row>
    <row r="89" spans="1:33" x14ac:dyDescent="0.25">
      <c r="A89" s="49" t="s">
        <v>428</v>
      </c>
      <c r="B89" s="7">
        <v>4018</v>
      </c>
      <c r="C89" s="26" t="s">
        <v>59</v>
      </c>
      <c r="D89" s="26" t="s">
        <v>550</v>
      </c>
      <c r="E89" s="16">
        <v>42567.546435185184</v>
      </c>
      <c r="F89" s="16">
        <v>42567.547708333332</v>
      </c>
      <c r="G89" s="7">
        <v>1</v>
      </c>
      <c r="H89" s="16" t="s">
        <v>223</v>
      </c>
      <c r="I89" s="16">
        <v>42567.571412037039</v>
      </c>
      <c r="J89" s="7">
        <v>0</v>
      </c>
      <c r="K89" s="26" t="str">
        <f t="shared" si="30"/>
        <v>4017/4018</v>
      </c>
      <c r="L89" s="26" t="str">
        <f>VLOOKUP(A89,'Trips&amp;Operators'!$C$1:$E$10000,3,FALSE)</f>
        <v>STORY</v>
      </c>
      <c r="M89" s="6">
        <f t="shared" si="31"/>
        <v>2.3703703707724344E-2</v>
      </c>
      <c r="N89" s="7"/>
      <c r="O89" s="7"/>
      <c r="P89" s="7">
        <f t="shared" si="29"/>
        <v>34.133333339123055</v>
      </c>
      <c r="Q89" s="27"/>
      <c r="R89" s="27" t="s">
        <v>591</v>
      </c>
      <c r="S89" s="45">
        <f t="shared" si="32"/>
        <v>1</v>
      </c>
      <c r="T89" s="69" t="str">
        <f t="shared" si="33"/>
        <v>NorthBound</v>
      </c>
      <c r="U89" s="96">
        <f>COUNTIFS(Variables!$M$2:$M$19,IF(T89="NorthBound","&gt;=","&lt;=")&amp;Y89,Variables!$M$2:$M$19,IF(T89="NorthBound","&lt;=","&gt;=")&amp;Z89)</f>
        <v>12</v>
      </c>
      <c r="V8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12:06:52-0600',mode:absolute,to:'2016-07-16 14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9" s="74" t="str">
        <f t="shared" si="35"/>
        <v>Y</v>
      </c>
      <c r="X89" s="92">
        <f t="shared" si="36"/>
        <v>1</v>
      </c>
      <c r="Y89" s="89">
        <f t="shared" si="37"/>
        <v>1.9123000000000001</v>
      </c>
      <c r="Z89" s="89">
        <f t="shared" si="38"/>
        <v>23.3306</v>
      </c>
      <c r="AA89" s="89">
        <f t="shared" si="39"/>
        <v>21.418300000000002</v>
      </c>
      <c r="AB89" s="86" t="e">
        <f>VLOOKUP(A89,Enforcements!$C$7:$J$23,8,0)</f>
        <v>#N/A</v>
      </c>
      <c r="AC89" s="82" t="e">
        <f>VLOOKUP(A89,Enforcements!$C$7:$E$23,3,0)</f>
        <v>#N/A</v>
      </c>
      <c r="AD89" s="83" t="str">
        <f t="shared" si="40"/>
        <v>0175-16</v>
      </c>
      <c r="AE89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89" s="75" t="str">
        <f t="shared" si="42"/>
        <v>"C:\Program Files (x86)\AstroGrep\AstroGrep.exe" /spath="C:\Users\stu\Documents\Analysis\2016-02-23 RTDC Observations" /stypes="*4018*20160716*" /stext=" 19:.+((prompt.+disp)|(slice.+state.+chan)|(ment ac)|(system.+state.+chan)|(\|lc)|(penalty)|(\[timeout))" /e /r /s</v>
      </c>
      <c r="AG89" s="1" t="str">
        <f t="shared" si="43"/>
        <v>EC</v>
      </c>
    </row>
    <row r="90" spans="1:33" x14ac:dyDescent="0.25">
      <c r="A90" s="49" t="s">
        <v>499</v>
      </c>
      <c r="B90" s="7">
        <v>4017</v>
      </c>
      <c r="C90" s="26" t="s">
        <v>59</v>
      </c>
      <c r="D90" s="26" t="s">
        <v>219</v>
      </c>
      <c r="E90" s="16">
        <v>42567.57508101852</v>
      </c>
      <c r="F90" s="16">
        <v>42567.576226851852</v>
      </c>
      <c r="G90" s="7">
        <v>1</v>
      </c>
      <c r="H90" s="16" t="s">
        <v>212</v>
      </c>
      <c r="I90" s="16">
        <v>42567.619814814818</v>
      </c>
      <c r="J90" s="7">
        <v>0</v>
      </c>
      <c r="K90" s="26" t="str">
        <f t="shared" si="30"/>
        <v>4017/4018</v>
      </c>
      <c r="L90" s="26" t="str">
        <f>VLOOKUP(A90,'Trips&amp;Operators'!$C$1:$E$10000,3,FALSE)</f>
        <v>STORY</v>
      </c>
      <c r="M90" s="6">
        <f t="shared" si="31"/>
        <v>4.3587962965830229E-2</v>
      </c>
      <c r="N90" s="7">
        <f t="shared" si="29"/>
        <v>62.76666667079553</v>
      </c>
      <c r="O90" s="7"/>
      <c r="P90" s="7"/>
      <c r="Q90" s="27"/>
      <c r="R90" s="27"/>
      <c r="S90" s="45">
        <f t="shared" si="32"/>
        <v>1</v>
      </c>
      <c r="T90" s="69" t="str">
        <f t="shared" si="33"/>
        <v>Southbound</v>
      </c>
      <c r="U90" s="96">
        <f>COUNTIFS(Variables!$M$2:$M$19,IF(T90="NorthBound","&gt;=","&lt;=")&amp;Y90,Variables!$M$2:$M$19,IF(T90="NorthBound","&lt;=","&gt;=")&amp;Z90)</f>
        <v>12</v>
      </c>
      <c r="V9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12:48:07-0600',mode:absolute,to:'2016-07-16 15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0" s="74" t="str">
        <f t="shared" si="35"/>
        <v>N</v>
      </c>
      <c r="X90" s="92">
        <f t="shared" si="36"/>
        <v>1</v>
      </c>
      <c r="Y90" s="89">
        <f t="shared" si="37"/>
        <v>23.3002</v>
      </c>
      <c r="Z90" s="89">
        <f t="shared" si="38"/>
        <v>1.32E-2</v>
      </c>
      <c r="AA90" s="89">
        <f t="shared" si="39"/>
        <v>23.286999999999999</v>
      </c>
      <c r="AB90" s="86" t="e">
        <f>VLOOKUP(A90,Enforcements!$C$7:$J$23,8,0)</f>
        <v>#N/A</v>
      </c>
      <c r="AC90" s="82" t="e">
        <f>VLOOKUP(A90,Enforcements!$C$7:$E$23,3,0)</f>
        <v>#N/A</v>
      </c>
      <c r="AD90" s="83" t="str">
        <f t="shared" si="40"/>
        <v>0176-16</v>
      </c>
      <c r="AE90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90" s="75" t="str">
        <f t="shared" si="42"/>
        <v>"C:\Program Files (x86)\AstroGrep\AstroGrep.exe" /spath="C:\Users\stu\Documents\Analysis\2016-02-23 RTDC Observations" /stypes="*4017*20160716*" /stext=" 20:.+((prompt.+disp)|(slice.+state.+chan)|(ment ac)|(system.+state.+chan)|(\|lc)|(penalty)|(\[timeout))" /e /r /s</v>
      </c>
      <c r="AG90" s="1" t="str">
        <f t="shared" si="43"/>
        <v>EC</v>
      </c>
    </row>
    <row r="91" spans="1:33" x14ac:dyDescent="0.25">
      <c r="A91" s="49" t="s">
        <v>497</v>
      </c>
      <c r="B91" s="7">
        <v>4011</v>
      </c>
      <c r="C91" s="26" t="s">
        <v>59</v>
      </c>
      <c r="D91" s="26" t="s">
        <v>202</v>
      </c>
      <c r="E91" s="16">
        <v>42567.545636574076</v>
      </c>
      <c r="F91" s="16">
        <v>42567.546724537038</v>
      </c>
      <c r="G91" s="7">
        <v>1</v>
      </c>
      <c r="H91" s="16" t="s">
        <v>225</v>
      </c>
      <c r="I91" s="16">
        <v>42567.579652777778</v>
      </c>
      <c r="J91" s="7">
        <v>1</v>
      </c>
      <c r="K91" s="26" t="str">
        <f t="shared" si="30"/>
        <v>4011/4012</v>
      </c>
      <c r="L91" s="26" t="str">
        <f>VLOOKUP(A91,'Trips&amp;Operators'!$C$1:$E$10000,3,FALSE)</f>
        <v>REBOLETTI</v>
      </c>
      <c r="M91" s="6">
        <f t="shared" si="31"/>
        <v>3.2928240740147885E-2</v>
      </c>
      <c r="N91" s="7">
        <f t="shared" si="29"/>
        <v>47.416666665812954</v>
      </c>
      <c r="O91" s="7"/>
      <c r="P91" s="7"/>
      <c r="Q91" s="27"/>
      <c r="R91" s="27"/>
      <c r="S91" s="45">
        <f t="shared" si="32"/>
        <v>1</v>
      </c>
      <c r="T91" s="69" t="str">
        <f t="shared" si="33"/>
        <v>NorthBound</v>
      </c>
      <c r="U91" s="96">
        <f>COUNTIFS(Variables!$M$2:$M$19,IF(T91="NorthBound","&gt;=","&lt;=")&amp;Y91,Variables!$M$2:$M$19,IF(T91="NorthBound","&lt;=","&gt;=")&amp;Z91)</f>
        <v>12</v>
      </c>
      <c r="V9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12:05:43-0600',mode:absolute,to:'2016-07-16 14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1" s="74" t="str">
        <f t="shared" si="35"/>
        <v>N</v>
      </c>
      <c r="X91" s="92">
        <f t="shared" si="36"/>
        <v>1</v>
      </c>
      <c r="Y91" s="89">
        <f t="shared" si="37"/>
        <v>4.4200000000000003E-2</v>
      </c>
      <c r="Z91" s="89">
        <f t="shared" si="38"/>
        <v>23.328800000000001</v>
      </c>
      <c r="AA91" s="89">
        <f t="shared" si="39"/>
        <v>23.284600000000001</v>
      </c>
      <c r="AB91" s="86" t="e">
        <f>VLOOKUP(A91,Enforcements!$C$7:$J$23,8,0)</f>
        <v>#N/A</v>
      </c>
      <c r="AC91" s="82" t="e">
        <f>VLOOKUP(A91,Enforcements!$C$7:$E$23,3,0)</f>
        <v>#N/A</v>
      </c>
      <c r="AD91" s="83" t="str">
        <f t="shared" si="40"/>
        <v>0177-16</v>
      </c>
      <c r="AE91" s="75" t="str">
        <f t="shared" si="41"/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AF91" s="75" t="str">
        <f t="shared" si="42"/>
        <v>"C:\Program Files (x86)\AstroGrep\AstroGrep.exe" /spath="C:\Users\stu\Documents\Analysis\2016-02-23 RTDC Observations" /stypes="*4011*20160716*" /stext=" 19:.+((prompt.+disp)|(slice.+state.+chan)|(ment ac)|(system.+state.+chan)|(\|lc)|(penalty)|(\[timeout))" /e /r /s</v>
      </c>
      <c r="AG91" s="1" t="str">
        <f t="shared" si="43"/>
        <v>EC</v>
      </c>
    </row>
    <row r="92" spans="1:33" x14ac:dyDescent="0.25">
      <c r="A92" s="49" t="s">
        <v>386</v>
      </c>
      <c r="B92" s="7">
        <v>4012</v>
      </c>
      <c r="C92" s="26" t="s">
        <v>59</v>
      </c>
      <c r="D92" s="26" t="s">
        <v>68</v>
      </c>
      <c r="E92" s="16">
        <v>42567.588773148149</v>
      </c>
      <c r="F92" s="16">
        <v>42567.589629629627</v>
      </c>
      <c r="G92" s="7">
        <v>1</v>
      </c>
      <c r="H92" s="16" t="s">
        <v>170</v>
      </c>
      <c r="I92" s="16">
        <v>42567.625578703701</v>
      </c>
      <c r="J92" s="7">
        <v>0</v>
      </c>
      <c r="K92" s="26" t="str">
        <f t="shared" si="30"/>
        <v>4011/4012</v>
      </c>
      <c r="L92" s="26" t="str">
        <f>VLOOKUP(A92,'Trips&amp;Operators'!$C$1:$E$10000,3,FALSE)</f>
        <v>REBOLETTI</v>
      </c>
      <c r="M92" s="6">
        <f t="shared" si="31"/>
        <v>3.5949074073869269E-2</v>
      </c>
      <c r="N92" s="7">
        <f t="shared" si="29"/>
        <v>51.766666666371748</v>
      </c>
      <c r="O92" s="7"/>
      <c r="P92" s="7"/>
      <c r="Q92" s="27"/>
      <c r="R92" s="27"/>
      <c r="S92" s="45">
        <f t="shared" si="32"/>
        <v>1</v>
      </c>
      <c r="T92" s="69" t="str">
        <f t="shared" si="33"/>
        <v>Southbound</v>
      </c>
      <c r="U92" s="96">
        <f>COUNTIFS(Variables!$M$2:$M$19,IF(T92="NorthBound","&gt;=","&lt;=")&amp;Y92,Variables!$M$2:$M$19,IF(T92="NorthBound","&lt;=","&gt;=")&amp;Z92)</f>
        <v>12</v>
      </c>
      <c r="V9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13:07:50-0600',mode:absolute,to:'2016-07-16 16:00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2" s="74" t="str">
        <f t="shared" si="35"/>
        <v>N</v>
      </c>
      <c r="X92" s="92">
        <f t="shared" si="36"/>
        <v>1</v>
      </c>
      <c r="Y92" s="89">
        <f t="shared" si="37"/>
        <v>23.297699999999999</v>
      </c>
      <c r="Z92" s="89">
        <f t="shared" si="38"/>
        <v>4.53E-2</v>
      </c>
      <c r="AA92" s="89">
        <f t="shared" si="39"/>
        <v>23.252399999999998</v>
      </c>
      <c r="AB92" s="86" t="e">
        <f>VLOOKUP(A92,Enforcements!$C$7:$J$23,8,0)</f>
        <v>#N/A</v>
      </c>
      <c r="AC92" s="82" t="e">
        <f>VLOOKUP(A92,Enforcements!$C$7:$E$23,3,0)</f>
        <v>#N/A</v>
      </c>
      <c r="AD92" s="83" t="str">
        <f t="shared" si="40"/>
        <v>0178-16</v>
      </c>
      <c r="AE92" s="75" t="str">
        <f t="shared" si="41"/>
        <v>aws s3 cp s3://rtdc.mdm.uploadarchive/RTDC4012/2016-07-16/ "C:\Users\stu\Documents\Analysis\2016-02-23 RTDC Observations"\RTDC4012\2016-07-16 --recursive &amp; "C:\Users\stu\Documents\GitHub\mrs-test-scripts\Headless Mode &amp; Sideloading\WalkAndUnGZ.bat" "C:\Users\stu\Documents\Analysis\2016-02-23 RTDC Observations"\RTDC4012\2016-07-16 &amp; aws s3 cp s3://rtdc.mdm.uploadarchive/RTDC4012/2016-07-17/ "C:\Users\stu\Documents\Analysis\2016-02-23 RTDC Observations"\RTDC4012\2016-07-17 --recursive &amp; "C:\Users\stu\Documents\GitHub\mrs-test-scripts\Headless Mode &amp; Sideloading\WalkAndUnGZ.bat" "C:\Users\stu\Documents\Analysis\2016-02-23 RTDC Observations"\RTDC4012\2016-07-17</v>
      </c>
      <c r="AF92" s="75" t="str">
        <f t="shared" si="42"/>
        <v>"C:\Program Files (x86)\AstroGrep\AstroGrep.exe" /spath="C:\Users\stu\Documents\Analysis\2016-02-23 RTDC Observations" /stypes="*4012*20160716*" /stext=" 21:.+((prompt.+disp)|(slice.+state.+chan)|(ment ac)|(system.+state.+chan)|(\|lc)|(penalty)|(\[timeout))" /e /r /s</v>
      </c>
      <c r="AG92" s="1" t="str">
        <f t="shared" si="43"/>
        <v>EC</v>
      </c>
    </row>
    <row r="93" spans="1:33" x14ac:dyDescent="0.25">
      <c r="A93" s="49" t="s">
        <v>498</v>
      </c>
      <c r="B93" s="7">
        <v>4042</v>
      </c>
      <c r="C93" s="26" t="s">
        <v>59</v>
      </c>
      <c r="D93" s="26" t="s">
        <v>551</v>
      </c>
      <c r="E93" s="16">
        <v>42567.561956018515</v>
      </c>
      <c r="F93" s="16">
        <v>42567.562951388885</v>
      </c>
      <c r="G93" s="7">
        <v>1</v>
      </c>
      <c r="H93" s="16" t="s">
        <v>347</v>
      </c>
      <c r="I93" s="16">
        <v>42567.595081018517</v>
      </c>
      <c r="J93" s="7">
        <v>1</v>
      </c>
      <c r="K93" s="26" t="str">
        <f t="shared" si="30"/>
        <v>4041/4042</v>
      </c>
      <c r="L93" s="26" t="str">
        <f>VLOOKUP(A93,'Trips&amp;Operators'!$C$1:$E$10000,3,FALSE)</f>
        <v>HELVIE</v>
      </c>
      <c r="M93" s="6">
        <f t="shared" si="31"/>
        <v>3.2129629631526768E-2</v>
      </c>
      <c r="N93" s="7">
        <f t="shared" si="29"/>
        <v>46.266666669398546</v>
      </c>
      <c r="O93" s="7"/>
      <c r="P93" s="7"/>
      <c r="Q93" s="27"/>
      <c r="R93" s="27"/>
      <c r="S93" s="45">
        <f t="shared" si="32"/>
        <v>1</v>
      </c>
      <c r="T93" s="69" t="str">
        <f t="shared" si="33"/>
        <v>NorthBound</v>
      </c>
      <c r="U93" s="96">
        <f>COUNTIFS(Variables!$M$2:$M$19,IF(T93="NorthBound","&gt;=","&lt;=")&amp;Y93,Variables!$M$2:$M$19,IF(T93="NorthBound","&lt;=","&gt;=")&amp;Z93)</f>
        <v>12</v>
      </c>
      <c r="V9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12:29:13-0600',mode:absolute,to:'2016-07-16 15:16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3" s="74" t="str">
        <f t="shared" si="35"/>
        <v>N</v>
      </c>
      <c r="X93" s="92">
        <f t="shared" si="36"/>
        <v>1</v>
      </c>
      <c r="Y93" s="89">
        <f t="shared" si="37"/>
        <v>5.62E-2</v>
      </c>
      <c r="Z93" s="89">
        <f t="shared" si="38"/>
        <v>23.331700000000001</v>
      </c>
      <c r="AA93" s="89">
        <f t="shared" si="39"/>
        <v>23.275500000000001</v>
      </c>
      <c r="AB93" s="86" t="e">
        <f>VLOOKUP(A93,Enforcements!$C$7:$J$23,8,0)</f>
        <v>#N/A</v>
      </c>
      <c r="AC93" s="82" t="e">
        <f>VLOOKUP(A93,Enforcements!$C$7:$E$23,3,0)</f>
        <v>#N/A</v>
      </c>
      <c r="AD93" s="83" t="str">
        <f t="shared" si="40"/>
        <v>0179-16</v>
      </c>
      <c r="AE93" s="75" t="str">
        <f t="shared" si="41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93" s="75" t="str">
        <f t="shared" si="42"/>
        <v>"C:\Program Files (x86)\AstroGrep\AstroGrep.exe" /spath="C:\Users\stu\Documents\Analysis\2016-02-23 RTDC Observations" /stypes="*4042*20160716*" /stext=" 20:.+((prompt.+disp)|(slice.+state.+chan)|(ment ac)|(system.+state.+chan)|(\|lc)|(penalty)|(\[timeout))" /e /r /s</v>
      </c>
      <c r="AG93" s="1" t="str">
        <f t="shared" si="43"/>
        <v>EC</v>
      </c>
    </row>
    <row r="94" spans="1:33" x14ac:dyDescent="0.25">
      <c r="A94" s="49" t="s">
        <v>503</v>
      </c>
      <c r="B94" s="7">
        <v>4041</v>
      </c>
      <c r="C94" s="26" t="s">
        <v>59</v>
      </c>
      <c r="D94" s="26" t="s">
        <v>214</v>
      </c>
      <c r="E94" s="16">
        <v>42567.598622685182</v>
      </c>
      <c r="F94" s="16">
        <v>42567.599490740744</v>
      </c>
      <c r="G94" s="7">
        <v>1</v>
      </c>
      <c r="H94" s="16" t="s">
        <v>71</v>
      </c>
      <c r="I94" s="16">
        <v>42567.629525462966</v>
      </c>
      <c r="J94" s="7">
        <v>1</v>
      </c>
      <c r="K94" s="26" t="str">
        <f t="shared" si="30"/>
        <v>4041/4042</v>
      </c>
      <c r="L94" s="26" t="str">
        <f>VLOOKUP(A94,'Trips&amp;Operators'!$C$1:$E$10000,3,FALSE)</f>
        <v>HELVIE</v>
      </c>
      <c r="M94" s="6">
        <f t="shared" si="31"/>
        <v>3.0034722221898846E-2</v>
      </c>
      <c r="N94" s="7">
        <f t="shared" si="29"/>
        <v>43.249999999534339</v>
      </c>
      <c r="O94" s="7"/>
      <c r="P94" s="7"/>
      <c r="Q94" s="27"/>
      <c r="R94" s="27"/>
      <c r="S94" s="45">
        <f t="shared" si="32"/>
        <v>1</v>
      </c>
      <c r="T94" s="69" t="str">
        <f t="shared" si="33"/>
        <v>Southbound</v>
      </c>
      <c r="U94" s="96">
        <f>COUNTIFS(Variables!$M$2:$M$19,IF(T94="NorthBound","&gt;=","&lt;=")&amp;Y94,Variables!$M$2:$M$19,IF(T94="NorthBound","&lt;=","&gt;=")&amp;Z94)</f>
        <v>12</v>
      </c>
      <c r="V9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13:22:01-0600',mode:absolute,to:'2016-07-16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4" s="74" t="str">
        <f t="shared" si="35"/>
        <v>N</v>
      </c>
      <c r="X94" s="92">
        <f t="shared" si="36"/>
        <v>1</v>
      </c>
      <c r="Y94" s="89">
        <f t="shared" si="37"/>
        <v>23.2989</v>
      </c>
      <c r="Z94" s="89">
        <f t="shared" si="38"/>
        <v>1.49E-2</v>
      </c>
      <c r="AA94" s="89">
        <f t="shared" si="39"/>
        <v>23.283999999999999</v>
      </c>
      <c r="AB94" s="86">
        <f>VLOOKUP(A94,Enforcements!$C$7:$J$23,8,0)</f>
        <v>190834</v>
      </c>
      <c r="AC94" s="82" t="str">
        <f>VLOOKUP(A94,Enforcements!$C$7:$E$23,3,0)</f>
        <v>PERMANENT SPEED RESTRICTION</v>
      </c>
      <c r="AD94" s="83" t="str">
        <f t="shared" si="40"/>
        <v>0180-16</v>
      </c>
      <c r="AE94" s="75" t="str">
        <f t="shared" si="41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94" s="75" t="str">
        <f t="shared" si="42"/>
        <v>"C:\Program Files (x86)\AstroGrep\AstroGrep.exe" /spath="C:\Users\stu\Documents\Analysis\2016-02-23 RTDC Observations" /stypes="*4041*20160716*" /stext=" 21:.+((prompt.+disp)|(slice.+state.+chan)|(ment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49" t="s">
        <v>455</v>
      </c>
      <c r="B95" s="7">
        <v>4014</v>
      </c>
      <c r="C95" s="26" t="s">
        <v>59</v>
      </c>
      <c r="D95" s="26" t="s">
        <v>170</v>
      </c>
      <c r="E95" s="16">
        <v>42567.570833333331</v>
      </c>
      <c r="F95" s="16">
        <v>42567.571886574071</v>
      </c>
      <c r="G95" s="7">
        <v>1</v>
      </c>
      <c r="H95" s="16" t="s">
        <v>183</v>
      </c>
      <c r="I95" s="16">
        <v>42567.605428240742</v>
      </c>
      <c r="J95" s="7">
        <v>0</v>
      </c>
      <c r="K95" s="26" t="str">
        <f t="shared" si="30"/>
        <v>4013/4014</v>
      </c>
      <c r="L95" s="26" t="str">
        <f>VLOOKUP(A95,'Trips&amp;Operators'!$C$1:$E$10000,3,FALSE)</f>
        <v>BRUDER</v>
      </c>
      <c r="M95" s="6">
        <f t="shared" si="31"/>
        <v>3.3541666671226267E-2</v>
      </c>
      <c r="N95" s="7">
        <f t="shared" si="29"/>
        <v>48.300000006565824</v>
      </c>
      <c r="O95" s="7"/>
      <c r="P95" s="7"/>
      <c r="Q95" s="27"/>
      <c r="R95" s="27"/>
      <c r="S95" s="45">
        <f t="shared" si="32"/>
        <v>1</v>
      </c>
      <c r="T95" s="69" t="str">
        <f t="shared" si="33"/>
        <v>NorthBound</v>
      </c>
      <c r="U95" s="96">
        <f>COUNTIFS(Variables!$M$2:$M$19,IF(T95="NorthBound","&gt;=","&lt;=")&amp;Y95,Variables!$M$2:$M$19,IF(T95="NorthBound","&lt;=","&gt;=")&amp;Z95)</f>
        <v>12</v>
      </c>
      <c r="V9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12:42:00-0600',mode:absolute,to:'2016-07-16 15:31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5" s="74" t="str">
        <f t="shared" si="35"/>
        <v>N</v>
      </c>
      <c r="X95" s="92">
        <f t="shared" si="36"/>
        <v>1</v>
      </c>
      <c r="Y95" s="89">
        <f t="shared" si="37"/>
        <v>4.53E-2</v>
      </c>
      <c r="Z95" s="89">
        <f t="shared" si="38"/>
        <v>23.329499999999999</v>
      </c>
      <c r="AA95" s="89">
        <f t="shared" si="39"/>
        <v>23.284199999999998</v>
      </c>
      <c r="AB95" s="86" t="e">
        <f>VLOOKUP(A95,Enforcements!$C$7:$J$23,8,0)</f>
        <v>#N/A</v>
      </c>
      <c r="AC95" s="82" t="e">
        <f>VLOOKUP(A95,Enforcements!$C$7:$E$23,3,0)</f>
        <v>#N/A</v>
      </c>
      <c r="AD95" s="83" t="str">
        <f t="shared" si="40"/>
        <v>0181-16</v>
      </c>
      <c r="AE95" s="75" t="str">
        <f t="shared" si="41"/>
        <v>aws s3 cp s3://rtdc.mdm.uploadarchive/RTDC4014/2016-07-16/ "C:\Users\stu\Documents\Analysis\2016-02-23 RTDC Observations"\RTDC4014\2016-07-16 --recursive &amp; "C:\Users\stu\Documents\GitHub\mrs-test-scripts\Headless Mode &amp; Sideloading\WalkAndUnGZ.bat" "C:\Users\stu\Documents\Analysis\2016-02-23 RTDC Observations"\RTDC4014\2016-07-16 &amp; 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</v>
      </c>
      <c r="AF95" s="75" t="str">
        <f t="shared" si="42"/>
        <v>"C:\Program Files (x86)\AstroGrep\AstroGrep.exe" /spath="C:\Users\stu\Documents\Analysis\2016-02-23 RTDC Observations" /stypes="*4014*20160716*" /stext=" 20:.+((prompt.+disp)|(slice.+state.+chan)|(ment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49" t="s">
        <v>430</v>
      </c>
      <c r="B96" s="7">
        <v>4013</v>
      </c>
      <c r="C96" s="26" t="s">
        <v>59</v>
      </c>
      <c r="D96" s="26" t="s">
        <v>349</v>
      </c>
      <c r="E96" s="16">
        <v>42567.608854166669</v>
      </c>
      <c r="F96" s="16">
        <v>42567.609722222223</v>
      </c>
      <c r="G96" s="7">
        <v>1</v>
      </c>
      <c r="H96" s="16" t="s">
        <v>552</v>
      </c>
      <c r="I96" s="16">
        <v>42567.635115740741</v>
      </c>
      <c r="J96" s="7">
        <v>0</v>
      </c>
      <c r="K96" s="26" t="str">
        <f t="shared" si="30"/>
        <v>4013/4014</v>
      </c>
      <c r="L96" s="26" t="str">
        <f>VLOOKUP(A96,'Trips&amp;Operators'!$C$1:$E$10000,3,FALSE)</f>
        <v>BRUDER</v>
      </c>
      <c r="M96" s="6">
        <f t="shared" si="31"/>
        <v>2.5393518517375924E-2</v>
      </c>
      <c r="N96" s="7"/>
      <c r="O96" s="7"/>
      <c r="P96" s="7">
        <f>24*60*SUM($M96:$M97)</f>
        <v>93.433333329157904</v>
      </c>
      <c r="Q96" s="27"/>
      <c r="R96" s="27" t="s">
        <v>592</v>
      </c>
      <c r="S96" s="45">
        <f>SUM(U96:U97)/12</f>
        <v>0.33333333333333331</v>
      </c>
      <c r="T96" s="69" t="str">
        <f t="shared" si="33"/>
        <v>Southbound</v>
      </c>
      <c r="U96" s="96">
        <f>COUNTIFS(Variables!$M$2:$M$19,IF(T96="NorthBound","&gt;=","&lt;=")&amp;Y96,Variables!$M$2:$M$19,IF(T96="NorthBound","&lt;=","&gt;=")&amp;Z96)</f>
        <v>4</v>
      </c>
      <c r="V9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13:36:45-0600',mode:absolute,to:'2016-07-16 16:14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6" s="74" t="str">
        <f t="shared" si="35"/>
        <v>Y</v>
      </c>
      <c r="X96" s="92">
        <f t="shared" si="36"/>
        <v>1</v>
      </c>
      <c r="Y96" s="89">
        <f t="shared" si="37"/>
        <v>23.296700000000001</v>
      </c>
      <c r="Z96" s="89">
        <f t="shared" si="38"/>
        <v>5.9335000000000004</v>
      </c>
      <c r="AA96" s="89">
        <f t="shared" si="39"/>
        <v>17.363199999999999</v>
      </c>
      <c r="AB96" s="86" t="e">
        <f>VLOOKUP(A96,Enforcements!$C$7:$J$23,8,0)</f>
        <v>#N/A</v>
      </c>
      <c r="AC96" s="82" t="e">
        <f>VLOOKUP(A96,Enforcements!$C$7:$E$23,3,0)</f>
        <v>#N/A</v>
      </c>
      <c r="AD96" s="83" t="str">
        <f t="shared" si="40"/>
        <v>0182-16</v>
      </c>
      <c r="AE96" s="75" t="str">
        <f t="shared" si="41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96" s="75" t="str">
        <f t="shared" si="42"/>
        <v>"C:\Program Files (x86)\AstroGrep\AstroGrep.exe" /spath="C:\Users\stu\Documents\Analysis\2016-02-23 RTDC Observations" /stypes="*4013*20160716*" /stext=" 21:.+((prompt.+disp)|(slice.+state.+chan)|(ment ac)|(system.+state.+chan)|(\|lc)|(penalty)|(\[timeout))" /e /r /s</v>
      </c>
      <c r="AG96" s="1" t="str">
        <f t="shared" si="43"/>
        <v>EC</v>
      </c>
    </row>
    <row r="97" spans="1:33" x14ac:dyDescent="0.25">
      <c r="A97" s="49" t="s">
        <v>430</v>
      </c>
      <c r="B97" s="7">
        <v>4013</v>
      </c>
      <c r="C97" s="26" t="s">
        <v>59</v>
      </c>
      <c r="D97" s="26" t="s">
        <v>553</v>
      </c>
      <c r="E97" s="16">
        <v>42567.635462962964</v>
      </c>
      <c r="F97" s="16">
        <v>42567.636458333334</v>
      </c>
      <c r="G97" s="7">
        <v>1</v>
      </c>
      <c r="H97" s="16" t="s">
        <v>554</v>
      </c>
      <c r="I97" s="16">
        <v>42567.675949074073</v>
      </c>
      <c r="J97" s="7">
        <v>0</v>
      </c>
      <c r="K97" s="26" t="str">
        <f t="shared" si="30"/>
        <v>4013/4014</v>
      </c>
      <c r="L97" s="26" t="str">
        <f>VLOOKUP(A97,'Trips&amp;Operators'!$C$1:$E$10000,3,FALSE)</f>
        <v>BRUDER</v>
      </c>
      <c r="M97" s="6">
        <f t="shared" si="31"/>
        <v>3.9490740738983732E-2</v>
      </c>
      <c r="N97" s="7"/>
      <c r="O97" s="7"/>
      <c r="P97" s="7"/>
      <c r="Q97" s="27"/>
      <c r="R97" s="27"/>
      <c r="S97" s="45"/>
      <c r="T97" s="69" t="str">
        <f t="shared" si="33"/>
        <v>Southbound</v>
      </c>
      <c r="U97" s="96">
        <f>COUNTIFS(Variables!$M$2:$M$19,IF(T97="NorthBound","&gt;=","&lt;=")&amp;Y97,Variables!$M$2:$M$19,IF(T97="NorthBound","&lt;=","&gt;=")&amp;Z97)</f>
        <v>0</v>
      </c>
      <c r="V9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14:15:04-0600',mode:absolute,to:'2016-07-16 17:13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7" s="74" t="str">
        <f t="shared" si="35"/>
        <v>Y</v>
      </c>
      <c r="X97" s="92">
        <f t="shared" si="36"/>
        <v>0</v>
      </c>
      <c r="Y97" s="89">
        <f t="shared" si="37"/>
        <v>5.9337</v>
      </c>
      <c r="Z97" s="89">
        <f t="shared" si="38"/>
        <v>5.9396000000000004</v>
      </c>
      <c r="AA97" s="89">
        <f t="shared" si="39"/>
        <v>5.9000000000004604E-3</v>
      </c>
      <c r="AB97" s="86" t="e">
        <f>VLOOKUP(A97,Enforcements!$C$7:$J$23,8,0)</f>
        <v>#N/A</v>
      </c>
      <c r="AC97" s="82" t="e">
        <f>VLOOKUP(A97,Enforcements!$C$7:$E$23,3,0)</f>
        <v>#N/A</v>
      </c>
      <c r="AD97" s="83" t="str">
        <f t="shared" si="40"/>
        <v>0182-16</v>
      </c>
      <c r="AE97" s="75" t="str">
        <f t="shared" si="41"/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AF97" s="75" t="str">
        <f t="shared" si="42"/>
        <v>"C:\Program Files (x86)\AstroGrep\AstroGrep.exe" /spath="C:\Users\stu\Documents\Analysis\2016-02-23 RTDC Observations" /stypes="*4013*20160716*" /stext=" 22:.+((prompt.+disp)|(slice.+state.+chan)|(ment ac)|(system.+state.+chan)|(\|lc)|(penalty)|(\[timeout))" /e /r /s</v>
      </c>
      <c r="AG97" s="1" t="str">
        <f t="shared" si="43"/>
        <v>EC</v>
      </c>
    </row>
    <row r="98" spans="1:33" x14ac:dyDescent="0.25">
      <c r="A98" s="49" t="s">
        <v>453</v>
      </c>
      <c r="B98" s="7">
        <v>4020</v>
      </c>
      <c r="C98" s="26" t="s">
        <v>59</v>
      </c>
      <c r="D98" s="26" t="s">
        <v>170</v>
      </c>
      <c r="E98" s="16">
        <v>42567.58326388889</v>
      </c>
      <c r="F98" s="16">
        <v>42567.584467592591</v>
      </c>
      <c r="G98" s="7">
        <v>1</v>
      </c>
      <c r="H98" s="16" t="s">
        <v>223</v>
      </c>
      <c r="I98" s="16">
        <v>42567.615613425929</v>
      </c>
      <c r="J98" s="7">
        <v>1</v>
      </c>
      <c r="K98" s="26" t="str">
        <f t="shared" si="30"/>
        <v>4019/4020</v>
      </c>
      <c r="L98" s="26" t="str">
        <f>VLOOKUP(A98,'Trips&amp;Operators'!$C$1:$E$10000,3,FALSE)</f>
        <v>MAYBERRY</v>
      </c>
      <c r="M98" s="6">
        <f t="shared" si="31"/>
        <v>3.1145833338086959E-2</v>
      </c>
      <c r="N98" s="7">
        <f t="shared" si="29"/>
        <v>44.850000006845221</v>
      </c>
      <c r="O98" s="7"/>
      <c r="P98" s="7"/>
      <c r="Q98" s="27"/>
      <c r="R98" s="27"/>
      <c r="S98" s="45">
        <f t="shared" si="32"/>
        <v>1</v>
      </c>
      <c r="T98" s="69" t="str">
        <f t="shared" si="33"/>
        <v>NorthBound</v>
      </c>
      <c r="U98" s="96">
        <f>COUNTIFS(Variables!$M$2:$M$19,IF(T98="NorthBound","&gt;=","&lt;=")&amp;Y98,Variables!$M$2:$M$19,IF(T98="NorthBound","&lt;=","&gt;=")&amp;Z98)</f>
        <v>12</v>
      </c>
      <c r="V9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12:59:54-0600',mode:absolute,to:'2016-07-16 15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8" s="74" t="str">
        <f t="shared" si="35"/>
        <v>N</v>
      </c>
      <c r="X98" s="92">
        <f t="shared" si="36"/>
        <v>1</v>
      </c>
      <c r="Y98" s="89">
        <f t="shared" si="37"/>
        <v>4.53E-2</v>
      </c>
      <c r="Z98" s="89">
        <f t="shared" si="38"/>
        <v>23.3306</v>
      </c>
      <c r="AA98" s="89">
        <f t="shared" si="39"/>
        <v>23.285299999999999</v>
      </c>
      <c r="AB98" s="86" t="e">
        <f>VLOOKUP(A98,Enforcements!$C$7:$J$23,8,0)</f>
        <v>#N/A</v>
      </c>
      <c r="AC98" s="82" t="e">
        <f>VLOOKUP(A98,Enforcements!$C$7:$E$23,3,0)</f>
        <v>#N/A</v>
      </c>
      <c r="AD98" s="83" t="str">
        <f t="shared" si="40"/>
        <v>0183-16</v>
      </c>
      <c r="AE98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98" s="75" t="str">
        <f t="shared" si="42"/>
        <v>"C:\Program Files (x86)\AstroGrep\AstroGrep.exe" /spath="C:\Users\stu\Documents\Analysis\2016-02-23 RTDC Observations" /stypes="*4020*20160716*" /stext=" 20:.+((prompt.+disp)|(slice.+state.+chan)|(ment ac)|(system.+state.+chan)|(\|lc)|(penalty)|(\[timeout))" /e /r /s</v>
      </c>
      <c r="AG98" s="1" t="str">
        <f t="shared" si="43"/>
        <v>EC</v>
      </c>
    </row>
    <row r="99" spans="1:33" x14ac:dyDescent="0.25">
      <c r="A99" s="49" t="s">
        <v>500</v>
      </c>
      <c r="B99" s="7">
        <v>4019</v>
      </c>
      <c r="C99" s="26" t="s">
        <v>59</v>
      </c>
      <c r="D99" s="26" t="s">
        <v>214</v>
      </c>
      <c r="E99" s="16">
        <v>42567.619953703703</v>
      </c>
      <c r="F99" s="16">
        <v>42567.620798611111</v>
      </c>
      <c r="G99" s="7">
        <v>1</v>
      </c>
      <c r="H99" s="16" t="s">
        <v>555</v>
      </c>
      <c r="I99" s="16">
        <v>42567.654120370367</v>
      </c>
      <c r="J99" s="7">
        <v>0</v>
      </c>
      <c r="K99" s="26" t="str">
        <f t="shared" si="30"/>
        <v>4019/4020</v>
      </c>
      <c r="L99" s="26" t="str">
        <f>VLOOKUP(A99,'Trips&amp;Operators'!$C$1:$E$10000,3,FALSE)</f>
        <v>MAYBERRY</v>
      </c>
      <c r="M99" s="6">
        <f t="shared" si="31"/>
        <v>3.3321759256068617E-2</v>
      </c>
      <c r="N99" s="7"/>
      <c r="O99" s="7"/>
      <c r="P99" s="7">
        <f>24*60*SUM($M99:$M100)</f>
        <v>73.833333326037973</v>
      </c>
      <c r="Q99" s="27"/>
      <c r="R99" s="27" t="s">
        <v>596</v>
      </c>
      <c r="S99" s="45">
        <f>SUM(U99:U100)/12</f>
        <v>1</v>
      </c>
      <c r="T99" s="69" t="str">
        <f t="shared" si="33"/>
        <v>Southbound</v>
      </c>
      <c r="U99" s="96">
        <f>COUNTIFS(Variables!$M$2:$M$19,IF(T99="NorthBound","&gt;=","&lt;=")&amp;Y99,Variables!$M$2:$M$19,IF(T99="NorthBound","&lt;=","&gt;=")&amp;Z99)</f>
        <v>3</v>
      </c>
      <c r="V9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13:52:44-0600',mode:absolute,to:'2016-07-16 16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9" s="74" t="str">
        <f t="shared" si="35"/>
        <v>Y</v>
      </c>
      <c r="X99" s="92">
        <f t="shared" si="36"/>
        <v>1</v>
      </c>
      <c r="Y99" s="89">
        <f t="shared" si="37"/>
        <v>23.2989</v>
      </c>
      <c r="Z99" s="89">
        <f t="shared" si="38"/>
        <v>6.4149000000000003</v>
      </c>
      <c r="AA99" s="89">
        <f t="shared" si="39"/>
        <v>16.884</v>
      </c>
      <c r="AB99" s="86">
        <f>VLOOKUP(A99,Enforcements!$C$7:$J$23,8,0)</f>
        <v>30289</v>
      </c>
      <c r="AC99" s="82" t="str">
        <f>VLOOKUP(A99,Enforcements!$C$7:$E$23,3,0)</f>
        <v>PERMANENT SPEED RESTRICTION</v>
      </c>
      <c r="AD99" s="83" t="str">
        <f t="shared" si="40"/>
        <v>0184-16</v>
      </c>
      <c r="AE99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99" s="75" t="str">
        <f t="shared" si="42"/>
        <v>"C:\Program Files (x86)\AstroGrep\AstroGrep.exe" /spath="C:\Users\stu\Documents\Analysis\2016-02-23 RTDC Observations" /stypes="*4019*20160716*" /stext=" 21:.+((prompt.+disp)|(slice.+state.+chan)|(ment ac)|(system.+state.+chan)|(\|lc)|(penalty)|(\[timeout))" /e /r /s</v>
      </c>
      <c r="AG99" s="1" t="str">
        <f t="shared" si="43"/>
        <v>EC</v>
      </c>
    </row>
    <row r="100" spans="1:33" x14ac:dyDescent="0.25">
      <c r="A100" s="49" t="s">
        <v>500</v>
      </c>
      <c r="B100" s="7">
        <v>4019</v>
      </c>
      <c r="C100" s="26" t="s">
        <v>59</v>
      </c>
      <c r="D100" s="26" t="s">
        <v>556</v>
      </c>
      <c r="E100" s="16">
        <v>42567.665081018517</v>
      </c>
      <c r="F100" s="16">
        <v>42567.665706018517</v>
      </c>
      <c r="G100" s="7">
        <v>0</v>
      </c>
      <c r="H100" s="16" t="s">
        <v>557</v>
      </c>
      <c r="I100" s="16">
        <v>42567.683657407404</v>
      </c>
      <c r="J100" s="7">
        <v>2</v>
      </c>
      <c r="K100" s="26" t="str">
        <f t="shared" si="30"/>
        <v>4019/4020</v>
      </c>
      <c r="L100" s="26" t="str">
        <f>VLOOKUP(A100,'Trips&amp;Operators'!$C$1:$E$10000,3,FALSE)</f>
        <v>MAYBERRY</v>
      </c>
      <c r="M100" s="6">
        <f t="shared" si="31"/>
        <v>1.7951388887013309E-2</v>
      </c>
      <c r="N100" s="7"/>
      <c r="O100" s="7"/>
      <c r="P100" s="7"/>
      <c r="Q100" s="27"/>
      <c r="R100" s="27"/>
      <c r="S100" s="45"/>
      <c r="T100" s="69" t="str">
        <f t="shared" si="33"/>
        <v>Southbound</v>
      </c>
      <c r="U100" s="96">
        <f>COUNTIFS(Variables!$M$2:$M$19,IF(T100="NorthBound","&gt;=","&lt;=")&amp;Y100,Variables!$M$2:$M$19,IF(T100="NorthBound","&lt;=","&gt;=")&amp;Z100)</f>
        <v>9</v>
      </c>
      <c r="V10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14:57:43-0600',mode:absolute,to:'2016-07-16 17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0" s="74" t="str">
        <f t="shared" si="35"/>
        <v>Y</v>
      </c>
      <c r="X100" s="92">
        <f t="shared" si="36"/>
        <v>0</v>
      </c>
      <c r="Y100" s="89">
        <f t="shared" si="37"/>
        <v>6.9512</v>
      </c>
      <c r="Z100" s="89">
        <f t="shared" si="38"/>
        <v>2.0500000000000001E-2</v>
      </c>
      <c r="AA100" s="89">
        <f t="shared" si="39"/>
        <v>6.9306999999999999</v>
      </c>
      <c r="AB100" s="86">
        <f>VLOOKUP(A100,Enforcements!$C$7:$J$23,8,0)</f>
        <v>30289</v>
      </c>
      <c r="AC100" s="82" t="str">
        <f>VLOOKUP(A100,Enforcements!$C$7:$E$23,3,0)</f>
        <v>PERMANENT SPEED RESTRICTION</v>
      </c>
      <c r="AD100" s="83" t="str">
        <f t="shared" si="40"/>
        <v>0184-16</v>
      </c>
      <c r="AE100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00" s="75" t="str">
        <f t="shared" si="42"/>
        <v>"C:\Program Files (x86)\AstroGrep\AstroGrep.exe" /spath="C:\Users\stu\Documents\Analysis\2016-02-23 RTDC Observations" /stypes="*4019*20160716*" /stext=" 22:.+((prompt.+disp)|(slice.+state.+chan)|(ment ac)|(system.+state.+chan)|(\|lc)|(penalty)|(\[timeout))" /e /r /s</v>
      </c>
      <c r="AG100" s="1" t="str">
        <f t="shared" si="43"/>
        <v>EC</v>
      </c>
    </row>
    <row r="101" spans="1:33" x14ac:dyDescent="0.25">
      <c r="A101" s="49" t="s">
        <v>505</v>
      </c>
      <c r="B101" s="7">
        <v>4031</v>
      </c>
      <c r="C101" s="26" t="s">
        <v>59</v>
      </c>
      <c r="D101" s="26" t="s">
        <v>558</v>
      </c>
      <c r="E101" s="16">
        <v>42567.598541666666</v>
      </c>
      <c r="F101" s="16">
        <v>42567.599583333336</v>
      </c>
      <c r="G101" s="7">
        <v>1</v>
      </c>
      <c r="H101" s="16" t="s">
        <v>216</v>
      </c>
      <c r="I101" s="16">
        <v>42567.627523148149</v>
      </c>
      <c r="J101" s="7">
        <v>1</v>
      </c>
      <c r="K101" s="26" t="str">
        <f t="shared" si="30"/>
        <v>4031/4032</v>
      </c>
      <c r="L101" s="26" t="str">
        <f>VLOOKUP(A101,'Trips&amp;Operators'!$C$1:$E$10000,3,FALSE)</f>
        <v>WEBSTER</v>
      </c>
      <c r="M101" s="6">
        <f t="shared" si="31"/>
        <v>2.7939814812270924E-2</v>
      </c>
      <c r="N101" s="7">
        <f t="shared" si="29"/>
        <v>40.233333329670131</v>
      </c>
      <c r="O101" s="7"/>
      <c r="P101" s="7"/>
      <c r="Q101" s="27"/>
      <c r="R101" s="27"/>
      <c r="S101" s="45">
        <f t="shared" si="32"/>
        <v>1</v>
      </c>
      <c r="T101" s="69" t="str">
        <f t="shared" si="33"/>
        <v>NorthBound</v>
      </c>
      <c r="U101" s="96">
        <f>COUNTIFS(Variables!$M$2:$M$19,IF(T101="NorthBound","&gt;=","&lt;=")&amp;Y101,Variables!$M$2:$M$19,IF(T101="NorthBound","&lt;=","&gt;=")&amp;Z101)</f>
        <v>12</v>
      </c>
      <c r="V10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13:21:54-0600',mode:absolute,to:'2016-07-16 16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1" s="74" t="str">
        <f t="shared" si="35"/>
        <v>N</v>
      </c>
      <c r="X101" s="92">
        <f t="shared" si="36"/>
        <v>1</v>
      </c>
      <c r="Y101" s="89">
        <f t="shared" si="37"/>
        <v>0.14960000000000001</v>
      </c>
      <c r="Z101" s="89">
        <f t="shared" si="38"/>
        <v>23.328900000000001</v>
      </c>
      <c r="AA101" s="89">
        <f t="shared" si="39"/>
        <v>23.179300000000001</v>
      </c>
      <c r="AB101" s="86">
        <f>VLOOKUP(A101,Enforcements!$C$7:$J$23,8,0)</f>
        <v>2096</v>
      </c>
      <c r="AC101" s="82" t="str">
        <f>VLOOKUP(A101,Enforcements!$C$7:$E$23,3,0)</f>
        <v>PERMANENT SPEED RESTRICTION</v>
      </c>
      <c r="AD101" s="83" t="str">
        <f t="shared" si="40"/>
        <v>0185-16</v>
      </c>
      <c r="AE101" s="75" t="str">
        <f t="shared" si="41"/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AF101" s="75" t="str">
        <f t="shared" si="42"/>
        <v>"C:\Program Files (x86)\AstroGrep\AstroGrep.exe" /spath="C:\Users\stu\Documents\Analysis\2016-02-23 RTDC Observations" /stypes="*4031*20160716*" /stext=" 21:.+((prompt.+disp)|(slice.+state.+chan)|(ment ac)|(system.+state.+chan)|(\|lc)|(penalty)|(\[timeout))" /e /r /s</v>
      </c>
      <c r="AG101" s="1" t="str">
        <f t="shared" si="43"/>
        <v>EC</v>
      </c>
    </row>
    <row r="102" spans="1:33" x14ac:dyDescent="0.25">
      <c r="A102" s="49" t="s">
        <v>445</v>
      </c>
      <c r="B102" s="7">
        <v>4032</v>
      </c>
      <c r="C102" s="26" t="s">
        <v>59</v>
      </c>
      <c r="D102" s="26" t="s">
        <v>229</v>
      </c>
      <c r="E102" s="16">
        <v>42567.63077546296</v>
      </c>
      <c r="F102" s="16">
        <v>42567.631666666668</v>
      </c>
      <c r="G102" s="7">
        <v>1</v>
      </c>
      <c r="H102" s="16" t="s">
        <v>559</v>
      </c>
      <c r="I102" s="16">
        <v>42567.673020833332</v>
      </c>
      <c r="J102" s="7">
        <v>0</v>
      </c>
      <c r="K102" s="26" t="str">
        <f t="shared" si="30"/>
        <v>4031/4032</v>
      </c>
      <c r="L102" s="26" t="str">
        <f>VLOOKUP(A102,'Trips&amp;Operators'!$C$1:$E$10000,3,FALSE)</f>
        <v>WEBSTER</v>
      </c>
      <c r="M102" s="6">
        <f t="shared" si="31"/>
        <v>4.1354166663950309E-2</v>
      </c>
      <c r="N102" s="7"/>
      <c r="O102" s="7"/>
      <c r="P102" s="7">
        <f>24*60*SUM($M102:$M103)</f>
        <v>80.499999989988282</v>
      </c>
      <c r="Q102" s="27"/>
      <c r="R102" s="27" t="s">
        <v>593</v>
      </c>
      <c r="S102" s="45">
        <f>SUM(U102:U103)/12</f>
        <v>1</v>
      </c>
      <c r="T102" s="69" t="str">
        <f t="shared" si="33"/>
        <v>Southbound</v>
      </c>
      <c r="U102" s="96">
        <f>COUNTIFS(Variables!$M$2:$M$19,IF(T102="NorthBound","&gt;=","&lt;=")&amp;Y102,Variables!$M$2:$M$19,IF(T102="NorthBound","&lt;=","&gt;=")&amp;Z102)</f>
        <v>3</v>
      </c>
      <c r="V10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14:08:19-0600',mode:absolute,to:'2016-07-16 17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2" s="74" t="str">
        <f t="shared" si="35"/>
        <v>Y</v>
      </c>
      <c r="X102" s="92">
        <f t="shared" si="36"/>
        <v>1</v>
      </c>
      <c r="Y102" s="89">
        <f t="shared" si="37"/>
        <v>23.2971</v>
      </c>
      <c r="Z102" s="89">
        <f t="shared" si="38"/>
        <v>6.9725999999999999</v>
      </c>
      <c r="AA102" s="89">
        <f t="shared" si="39"/>
        <v>16.3245</v>
      </c>
      <c r="AB102" s="86" t="e">
        <f>VLOOKUP(A102,Enforcements!$C$7:$J$23,8,0)</f>
        <v>#N/A</v>
      </c>
      <c r="AC102" s="82" t="e">
        <f>VLOOKUP(A102,Enforcements!$C$7:$E$23,3,0)</f>
        <v>#N/A</v>
      </c>
      <c r="AD102" s="83" t="str">
        <f t="shared" si="40"/>
        <v>0186-16</v>
      </c>
      <c r="AE102" s="75" t="str">
        <f t="shared" si="41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02" s="75" t="str">
        <f t="shared" si="42"/>
        <v>"C:\Program Files (x86)\AstroGrep\AstroGrep.exe" /spath="C:\Users\stu\Documents\Analysis\2016-02-23 RTDC Observations" /stypes="*4032*20160716*" /stext=" 22:.+((prompt.+disp)|(slice.+state.+chan)|(ment ac)|(system.+state.+chan)|(\|lc)|(penalty)|(\[timeout))" /e /r /s</v>
      </c>
      <c r="AG102" s="1" t="str">
        <f t="shared" si="43"/>
        <v>EC</v>
      </c>
    </row>
    <row r="103" spans="1:33" x14ac:dyDescent="0.25">
      <c r="A103" s="49" t="s">
        <v>445</v>
      </c>
      <c r="B103" s="7">
        <v>4032</v>
      </c>
      <c r="C103" s="26" t="s">
        <v>59</v>
      </c>
      <c r="D103" s="26" t="s">
        <v>560</v>
      </c>
      <c r="E103" s="16">
        <v>42567.673171296294</v>
      </c>
      <c r="F103" s="16">
        <v>42567.674224537041</v>
      </c>
      <c r="G103" s="7">
        <v>1</v>
      </c>
      <c r="H103" s="16" t="s">
        <v>351</v>
      </c>
      <c r="I103" s="16">
        <v>42567.688773148147</v>
      </c>
      <c r="J103" s="7">
        <v>1</v>
      </c>
      <c r="K103" s="26" t="str">
        <f t="shared" si="30"/>
        <v>4031/4032</v>
      </c>
      <c r="L103" s="26" t="str">
        <f>VLOOKUP(A103,'Trips&amp;Operators'!$C$1:$E$10000,3,FALSE)</f>
        <v>WEBSTER</v>
      </c>
      <c r="M103" s="6">
        <f t="shared" si="31"/>
        <v>1.4548611106874887E-2</v>
      </c>
      <c r="N103" s="7"/>
      <c r="O103" s="7"/>
      <c r="P103" s="7"/>
      <c r="Q103" s="27"/>
      <c r="R103" s="27"/>
      <c r="S103" s="45"/>
      <c r="T103" s="69" t="str">
        <f t="shared" si="33"/>
        <v>Southbound</v>
      </c>
      <c r="U103" s="96">
        <f>COUNTIFS(Variables!$M$2:$M$19,IF(T103="NorthBound","&gt;=","&lt;=")&amp;Y103,Variables!$M$2:$M$19,IF(T103="NorthBound","&lt;=","&gt;=")&amp;Z103)</f>
        <v>9</v>
      </c>
      <c r="V10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15:09:22-0600',mode:absolute,to:'2016-07-16 17:31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3" s="74" t="str">
        <f t="shared" si="35"/>
        <v>Y</v>
      </c>
      <c r="X103" s="92">
        <f t="shared" si="36"/>
        <v>0</v>
      </c>
      <c r="Y103" s="89">
        <f t="shared" si="37"/>
        <v>6.9732000000000003</v>
      </c>
      <c r="Z103" s="89">
        <f t="shared" si="38"/>
        <v>4.6699999999999998E-2</v>
      </c>
      <c r="AA103" s="89">
        <f t="shared" si="39"/>
        <v>6.9264999999999999</v>
      </c>
      <c r="AB103" s="86" t="e">
        <f>VLOOKUP(A103,Enforcements!$C$7:$J$23,8,0)</f>
        <v>#N/A</v>
      </c>
      <c r="AC103" s="82" t="e">
        <f>VLOOKUP(A103,Enforcements!$C$7:$E$23,3,0)</f>
        <v>#N/A</v>
      </c>
      <c r="AD103" s="83" t="str">
        <f t="shared" si="40"/>
        <v>0186-16</v>
      </c>
      <c r="AE103" s="75" t="str">
        <f t="shared" si="41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03" s="75" t="str">
        <f t="shared" si="42"/>
        <v>"C:\Program Files (x86)\AstroGrep\AstroGrep.exe" /spath="C:\Users\stu\Documents\Analysis\2016-02-23 RTDC Observations" /stypes="*4032*20160716*" /stext=" 22:.+((prompt.+disp)|(slice.+state.+chan)|(ment ac)|(system.+state.+chan)|(\|lc)|(penalty)|(\[timeout))" /e /r /s</v>
      </c>
      <c r="AG103" s="1" t="str">
        <f t="shared" si="43"/>
        <v>EC</v>
      </c>
    </row>
    <row r="104" spans="1:33" s="25" customFormat="1" x14ac:dyDescent="0.25">
      <c r="A104" s="49" t="s">
        <v>431</v>
      </c>
      <c r="B104" s="7">
        <v>4029</v>
      </c>
      <c r="C104" s="26" t="s">
        <v>59</v>
      </c>
      <c r="D104" s="26" t="s">
        <v>560</v>
      </c>
      <c r="E104" s="16">
        <v>42567.673171296294</v>
      </c>
      <c r="F104" s="16">
        <v>42567.611226851855</v>
      </c>
      <c r="G104" s="7">
        <v>1</v>
      </c>
      <c r="H104" s="16" t="s">
        <v>351</v>
      </c>
      <c r="I104" s="16">
        <v>42567.614733796298</v>
      </c>
      <c r="J104" s="7">
        <v>1</v>
      </c>
      <c r="K104" s="26" t="str">
        <f t="shared" ref="K104" si="55">IF(ISEVEN(B104),(B104-1)&amp;"/"&amp;B104,B104&amp;"/"&amp;(B104+1))</f>
        <v>4029/4030</v>
      </c>
      <c r="L104" s="26" t="str">
        <f>VLOOKUP(A104,'Trips&amp;Operators'!$C$1:$E$10000,3,FALSE)</f>
        <v>STEWART</v>
      </c>
      <c r="M104" s="6">
        <f t="shared" ref="M104" si="56">I104-F104</f>
        <v>3.5069444420514628E-3</v>
      </c>
      <c r="N104" s="7"/>
      <c r="O104" s="7"/>
      <c r="P104" s="7">
        <f t="shared" si="29"/>
        <v>5.0499999965541065</v>
      </c>
      <c r="Q104" s="27"/>
      <c r="R104" s="27" t="s">
        <v>626</v>
      </c>
      <c r="S104" s="45">
        <f t="shared" si="32"/>
        <v>0</v>
      </c>
      <c r="T104" s="69" t="str">
        <f t="shared" ref="T104" si="57">IF(ISEVEN(LEFT(A104,3)),"Southbound","NorthBound")</f>
        <v>NorthBound</v>
      </c>
      <c r="U104" s="96">
        <f>COUNTIFS(Variables!$M$2:$M$19,IF(T104="NorthBound","&gt;=","&lt;=")&amp;Y104,Variables!$M$2:$M$19,IF(T104="NorthBound","&lt;=","&gt;=")&amp;Z104)</f>
        <v>0</v>
      </c>
      <c r="V104" s="74" t="str">
        <f t="shared" ref="V104" si="58">"https://search-rtdc-monitor-bjffxe2xuh6vdkpspy63sjmuny.us-east-1.es.amazonaws.com/_plugin/kibana/#/discover/Steve-Slow-Train-Analysis-(2080s-and-2083s)?_g=(refreshInterval:(display:Off,section:0,value:0),time:(from:'"&amp;TEXT(E104-1/24,"yyyy-MM-DD hh:mm:ss")&amp;"-0600',mode:absolute,to:'"&amp;TEXT(I104+1/24,"yyyy-MM-DD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https://search-rtdc-monitor-bjffxe2xuh6vdkpspy63sjmuny.us-east-1.es.amazonaws.com/_plugin/kibana/#/discover/Steve-Slow-Train-Analysis-(2080s-and-2083s)?_g=(refreshInterval:(display:Off,section:0,value:0),time:(from:'2016-07-16 15:09:22-0600',mode:absolute,to:'2016-07-16 15:45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4" s="74" t="str">
        <f t="shared" ref="W104" si="59">IF(AA104&lt;23,"Y","N")</f>
        <v>Y</v>
      </c>
      <c r="X104" s="92">
        <f t="shared" ref="X104" si="60">VALUE(LEFT(A104,3))-VALUE(LEFT(A103,3))</f>
        <v>1</v>
      </c>
      <c r="Y104" s="89">
        <v>0.04</v>
      </c>
      <c r="Z104" s="89">
        <v>0.04</v>
      </c>
      <c r="AA104" s="89">
        <f t="shared" ref="AA104" si="61">ABS(Z104-Y104)</f>
        <v>0</v>
      </c>
      <c r="AB104" s="86" t="e">
        <f>VLOOKUP(A104,Enforcements!$C$7:$J$23,8,0)</f>
        <v>#N/A</v>
      </c>
      <c r="AC104" s="82" t="e">
        <f>VLOOKUP(A104,Enforcements!$C$7:$E$23,3,0)</f>
        <v>#N/A</v>
      </c>
      <c r="AD104" s="83" t="str">
        <f t="shared" ref="AD104" si="62">IF(LEN(A104)=6,"0"&amp;A104,A104)</f>
        <v>0187-16</v>
      </c>
      <c r="AE104" s="75" t="str">
        <f t="shared" ref="AE104" si="63">"aws s3 cp "&amp;s3_bucket&amp;"/RTDC"&amp;B104&amp;"/"&amp;TEXT(F104,"YYYY-MM-DD")&amp;"/ "&amp;search_path&amp;"\RTDC"&amp;B104&amp;"\"&amp;TEXT(F104,"YYYY-MM-DD")&amp;" --recursive &amp; """&amp;walkandungz&amp;""" "&amp;search_path&amp;"\RTDC"&amp;B104&amp;"\"&amp;TEXT(F104,"YYYY-MM-DD")
&amp;" &amp; "&amp;"aws s3 cp "&amp;s3_bucket&amp;"/RTDC"&amp;B104&amp;"/"&amp;TEXT(F104+1,"YYYY-MM-DD")&amp;"/ "&amp;search_path&amp;"\RTDC"&amp;B104&amp;"\"&amp;TEXT(F104+1,"YYYY-MM-DD")&amp;" --recursive &amp; """&amp;walkandungz&amp;""" "&amp;search_path&amp;"\RTDC"&amp;B104&amp;"\"&amp;TEXT(F104+1,"YYYY-MM-DD")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04" s="75" t="str">
        <f t="shared" ref="AF104" si="64">astrogrep_path&amp;" /spath="&amp;search_path&amp;" /stypes=""*"&amp;B104&amp;"*"&amp;TEXT(I104-utc_offset/24,"YYYYMMDD")&amp;"*"" /stext="" "&amp;TEXT(I104-utc_offset/24,"HH")&amp;search_regexp&amp;""" /e /r /s"</f>
        <v>"C:\Program Files (x86)\AstroGrep\AstroGrep.exe" /spath="C:\Users\stu\Documents\Analysis\2016-02-23 RTDC Observations" /stypes="*4029*20160716*" /stext=" 20:.+((prompt.+disp)|(slice.+state.+chan)|(ment ac)|(system.+state.+chan)|(\|lc)|(penalty)|(\[timeout))" /e /r /s</v>
      </c>
      <c r="AG104" s="1" t="str">
        <f t="shared" ref="AG104" si="65">IF(VALUE(LEFT(A104,3))&lt;300,"EC","NWGL")</f>
        <v>EC</v>
      </c>
    </row>
    <row r="105" spans="1:33" x14ac:dyDescent="0.25">
      <c r="A105" s="49" t="s">
        <v>449</v>
      </c>
      <c r="B105" s="7">
        <v>4030</v>
      </c>
      <c r="C105" s="26" t="s">
        <v>59</v>
      </c>
      <c r="D105" s="26" t="s">
        <v>200</v>
      </c>
      <c r="E105" s="16">
        <v>42567.651319444441</v>
      </c>
      <c r="F105" s="16">
        <v>42567.652222222219</v>
      </c>
      <c r="G105" s="7">
        <v>1</v>
      </c>
      <c r="H105" s="16" t="s">
        <v>561</v>
      </c>
      <c r="I105" s="16">
        <v>42567.698229166665</v>
      </c>
      <c r="J105" s="7">
        <v>0</v>
      </c>
      <c r="K105" s="26" t="str">
        <f t="shared" si="30"/>
        <v>4029/4030</v>
      </c>
      <c r="L105" s="26" t="str">
        <f>VLOOKUP(A105,'Trips&amp;Operators'!$C$1:$E$10000,3,FALSE)</f>
        <v>STEWART</v>
      </c>
      <c r="M105" s="6">
        <f t="shared" si="31"/>
        <v>4.6006944445252884E-2</v>
      </c>
      <c r="N105" s="7"/>
      <c r="O105" s="7"/>
      <c r="P105" s="7">
        <f t="shared" si="29"/>
        <v>66.250000001164153</v>
      </c>
      <c r="Q105" s="27"/>
      <c r="R105" s="27" t="s">
        <v>594</v>
      </c>
      <c r="S105" s="45">
        <f t="shared" si="32"/>
        <v>0.91666666666666663</v>
      </c>
      <c r="T105" s="69" t="str">
        <f t="shared" si="33"/>
        <v>Southbound</v>
      </c>
      <c r="U105" s="96">
        <f>COUNTIFS(Variables!$M$2:$M$19,IF(T105="NorthBound","&gt;=","&lt;=")&amp;Y105,Variables!$M$2:$M$19,IF(T105="NorthBound","&lt;=","&gt;=")&amp;Z105)</f>
        <v>11</v>
      </c>
      <c r="V10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14:37:54-0600',mode:absolute,to:'2016-07-16 17:45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5" s="74" t="str">
        <f t="shared" si="35"/>
        <v>Y</v>
      </c>
      <c r="X105" s="92">
        <f>VALUE(LEFT(A105,3))-VALUE(LEFT(A103,3))</f>
        <v>4</v>
      </c>
      <c r="Y105" s="89">
        <f t="shared" si="37"/>
        <v>23.299399999999999</v>
      </c>
      <c r="Z105" s="89">
        <f t="shared" si="38"/>
        <v>2.7675000000000001</v>
      </c>
      <c r="AA105" s="89">
        <f t="shared" si="39"/>
        <v>20.5319</v>
      </c>
      <c r="AB105" s="86">
        <f>VLOOKUP(A105,Enforcements!$C$7:$J$23,8,0)</f>
        <v>68497</v>
      </c>
      <c r="AC105" s="82" t="str">
        <f>VLOOKUP(A105,Enforcements!$C$7:$E$23,3,0)</f>
        <v>EQUIPMENT RESTRICTION</v>
      </c>
      <c r="AD105" s="83" t="str">
        <f t="shared" si="40"/>
        <v>0190-16</v>
      </c>
      <c r="AE105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05" s="75" t="str">
        <f t="shared" si="42"/>
        <v>"C:\Program Files (x86)\AstroGrep\AstroGrep.exe" /spath="C:\Users\stu\Documents\Analysis\2016-02-23 RTDC Observations" /stypes="*4030*20160716*" /stext=" 22:.+((prompt.+disp)|(slice.+state.+chan)|(ment ac)|(system.+state.+chan)|(\|lc)|(penalty)|(\[timeout))" /e /r /s</v>
      </c>
      <c r="AG105" s="1" t="str">
        <f t="shared" si="43"/>
        <v>EC</v>
      </c>
    </row>
    <row r="106" spans="1:33" x14ac:dyDescent="0.25">
      <c r="A106" s="49" t="s">
        <v>501</v>
      </c>
      <c r="B106" s="7">
        <v>4018</v>
      </c>
      <c r="C106" s="26" t="s">
        <v>59</v>
      </c>
      <c r="D106" s="26" t="s">
        <v>176</v>
      </c>
      <c r="E106" s="16">
        <v>42567.62195601852</v>
      </c>
      <c r="F106" s="16">
        <v>42567.623622685183</v>
      </c>
      <c r="G106" s="7">
        <v>2</v>
      </c>
      <c r="H106" s="16" t="s">
        <v>562</v>
      </c>
      <c r="I106" s="16">
        <v>42567.654085648152</v>
      </c>
      <c r="J106" s="7">
        <v>0</v>
      </c>
      <c r="K106" s="26" t="str">
        <f t="shared" si="30"/>
        <v>4017/4018</v>
      </c>
      <c r="L106" s="26" t="str">
        <f>VLOOKUP(A106,'Trips&amp;Operators'!$C$1:$E$10000,3,FALSE)</f>
        <v>STORY</v>
      </c>
      <c r="M106" s="6">
        <f t="shared" si="31"/>
        <v>3.0462962968158536E-2</v>
      </c>
      <c r="N106" s="7">
        <f t="shared" si="29"/>
        <v>43.866666674148291</v>
      </c>
      <c r="O106" s="7"/>
      <c r="P106" s="7"/>
      <c r="Q106" s="27"/>
      <c r="R106" s="27"/>
      <c r="S106" s="45">
        <f t="shared" si="32"/>
        <v>1</v>
      </c>
      <c r="T106" s="69" t="str">
        <f t="shared" si="33"/>
        <v>NorthBound</v>
      </c>
      <c r="U106" s="96">
        <f>COUNTIFS(Variables!$M$2:$M$19,IF(T106="NorthBound","&gt;=","&lt;=")&amp;Y106,Variables!$M$2:$M$19,IF(T106="NorthBound","&lt;=","&gt;=")&amp;Z106)</f>
        <v>12</v>
      </c>
      <c r="V10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13:55:37-0600',mode:absolute,to:'2016-07-16 16:41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6" s="74" t="str">
        <f t="shared" si="35"/>
        <v>N</v>
      </c>
      <c r="X106" s="92">
        <f t="shared" si="36"/>
        <v>1</v>
      </c>
      <c r="Y106" s="89">
        <f t="shared" si="37"/>
        <v>4.5499999999999999E-2</v>
      </c>
      <c r="Z106" s="89">
        <f t="shared" si="38"/>
        <v>23.335699999999999</v>
      </c>
      <c r="AA106" s="89">
        <f t="shared" si="39"/>
        <v>23.290199999999999</v>
      </c>
      <c r="AB106" s="86" t="e">
        <f>VLOOKUP(A106,Enforcements!$C$7:$J$23,8,0)</f>
        <v>#N/A</v>
      </c>
      <c r="AC106" s="82" t="e">
        <f>VLOOKUP(A106,Enforcements!$C$7:$E$23,3,0)</f>
        <v>#N/A</v>
      </c>
      <c r="AD106" s="83" t="str">
        <f t="shared" si="40"/>
        <v>0191-16</v>
      </c>
      <c r="AE106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06" s="75" t="str">
        <f t="shared" si="42"/>
        <v>"C:\Program Files (x86)\AstroGrep\AstroGrep.exe" /spath="C:\Users\stu\Documents\Analysis\2016-02-23 RTDC Observations" /stypes="*4018*20160716*" /stext=" 21:.+((prompt.+disp)|(slice.+state.+chan)|(ment ac)|(system.+state.+chan)|(\|lc)|(penalty)|(\[timeout))" /e /r /s</v>
      </c>
      <c r="AG106" s="1" t="str">
        <f t="shared" si="43"/>
        <v>EC</v>
      </c>
    </row>
    <row r="107" spans="1:33" x14ac:dyDescent="0.25">
      <c r="A107" s="49" t="s">
        <v>447</v>
      </c>
      <c r="B107" s="7">
        <v>4017</v>
      </c>
      <c r="C107" s="26" t="s">
        <v>59</v>
      </c>
      <c r="D107" s="26" t="s">
        <v>563</v>
      </c>
      <c r="E107" s="16">
        <v>42567.66265046296</v>
      </c>
      <c r="F107" s="16">
        <v>42567.663518518515</v>
      </c>
      <c r="G107" s="7">
        <v>1</v>
      </c>
      <c r="H107" s="16" t="s">
        <v>564</v>
      </c>
      <c r="I107" s="16">
        <v>42567.715474537035</v>
      </c>
      <c r="J107" s="7">
        <v>4</v>
      </c>
      <c r="K107" s="26" t="str">
        <f t="shared" si="30"/>
        <v>4017/4018</v>
      </c>
      <c r="L107" s="26" t="str">
        <f>VLOOKUP(A107,'Trips&amp;Operators'!$C$1:$E$10000,3,FALSE)</f>
        <v>STORY</v>
      </c>
      <c r="M107" s="6">
        <f t="shared" si="31"/>
        <v>5.1956018520286307E-2</v>
      </c>
      <c r="N107" s="7"/>
      <c r="O107" s="7"/>
      <c r="P107" s="7">
        <f t="shared" si="29"/>
        <v>74.816666669212282</v>
      </c>
      <c r="Q107" s="27"/>
      <c r="R107" s="27" t="s">
        <v>595</v>
      </c>
      <c r="S107" s="45">
        <f t="shared" si="32"/>
        <v>0.25</v>
      </c>
      <c r="T107" s="69" t="str">
        <f t="shared" si="33"/>
        <v>Southbound</v>
      </c>
      <c r="U107" s="96">
        <f>COUNTIFS(Variables!$M$2:$M$19,IF(T107="NorthBound","&gt;=","&lt;=")&amp;Y107,Variables!$M$2:$M$19,IF(T107="NorthBound","&lt;=","&gt;=")&amp;Z107)</f>
        <v>3</v>
      </c>
      <c r="V10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7" s="74" t="str">
        <f t="shared" si="35"/>
        <v>Y</v>
      </c>
      <c r="X107" s="92">
        <f t="shared" si="36"/>
        <v>1</v>
      </c>
      <c r="Y107" s="89">
        <f t="shared" si="37"/>
        <v>23.3049</v>
      </c>
      <c r="Z107" s="89">
        <f t="shared" si="38"/>
        <v>7.5921000000000003</v>
      </c>
      <c r="AA107" s="89">
        <f t="shared" si="39"/>
        <v>15.7128</v>
      </c>
      <c r="AB107" s="86">
        <f>VLOOKUP(A107,Enforcements!$C$7:$J$23,8,0)</f>
        <v>104646</v>
      </c>
      <c r="AC107" s="82" t="str">
        <f>VLOOKUP(A107,Enforcements!$C$7:$E$23,3,0)</f>
        <v>PERMANENT SPEED RESTRICTION</v>
      </c>
      <c r="AD107" s="83" t="str">
        <f t="shared" si="40"/>
        <v>0192-16</v>
      </c>
      <c r="AE107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07" s="75" t="str">
        <f t="shared" si="42"/>
        <v>"C:\Program Files (x86)\AstroGrep\AstroGrep.exe" /spath="C:\Users\stu\Documents\Analysis\2016-02-23 RTDC Observations" /stypes="*4017*20160716*" /stext=" 23:.+((prompt.+disp)|(slice.+state.+chan)|(ment ac)|(system.+state.+chan)|(\|lc)|(penalty)|(\[timeout))" /e /r /s</v>
      </c>
      <c r="AG107" s="1" t="str">
        <f t="shared" si="43"/>
        <v>EC</v>
      </c>
    </row>
    <row r="108" spans="1:33" x14ac:dyDescent="0.25">
      <c r="A108" s="49" t="s">
        <v>502</v>
      </c>
      <c r="B108" s="7">
        <v>4025</v>
      </c>
      <c r="C108" s="26" t="s">
        <v>59</v>
      </c>
      <c r="D108" s="26" t="s">
        <v>565</v>
      </c>
      <c r="E108" s="16">
        <v>42567.632893518516</v>
      </c>
      <c r="F108" s="16">
        <v>42567.634965277779</v>
      </c>
      <c r="G108" s="7">
        <v>2</v>
      </c>
      <c r="H108" s="16" t="s">
        <v>182</v>
      </c>
      <c r="I108" s="16">
        <v>42567.662592592591</v>
      </c>
      <c r="J108" s="7">
        <v>0</v>
      </c>
      <c r="K108" s="26" t="str">
        <f t="shared" si="30"/>
        <v>4025/4026</v>
      </c>
      <c r="L108" s="26" t="str">
        <f>VLOOKUP(A108,'Trips&amp;Operators'!$C$1:$E$10000,3,FALSE)</f>
        <v>REBOLETTI</v>
      </c>
      <c r="M108" s="6">
        <f t="shared" si="31"/>
        <v>2.7627314811979886E-2</v>
      </c>
      <c r="N108" s="7">
        <f t="shared" si="29"/>
        <v>39.783333329251036</v>
      </c>
      <c r="O108" s="7"/>
      <c r="P108" s="7"/>
      <c r="Q108" s="27"/>
      <c r="R108" s="27"/>
      <c r="S108" s="45">
        <f t="shared" si="32"/>
        <v>1</v>
      </c>
      <c r="T108" s="69" t="str">
        <f t="shared" si="33"/>
        <v>NorthBound</v>
      </c>
      <c r="U108" s="96">
        <f>COUNTIFS(Variables!$M$2:$M$19,IF(T108="NorthBound","&gt;=","&lt;=")&amp;Y108,Variables!$M$2:$M$19,IF(T108="NorthBound","&lt;=","&gt;=")&amp;Z108)</f>
        <v>12</v>
      </c>
      <c r="V10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14:11:22-0600',mode:absolute,to:'2016-07-16 16:54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8" s="74" t="str">
        <f t="shared" si="35"/>
        <v>N</v>
      </c>
      <c r="X108" s="92">
        <f t="shared" si="36"/>
        <v>1</v>
      </c>
      <c r="Y108" s="89">
        <f t="shared" si="37"/>
        <v>0.11559999999999999</v>
      </c>
      <c r="Z108" s="89">
        <f t="shared" si="38"/>
        <v>23.331</v>
      </c>
      <c r="AA108" s="89">
        <f t="shared" si="39"/>
        <v>23.215399999999999</v>
      </c>
      <c r="AB108" s="86" t="e">
        <f>VLOOKUP(A108,Enforcements!$C$7:$J$23,8,0)</f>
        <v>#N/A</v>
      </c>
      <c r="AC108" s="82" t="e">
        <f>VLOOKUP(A108,Enforcements!$C$7:$E$23,3,0)</f>
        <v>#N/A</v>
      </c>
      <c r="AD108" s="83" t="str">
        <f t="shared" si="40"/>
        <v>0193-16</v>
      </c>
      <c r="AE108" s="75" t="str">
        <f t="shared" si="41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08" s="75" t="str">
        <f t="shared" si="42"/>
        <v>"C:\Program Files (x86)\AstroGrep\AstroGrep.exe" /spath="C:\Users\stu\Documents\Analysis\2016-02-23 RTDC Observations" /stypes="*4025*20160716*" /stext=" 21:.+((prompt.+disp)|(slice.+state.+chan)|(ment ac)|(system.+state.+chan)|(\|lc)|(penalty)|(\[timeout))" /e /r /s</v>
      </c>
      <c r="AG108" s="1" t="str">
        <f t="shared" si="43"/>
        <v>EC</v>
      </c>
    </row>
    <row r="109" spans="1:33" x14ac:dyDescent="0.25">
      <c r="A109" s="49" t="s">
        <v>435</v>
      </c>
      <c r="B109" s="7">
        <v>4026</v>
      </c>
      <c r="C109" s="26" t="s">
        <v>59</v>
      </c>
      <c r="D109" s="26" t="s">
        <v>214</v>
      </c>
      <c r="E109" s="16">
        <v>42567.6721875</v>
      </c>
      <c r="F109" s="16">
        <v>42567.673263888886</v>
      </c>
      <c r="G109" s="7">
        <v>1</v>
      </c>
      <c r="H109" s="16" t="s">
        <v>566</v>
      </c>
      <c r="I109" s="16">
        <v>42567.728912037041</v>
      </c>
      <c r="J109" s="7">
        <v>1</v>
      </c>
      <c r="K109" s="26" t="str">
        <f t="shared" si="30"/>
        <v>4025/4026</v>
      </c>
      <c r="L109" s="26" t="str">
        <f>VLOOKUP(A109,'Trips&amp;Operators'!$C$1:$E$10000,3,FALSE)</f>
        <v>REBOLETTI</v>
      </c>
      <c r="M109" s="6">
        <f t="shared" si="31"/>
        <v>5.564814815443242E-2</v>
      </c>
      <c r="N109" s="7"/>
      <c r="O109" s="7"/>
      <c r="P109" s="7">
        <f>24*60*SUM($M109:$M110)</f>
        <v>90.88333334075287</v>
      </c>
      <c r="Q109" s="27"/>
      <c r="R109" s="27" t="s">
        <v>597</v>
      </c>
      <c r="S109" s="45">
        <f>SUM(U109:U110)/12</f>
        <v>0.41666666666666669</v>
      </c>
      <c r="T109" s="69" t="str">
        <f t="shared" si="33"/>
        <v>Southbound</v>
      </c>
      <c r="U109" s="96">
        <f>COUNTIFS(Variables!$M$2:$M$19,IF(T109="NorthBound","&gt;=","&lt;=")&amp;Y109,Variables!$M$2:$M$19,IF(T109="NorthBound","&lt;=","&gt;=")&amp;Z109)</f>
        <v>2</v>
      </c>
      <c r="V10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15:07:57-0600',mode:absolute,to:'2016-07-16 18:29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9" s="74" t="str">
        <f t="shared" si="35"/>
        <v>Y</v>
      </c>
      <c r="X109" s="92">
        <f t="shared" si="36"/>
        <v>1</v>
      </c>
      <c r="Y109" s="89">
        <f t="shared" si="37"/>
        <v>23.2989</v>
      </c>
      <c r="Z109" s="89">
        <f t="shared" si="38"/>
        <v>8.8040000000000003</v>
      </c>
      <c r="AA109" s="89">
        <f t="shared" si="39"/>
        <v>14.494899999999999</v>
      </c>
      <c r="AB109" s="86" t="e">
        <f>VLOOKUP(A109,Enforcements!$C$7:$J$23,8,0)</f>
        <v>#N/A</v>
      </c>
      <c r="AC109" s="82" t="e">
        <f>VLOOKUP(A109,Enforcements!$C$7:$E$23,3,0)</f>
        <v>#N/A</v>
      </c>
      <c r="AD109" s="83" t="str">
        <f t="shared" si="40"/>
        <v>0194-16</v>
      </c>
      <c r="AE109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09" s="75" t="str">
        <f t="shared" si="42"/>
        <v>"C:\Program Files (x86)\AstroGrep\AstroGrep.exe" /spath="C:\Users\stu\Documents\Analysis\2016-02-23 RTDC Observations" /stypes="*4026*20160716*" /stext=" 23:.+((prompt.+disp)|(slice.+state.+chan)|(ment ac)|(system.+state.+chan)|(\|lc)|(penalty)|(\[timeout))" /e /r /s</v>
      </c>
      <c r="AG109" s="1" t="str">
        <f t="shared" si="43"/>
        <v>EC</v>
      </c>
    </row>
    <row r="110" spans="1:33" x14ac:dyDescent="0.25">
      <c r="A110" s="49" t="s">
        <v>435</v>
      </c>
      <c r="B110" s="7">
        <v>4026</v>
      </c>
      <c r="C110" s="26" t="s">
        <v>59</v>
      </c>
      <c r="D110" s="26" t="s">
        <v>567</v>
      </c>
      <c r="E110" s="16">
        <v>42567.7502662037</v>
      </c>
      <c r="F110" s="16">
        <v>42567.75105324074</v>
      </c>
      <c r="G110" s="7">
        <v>1</v>
      </c>
      <c r="H110" s="16" t="s">
        <v>213</v>
      </c>
      <c r="I110" s="16">
        <v>42567.758518518516</v>
      </c>
      <c r="J110" s="7">
        <v>0</v>
      </c>
      <c r="K110" s="26" t="str">
        <f t="shared" si="30"/>
        <v>4025/4026</v>
      </c>
      <c r="L110" s="26" t="str">
        <f>VLOOKUP(A110,'Trips&amp;Operators'!$C$1:$E$10000,3,FALSE)</f>
        <v>REBOLETTI</v>
      </c>
      <c r="M110" s="6">
        <f t="shared" si="31"/>
        <v>7.4652777766459621E-3</v>
      </c>
      <c r="N110" s="7"/>
      <c r="O110" s="7"/>
      <c r="P110" s="7"/>
      <c r="Q110" s="27"/>
      <c r="R110" s="27"/>
      <c r="S110" s="45"/>
      <c r="T110" s="69" t="str">
        <f t="shared" si="33"/>
        <v>Southbound</v>
      </c>
      <c r="U110" s="96">
        <f>COUNTIFS(Variables!$M$2:$M$19,IF(T110="NorthBound","&gt;=","&lt;=")&amp;Y110,Variables!$M$2:$M$19,IF(T110="NorthBound","&lt;=","&gt;=")&amp;Z110)</f>
        <v>3</v>
      </c>
      <c r="V11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17:00:23-0600',mode:absolute,to:'2016-07-16 19:12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0" s="74" t="str">
        <f t="shared" si="35"/>
        <v>Y</v>
      </c>
      <c r="X110" s="92">
        <f t="shared" si="36"/>
        <v>0</v>
      </c>
      <c r="Y110" s="89">
        <f t="shared" si="37"/>
        <v>3.6798999999999999</v>
      </c>
      <c r="Z110" s="89">
        <f t="shared" si="38"/>
        <v>1.41E-2</v>
      </c>
      <c r="AA110" s="89">
        <f t="shared" si="39"/>
        <v>3.6657999999999999</v>
      </c>
      <c r="AB110" s="86" t="e">
        <f>VLOOKUP(A110,Enforcements!$C$7:$J$23,8,0)</f>
        <v>#N/A</v>
      </c>
      <c r="AC110" s="82" t="e">
        <f>VLOOKUP(A110,Enforcements!$C$7:$E$23,3,0)</f>
        <v>#N/A</v>
      </c>
      <c r="AD110" s="83" t="str">
        <f t="shared" si="40"/>
        <v>0194-16</v>
      </c>
      <c r="AE110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10" s="75" t="str">
        <f t="shared" si="42"/>
        <v>"C:\Program Files (x86)\AstroGrep\AstroGrep.exe" /spath="C:\Users\stu\Documents\Analysis\2016-02-23 RTDC Observations" /stypes="*4026*20160717*" /stext=" 00:.+((prompt.+disp)|(slice.+state.+chan)|(ment ac)|(system.+state.+chan)|(\|lc)|(penalty)|(\[timeout))" /e /r /s</v>
      </c>
      <c r="AG110" s="1" t="str">
        <f t="shared" si="43"/>
        <v>EC</v>
      </c>
    </row>
    <row r="111" spans="1:33" x14ac:dyDescent="0.25">
      <c r="A111" s="49" t="s">
        <v>450</v>
      </c>
      <c r="B111" s="7">
        <v>4042</v>
      </c>
      <c r="C111" s="26" t="s">
        <v>59</v>
      </c>
      <c r="D111" s="26" t="s">
        <v>66</v>
      </c>
      <c r="E111" s="16">
        <v>42567.642731481479</v>
      </c>
      <c r="F111" s="16">
        <v>42567.643483796295</v>
      </c>
      <c r="G111" s="7">
        <v>1</v>
      </c>
      <c r="H111" s="16" t="s">
        <v>225</v>
      </c>
      <c r="I111" s="16">
        <v>42567.677499999998</v>
      </c>
      <c r="J111" s="7">
        <v>2</v>
      </c>
      <c r="K111" s="26" t="str">
        <f t="shared" si="30"/>
        <v>4041/4042</v>
      </c>
      <c r="L111" s="26" t="str">
        <f>VLOOKUP(A111,'Trips&amp;Operators'!$C$1:$E$10000,3,FALSE)</f>
        <v>HELVIE</v>
      </c>
      <c r="M111" s="6">
        <f t="shared" si="31"/>
        <v>3.4016203702776693E-2</v>
      </c>
      <c r="N111" s="7">
        <f t="shared" si="29"/>
        <v>48.983333331998438</v>
      </c>
      <c r="O111" s="7"/>
      <c r="P111" s="7"/>
      <c r="Q111" s="27"/>
      <c r="R111" s="27"/>
      <c r="S111" s="45">
        <f t="shared" si="32"/>
        <v>1</v>
      </c>
      <c r="T111" s="69" t="str">
        <f t="shared" si="33"/>
        <v>NorthBound</v>
      </c>
      <c r="U111" s="96">
        <f>COUNTIFS(Variables!$M$2:$M$19,IF(T111="NorthBound","&gt;=","&lt;=")&amp;Y111,Variables!$M$2:$M$19,IF(T111="NorthBound","&lt;=","&gt;=")&amp;Z111)</f>
        <v>12</v>
      </c>
      <c r="V11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14:25:32-0600',mode:absolute,to:'2016-07-16 17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1" s="74" t="str">
        <f t="shared" si="35"/>
        <v>N</v>
      </c>
      <c r="X111" s="92">
        <f t="shared" ref="X111:X117" si="66">VALUE(LEFT(A111,3))-VALUE(LEFT(A110,3))</f>
        <v>1</v>
      </c>
      <c r="Y111" s="89">
        <f t="shared" ref="Y111:Y117" si="67">RIGHT(D111,LEN(D111)-4)/10000</f>
        <v>4.5999999999999999E-2</v>
      </c>
      <c r="Z111" s="89">
        <f t="shared" si="38"/>
        <v>23.328800000000001</v>
      </c>
      <c r="AA111" s="89">
        <f t="shared" si="39"/>
        <v>23.282800000000002</v>
      </c>
      <c r="AB111" s="86" t="e">
        <f>VLOOKUP(A111,Enforcements!$C$7:$J$23,8,0)</f>
        <v>#N/A</v>
      </c>
      <c r="AC111" s="82" t="e">
        <f>VLOOKUP(A111,Enforcements!$C$7:$E$23,3,0)</f>
        <v>#N/A</v>
      </c>
      <c r="AD111" s="83" t="str">
        <f t="shared" si="40"/>
        <v>0195-16</v>
      </c>
      <c r="AE111" s="75" t="str">
        <f t="shared" si="41"/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AF111" s="75" t="str">
        <f t="shared" si="42"/>
        <v>"C:\Program Files (x86)\AstroGrep\AstroGrep.exe" /spath="C:\Users\stu\Documents\Analysis\2016-02-23 RTDC Observations" /stypes="*4042*20160716*" /stext=" 22:.+((prompt.+disp)|(slice.+state.+chan)|(ment ac)|(system.+state.+chan)|(\|lc)|(penalty)|(\[timeout))" /e /r /s</v>
      </c>
      <c r="AG111" s="1" t="str">
        <f t="shared" si="43"/>
        <v>EC</v>
      </c>
    </row>
    <row r="112" spans="1:33" s="25" customFormat="1" x14ac:dyDescent="0.25">
      <c r="A112" s="49" t="s">
        <v>504</v>
      </c>
      <c r="B112" s="7">
        <v>4041</v>
      </c>
      <c r="C112" s="26" t="s">
        <v>59</v>
      </c>
      <c r="D112" s="26" t="s">
        <v>66</v>
      </c>
      <c r="E112" s="16">
        <v>42567.642731481479</v>
      </c>
      <c r="F112" s="16">
        <v>42567.684224537035</v>
      </c>
      <c r="G112" s="7">
        <v>1</v>
      </c>
      <c r="H112" s="16" t="s">
        <v>225</v>
      </c>
      <c r="I112" s="16">
        <v>42567.694699074076</v>
      </c>
      <c r="J112" s="7">
        <v>2</v>
      </c>
      <c r="K112" s="26" t="str">
        <f t="shared" ref="K112" si="68">IF(ISEVEN(B112),(B112-1)&amp;"/"&amp;B112,B112&amp;"/"&amp;(B112+1))</f>
        <v>4041/4042</v>
      </c>
      <c r="L112" s="26" t="str">
        <f>VLOOKUP(A112,'Trips&amp;Operators'!$C$1:$E$10000,3,FALSE)</f>
        <v>HELVIE</v>
      </c>
      <c r="M112" s="6">
        <f t="shared" ref="M112" si="69">I112-F112</f>
        <v>1.0474537040863652E-2</v>
      </c>
      <c r="N112" s="7"/>
      <c r="O112" s="7"/>
      <c r="P112" s="7">
        <f t="shared" si="29"/>
        <v>15.083333338843659</v>
      </c>
      <c r="Q112" s="27"/>
      <c r="R112" s="27" t="s">
        <v>625</v>
      </c>
      <c r="S112" s="45">
        <f t="shared" ref="S112" si="70">SUM(U112:U112)/12</f>
        <v>0</v>
      </c>
      <c r="T112" s="69" t="str">
        <f t="shared" ref="T112" si="71">IF(ISEVEN(LEFT(A112,3)),"Southbound","NorthBound")</f>
        <v>Southbound</v>
      </c>
      <c r="U112" s="96">
        <f>COUNTIFS(Variables!$M$2:$M$19,IF(T112="NorthBound","&gt;=","&lt;=")&amp;Y112,Variables!$M$2:$M$19,IF(T112="NorthBound","&lt;=","&gt;=")&amp;Z112)</f>
        <v>0</v>
      </c>
      <c r="V112" s="74" t="str">
        <f t="shared" ref="V112" si="72">"https://search-rtdc-monitor-bjffxe2xuh6vdkpspy63sjmuny.us-east-1.es.amazonaws.com/_plugin/kibana/#/discover/Steve-Slow-Train-Analysis-(2080s-and-2083s)?_g=(refreshInterval:(display:Off,section:0,value:0),time:(from:'"&amp;TEXT(E112-1/24,"yyyy-MM-DD hh:mm:ss")&amp;"-0600',mode:absolute,to:'"&amp;TEXT(I112+1/24,"yyyy-MM-DD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https://search-rtdc-monitor-bjffxe2xuh6vdkpspy63sjmuny.us-east-1.es.amazonaws.com/_plugin/kibana/#/discover/Steve-Slow-Train-Analysis-(2080s-and-2083s)?_g=(refreshInterval:(display:Off,section:0,value:0),time:(from:'2016-07-16 14:25:32-0600',mode:absolute,to:'2016-07-16 17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2" s="74" t="str">
        <f t="shared" ref="W112" si="73">IF(AA112&lt;23,"Y","N")</f>
        <v>Y</v>
      </c>
      <c r="X112" s="92">
        <f t="shared" ref="X112" si="74">VALUE(LEFT(A112,3))-VALUE(LEFT(A111,3))</f>
        <v>1</v>
      </c>
      <c r="Y112" s="89">
        <v>23.3</v>
      </c>
      <c r="Z112" s="89">
        <v>23.2</v>
      </c>
      <c r="AA112" s="89">
        <f t="shared" ref="AA112" si="75">ABS(Z112-Y112)</f>
        <v>0.10000000000000142</v>
      </c>
      <c r="AB112" s="86" t="e">
        <f>VLOOKUP(A112,Enforcements!$C$7:$J$23,8,0)</f>
        <v>#N/A</v>
      </c>
      <c r="AC112" s="82" t="e">
        <f>VLOOKUP(A112,Enforcements!$C$7:$E$23,3,0)</f>
        <v>#N/A</v>
      </c>
      <c r="AD112" s="83" t="str">
        <f t="shared" ref="AD112" si="76">IF(LEN(A112)=6,"0"&amp;A112,A112)</f>
        <v>0196-16</v>
      </c>
      <c r="AE112" s="75" t="str">
        <f t="shared" ref="AE112" si="77">"aws s3 cp "&amp;s3_bucket&amp;"/RTDC"&amp;B112&amp;"/"&amp;TEXT(F112,"YYYY-MM-DD")&amp;"/ "&amp;search_path&amp;"\RTDC"&amp;B112&amp;"\"&amp;TEXT(F112,"YYYY-MM-DD")&amp;" --recursive &amp; """&amp;walkandungz&amp;""" "&amp;search_path&amp;"\RTDC"&amp;B112&amp;"\"&amp;TEXT(F112,"YYYY-MM-DD")
&amp;" &amp; "&amp;"aws s3 cp "&amp;s3_bucket&amp;"/RTDC"&amp;B112&amp;"/"&amp;TEXT(F112+1,"YYYY-MM-DD")&amp;"/ "&amp;search_path&amp;"\RTDC"&amp;B112&amp;"\"&amp;TEXT(F112+1,"YYYY-MM-DD")&amp;" --recursive &amp; """&amp;walkandungz&amp;""" "&amp;search_path&amp;"\RTDC"&amp;B112&amp;"\"&amp;TEXT(F112+1,"YYYY-MM-DD")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112" s="75" t="str">
        <f t="shared" ref="AF112" si="78">astrogrep_path&amp;" /spath="&amp;search_path&amp;" /stypes=""*"&amp;B112&amp;"*"&amp;TEXT(I112-utc_offset/24,"YYYYMMDD")&amp;"*"" /stext="" "&amp;TEXT(I112-utc_offset/24,"HH")&amp;search_regexp&amp;""" /e /r /s"</f>
        <v>"C:\Program Files (x86)\AstroGrep\AstroGrep.exe" /spath="C:\Users\stu\Documents\Analysis\2016-02-23 RTDC Observations" /stypes="*4041*20160716*" /stext=" 22:.+((prompt.+disp)|(slice.+state.+chan)|(ment ac)|(system.+state.+chan)|(\|lc)|(penalty)|(\[timeout))" /e /r /s</v>
      </c>
      <c r="AG112" s="1" t="str">
        <f t="shared" ref="AG112" si="79">IF(VALUE(LEFT(A112,3))&lt;300,"EC","NWGL")</f>
        <v>EC</v>
      </c>
    </row>
    <row r="113" spans="1:33" x14ac:dyDescent="0.25">
      <c r="A113" s="49" t="s">
        <v>434</v>
      </c>
      <c r="B113" s="7">
        <v>4041</v>
      </c>
      <c r="C113" s="26" t="s">
        <v>59</v>
      </c>
      <c r="D113" s="26" t="s">
        <v>349</v>
      </c>
      <c r="E113" s="16">
        <v>42567.700671296298</v>
      </c>
      <c r="F113" s="16">
        <v>42567.701643518521</v>
      </c>
      <c r="G113" s="7">
        <v>1</v>
      </c>
      <c r="H113" s="16" t="s">
        <v>568</v>
      </c>
      <c r="I113" s="16">
        <v>42567.741296296299</v>
      </c>
      <c r="J113" s="7">
        <v>0</v>
      </c>
      <c r="K113" s="26" t="str">
        <f t="shared" si="30"/>
        <v>4041/4042</v>
      </c>
      <c r="L113" s="26" t="str">
        <f>VLOOKUP(A113,'Trips&amp;Operators'!$C$1:$E$10000,3,FALSE)</f>
        <v>HELVIE</v>
      </c>
      <c r="M113" s="6">
        <f t="shared" si="31"/>
        <v>3.9652777777519077E-2</v>
      </c>
      <c r="N113" s="7"/>
      <c r="O113" s="7"/>
      <c r="P113" s="7">
        <f>24*60*SUM($M113:$M114)</f>
        <v>72.066666665486991</v>
      </c>
      <c r="Q113" s="27"/>
      <c r="R113" s="27" t="s">
        <v>598</v>
      </c>
      <c r="S113" s="45">
        <f>SUM(U113:U114)/12</f>
        <v>0.83333333333333337</v>
      </c>
      <c r="T113" s="69" t="str">
        <f t="shared" si="33"/>
        <v>Southbound</v>
      </c>
      <c r="U113" s="96">
        <f>COUNTIFS(Variables!$M$2:$M$19,IF(T113="NorthBound","&gt;=","&lt;=")&amp;Y113,Variables!$M$2:$M$19,IF(T113="NorthBound","&lt;=","&gt;=")&amp;Z113)</f>
        <v>1</v>
      </c>
      <c r="V11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15:48:58-0600',mode:absolute,to:'2016-07-16 18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3" s="74" t="str">
        <f t="shared" si="35"/>
        <v>Y</v>
      </c>
      <c r="X113" s="92">
        <f>VALUE(LEFT(A113,3))-VALUE(LEFT(A111,3))</f>
        <v>5</v>
      </c>
      <c r="Y113" s="89">
        <f t="shared" si="67"/>
        <v>23.296700000000001</v>
      </c>
      <c r="Z113" s="89">
        <f t="shared" si="38"/>
        <v>10.5044</v>
      </c>
      <c r="AA113" s="89">
        <f t="shared" si="39"/>
        <v>12.792300000000001</v>
      </c>
      <c r="AB113" s="86" t="e">
        <f>VLOOKUP(A113,Enforcements!$C$7:$J$23,8,0)</f>
        <v>#N/A</v>
      </c>
      <c r="AC113" s="82" t="e">
        <f>VLOOKUP(A113,Enforcements!$C$7:$E$23,3,0)</f>
        <v>#N/A</v>
      </c>
      <c r="AD113" s="83" t="str">
        <f t="shared" si="40"/>
        <v>0200-16</v>
      </c>
      <c r="AE113" s="75" t="str">
        <f t="shared" si="41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113" s="75" t="str">
        <f t="shared" si="42"/>
        <v>"C:\Program Files (x86)\AstroGrep\AstroGrep.exe" /spath="C:\Users\stu\Documents\Analysis\2016-02-23 RTDC Observations" /stypes="*4041*20160716*" /stext=" 23:.+((prompt.+disp)|(slice.+state.+chan)|(ment ac)|(system.+state.+chan)|(\|lc)|(penalty)|(\[timeout))" /e /r /s</v>
      </c>
      <c r="AG113" s="1" t="str">
        <f t="shared" si="43"/>
        <v>EC</v>
      </c>
    </row>
    <row r="114" spans="1:33" x14ac:dyDescent="0.25">
      <c r="A114" s="49" t="s">
        <v>434</v>
      </c>
      <c r="B114" s="7">
        <v>4041</v>
      </c>
      <c r="C114" s="26" t="s">
        <v>59</v>
      </c>
      <c r="D114" s="26" t="s">
        <v>569</v>
      </c>
      <c r="E114" s="16">
        <v>42567.757349537038</v>
      </c>
      <c r="F114" s="16">
        <v>42567.757997685185</v>
      </c>
      <c r="G114" s="7">
        <v>0</v>
      </c>
      <c r="H114" s="16" t="s">
        <v>243</v>
      </c>
      <c r="I114" s="16">
        <v>42567.768391203703</v>
      </c>
      <c r="J114" s="7">
        <v>1</v>
      </c>
      <c r="K114" s="26" t="str">
        <f t="shared" si="30"/>
        <v>4041/4042</v>
      </c>
      <c r="L114" s="26" t="str">
        <f>VLOOKUP(A114,'Trips&amp;Operators'!$C$1:$E$10000,3,FALSE)</f>
        <v>HELVIE</v>
      </c>
      <c r="M114" s="6">
        <f t="shared" si="31"/>
        <v>1.0393518517958E-2</v>
      </c>
      <c r="N114" s="7"/>
      <c r="O114" s="7"/>
      <c r="P114" s="7"/>
      <c r="Q114" s="27"/>
      <c r="R114" s="27"/>
      <c r="S114" s="45"/>
      <c r="T114" s="69" t="str">
        <f t="shared" si="33"/>
        <v>Southbound</v>
      </c>
      <c r="U114" s="96">
        <f>COUNTIFS(Variables!$M$2:$M$19,IF(T114="NorthBound","&gt;=","&lt;=")&amp;Y114,Variables!$M$2:$M$19,IF(T114="NorthBound","&lt;=","&gt;=")&amp;Z114)</f>
        <v>9</v>
      </c>
      <c r="V11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17:10:35-0600',mode:absolute,to:'2016-07-16 19:26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4" s="74" t="str">
        <f t="shared" si="35"/>
        <v>Y</v>
      </c>
      <c r="X114" s="92">
        <f t="shared" si="66"/>
        <v>0</v>
      </c>
      <c r="Y114" s="89">
        <f t="shared" si="67"/>
        <v>6.4181999999999997</v>
      </c>
      <c r="Z114" s="89">
        <f t="shared" si="38"/>
        <v>1.89E-2</v>
      </c>
      <c r="AA114" s="89">
        <f t="shared" si="39"/>
        <v>6.3992999999999993</v>
      </c>
      <c r="AB114" s="86" t="e">
        <f>VLOOKUP(A114,Enforcements!$C$7:$J$23,8,0)</f>
        <v>#N/A</v>
      </c>
      <c r="AC114" s="82" t="e">
        <f>VLOOKUP(A114,Enforcements!$C$7:$E$23,3,0)</f>
        <v>#N/A</v>
      </c>
      <c r="AD114" s="83" t="str">
        <f t="shared" si="40"/>
        <v>0200-16</v>
      </c>
      <c r="AE114" s="75" t="str">
        <f t="shared" si="41"/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AF114" s="75" t="str">
        <f t="shared" si="42"/>
        <v>"C:\Program Files (x86)\AstroGrep\AstroGrep.exe" /spath="C:\Users\stu\Documents\Analysis\2016-02-23 RTDC Observations" /stypes="*4041*20160717*" /stext=" 00:.+((prompt.+disp)|(slice.+state.+chan)|(ment ac)|(system.+state.+chan)|(\|lc)|(penalty)|(\[timeout))" /e /r /s</v>
      </c>
      <c r="AG114" s="1" t="str">
        <f t="shared" si="43"/>
        <v>EC</v>
      </c>
    </row>
    <row r="115" spans="1:33" x14ac:dyDescent="0.25">
      <c r="A115" s="49" t="s">
        <v>443</v>
      </c>
      <c r="B115" s="7">
        <v>4020</v>
      </c>
      <c r="C115" s="26" t="s">
        <v>59</v>
      </c>
      <c r="D115" s="26" t="s">
        <v>181</v>
      </c>
      <c r="E115" s="16">
        <v>42567.686249999999</v>
      </c>
      <c r="F115" s="16">
        <v>42567.688148148147</v>
      </c>
      <c r="G115" s="7">
        <v>2</v>
      </c>
      <c r="H115" s="16" t="s">
        <v>570</v>
      </c>
      <c r="I115" s="16">
        <v>42567.733923611115</v>
      </c>
      <c r="J115" s="7">
        <v>1</v>
      </c>
      <c r="K115" s="26" t="str">
        <f t="shared" si="30"/>
        <v>4019/4020</v>
      </c>
      <c r="L115" s="26" t="str">
        <f>VLOOKUP(A115,'Trips&amp;Operators'!$C$1:$E$10000,3,FALSE)</f>
        <v>MAYBERRY</v>
      </c>
      <c r="M115" s="6">
        <f t="shared" si="31"/>
        <v>4.5775462967867497E-2</v>
      </c>
      <c r="N115" s="7">
        <f t="shared" si="29"/>
        <v>65.916666673729196</v>
      </c>
      <c r="O115" s="7"/>
      <c r="P115" s="7"/>
      <c r="Q115" s="27"/>
      <c r="R115" s="27"/>
      <c r="S115" s="45">
        <f t="shared" si="32"/>
        <v>1</v>
      </c>
      <c r="T115" s="69" t="str">
        <f t="shared" si="33"/>
        <v>NorthBound</v>
      </c>
      <c r="U115" s="96">
        <f>COUNTIFS(Variables!$M$2:$M$19,IF(T115="NorthBound","&gt;=","&lt;=")&amp;Y115,Variables!$M$2:$M$19,IF(T115="NorthBound","&lt;=","&gt;=")&amp;Z115)</f>
        <v>12</v>
      </c>
      <c r="V11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15:28:12-0600',mode:absolute,to:'2016-07-16 18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5" s="74" t="str">
        <f t="shared" si="35"/>
        <v>N</v>
      </c>
      <c r="X115" s="92">
        <f t="shared" si="66"/>
        <v>3</v>
      </c>
      <c r="Y115" s="89">
        <f t="shared" si="67"/>
        <v>4.6399999999999997E-2</v>
      </c>
      <c r="Z115" s="89">
        <f t="shared" si="38"/>
        <v>23.3123</v>
      </c>
      <c r="AA115" s="89">
        <f t="shared" si="39"/>
        <v>23.265900000000002</v>
      </c>
      <c r="AB115" s="86">
        <f>VLOOKUP(A115,Enforcements!$C$7:$J$23,8,0)</f>
        <v>224578</v>
      </c>
      <c r="AC115" s="82" t="str">
        <f>VLOOKUP(A115,Enforcements!$C$7:$E$23,3,0)</f>
        <v>PERMANENT SPEED RESTRICTION</v>
      </c>
      <c r="AD115" s="83" t="str">
        <f t="shared" si="40"/>
        <v>0203-16</v>
      </c>
      <c r="AE115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115" s="75" t="str">
        <f t="shared" si="42"/>
        <v>"C:\Program Files (x86)\AstroGrep\AstroGrep.exe" /spath="C:\Users\stu\Documents\Analysis\2016-02-23 RTDC Observations" /stypes="*4020*20160716*" /stext=" 23:.+((prompt.+disp)|(slice.+state.+chan)|(ment ac)|(system.+state.+chan)|(\|lc)|(penalty)|(\[timeout))" /e /r /s</v>
      </c>
      <c r="AG115" s="1" t="str">
        <f t="shared" si="43"/>
        <v>EC</v>
      </c>
    </row>
    <row r="116" spans="1:33" x14ac:dyDescent="0.25">
      <c r="A116" s="49" t="s">
        <v>437</v>
      </c>
      <c r="B116" s="7">
        <v>4031</v>
      </c>
      <c r="C116" s="26" t="s">
        <v>59</v>
      </c>
      <c r="D116" s="26" t="s">
        <v>242</v>
      </c>
      <c r="E116" s="16">
        <v>42567.694097222222</v>
      </c>
      <c r="F116" s="16">
        <v>42567.695243055554</v>
      </c>
      <c r="G116" s="7">
        <v>1</v>
      </c>
      <c r="H116" s="16" t="s">
        <v>571</v>
      </c>
      <c r="I116" s="16">
        <v>42567.721319444441</v>
      </c>
      <c r="J116" s="7">
        <v>0</v>
      </c>
      <c r="K116" s="26" t="str">
        <f t="shared" si="30"/>
        <v>4031/4032</v>
      </c>
      <c r="L116" s="26" t="str">
        <f>VLOOKUP(A116,'Trips&amp;Operators'!$C$1:$E$10000,3,FALSE)</f>
        <v>WEBSTER</v>
      </c>
      <c r="M116" s="6">
        <f t="shared" si="31"/>
        <v>2.6076388887304347E-2</v>
      </c>
      <c r="N116" s="7"/>
      <c r="O116" s="7"/>
      <c r="P116" s="7">
        <f>24*60*SUM($M116:$M117)</f>
        <v>57.23333333269693</v>
      </c>
      <c r="Q116" s="27"/>
      <c r="R116" s="27" t="s">
        <v>599</v>
      </c>
      <c r="S116" s="45">
        <f>SUM(U116:U117)/12</f>
        <v>0.66666666666666663</v>
      </c>
      <c r="T116" s="69" t="str">
        <f t="shared" si="33"/>
        <v>NorthBound</v>
      </c>
      <c r="U116" s="96">
        <f>COUNTIFS(Variables!$M$2:$M$19,IF(T116="NorthBound","&gt;=","&lt;=")&amp;Y116,Variables!$M$2:$M$19,IF(T116="NorthBound","&lt;=","&gt;=")&amp;Z116)</f>
        <v>6</v>
      </c>
      <c r="V11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15:39:30-0600',mode:absolute,to:'2016-07-16 18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6" s="74" t="str">
        <f t="shared" si="35"/>
        <v>Y</v>
      </c>
      <c r="X116" s="92">
        <f t="shared" si="66"/>
        <v>2</v>
      </c>
      <c r="Y116" s="89">
        <f t="shared" si="67"/>
        <v>7.7499999999999999E-2</v>
      </c>
      <c r="Z116" s="89">
        <f t="shared" si="38"/>
        <v>5.6222000000000003</v>
      </c>
      <c r="AA116" s="89">
        <f t="shared" si="39"/>
        <v>5.5447000000000006</v>
      </c>
      <c r="AB116" s="86" t="e">
        <f>VLOOKUP(A116,Enforcements!$C$7:$J$23,8,0)</f>
        <v>#N/A</v>
      </c>
      <c r="AC116" s="82" t="e">
        <f>VLOOKUP(A116,Enforcements!$C$7:$E$23,3,0)</f>
        <v>#N/A</v>
      </c>
      <c r="AD116" s="83" t="str">
        <f t="shared" si="40"/>
        <v>0205-16</v>
      </c>
      <c r="AE116" s="75" t="str">
        <f t="shared" si="41"/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AF116" s="75" t="str">
        <f t="shared" si="42"/>
        <v>"C:\Program Files (x86)\AstroGrep\AstroGrep.exe" /spath="C:\Users\stu\Documents\Analysis\2016-02-23 RTDC Observations" /stypes="*4031*20160716*" /stext=" 23:.+((prompt.+disp)|(slice.+state.+chan)|(ment ac)|(system.+state.+chan)|(\|lc)|(penalty)|(\[timeout))" /e /r /s</v>
      </c>
      <c r="AG116" s="1" t="str">
        <f t="shared" si="43"/>
        <v>EC</v>
      </c>
    </row>
    <row r="117" spans="1:33" x14ac:dyDescent="0.25">
      <c r="A117" s="49" t="s">
        <v>437</v>
      </c>
      <c r="B117" s="7">
        <v>4031</v>
      </c>
      <c r="C117" s="26" t="s">
        <v>59</v>
      </c>
      <c r="D117" s="26" t="s">
        <v>572</v>
      </c>
      <c r="E117" s="16">
        <v>42567.748645833337</v>
      </c>
      <c r="F117" s="16">
        <v>42567.749293981484</v>
      </c>
      <c r="G117" s="7">
        <v>0</v>
      </c>
      <c r="H117" s="16" t="s">
        <v>199</v>
      </c>
      <c r="I117" s="16">
        <v>42567.762962962966</v>
      </c>
      <c r="J117" s="7">
        <v>0</v>
      </c>
      <c r="K117" s="26" t="str">
        <f t="shared" si="30"/>
        <v>4031/4032</v>
      </c>
      <c r="L117" s="26" t="str">
        <f>VLOOKUP(A117,'Trips&amp;Operators'!$C$1:$E$10000,3,FALSE)</f>
        <v>WEBSTER</v>
      </c>
      <c r="M117" s="6">
        <f t="shared" si="31"/>
        <v>1.3668981482624076E-2</v>
      </c>
      <c r="N117" s="7"/>
      <c r="O117" s="7"/>
      <c r="P117" s="7"/>
      <c r="Q117" s="27"/>
      <c r="R117" s="27"/>
      <c r="S117" s="45"/>
      <c r="T117" s="69" t="str">
        <f t="shared" si="33"/>
        <v>NorthBound</v>
      </c>
      <c r="U117" s="96">
        <f>COUNTIFS(Variables!$M$2:$M$19,IF(T117="NorthBound","&gt;=","&lt;=")&amp;Y117,Variables!$M$2:$M$19,IF(T117="NorthBound","&lt;=","&gt;=")&amp;Z117)</f>
        <v>2</v>
      </c>
      <c r="V11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16:58:03-0600',mode:absolute,to:'2016-07-16 19:18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7" s="74" t="str">
        <f t="shared" si="35"/>
        <v>Y</v>
      </c>
      <c r="X117" s="92">
        <f t="shared" si="66"/>
        <v>0</v>
      </c>
      <c r="Y117" s="89">
        <f t="shared" si="67"/>
        <v>8.6374999999999993</v>
      </c>
      <c r="Z117" s="89">
        <f t="shared" si="38"/>
        <v>23.331199999999999</v>
      </c>
      <c r="AA117" s="89">
        <f t="shared" si="39"/>
        <v>14.6937</v>
      </c>
      <c r="AB117" s="86" t="e">
        <f>VLOOKUP(A117,Enforcements!$C$7:$J$23,8,0)</f>
        <v>#N/A</v>
      </c>
      <c r="AC117" s="82" t="e">
        <f>VLOOKUP(A117,Enforcements!$C$7:$E$23,3,0)</f>
        <v>#N/A</v>
      </c>
      <c r="AD117" s="83" t="str">
        <f t="shared" si="40"/>
        <v>0205-16</v>
      </c>
      <c r="AE117" s="75" t="str">
        <f t="shared" si="41"/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AF117" s="75" t="str">
        <f t="shared" si="42"/>
        <v>"C:\Program Files (x86)\AstroGrep\AstroGrep.exe" /spath="C:\Users\stu\Documents\Analysis\2016-02-23 RTDC Observations" /stypes="*4031*20160717*" /stext=" 00:.+((prompt.+disp)|(slice.+state.+chan)|(ment ac)|(system.+state.+chan)|(\|lc)|(penalty)|(\[timeout))" /e /r /s</v>
      </c>
      <c r="AG117" s="1" t="str">
        <f t="shared" si="43"/>
        <v>EC</v>
      </c>
    </row>
    <row r="118" spans="1:33" x14ac:dyDescent="0.25">
      <c r="A118" s="49" t="s">
        <v>436</v>
      </c>
      <c r="B118" s="7">
        <v>4040</v>
      </c>
      <c r="C118" s="26" t="s">
        <v>59</v>
      </c>
      <c r="D118" s="26" t="s">
        <v>355</v>
      </c>
      <c r="E118" s="16">
        <v>42567.712893518517</v>
      </c>
      <c r="F118" s="16">
        <v>42567.713738425926</v>
      </c>
      <c r="G118" s="7">
        <v>1</v>
      </c>
      <c r="H118" s="16" t="s">
        <v>573</v>
      </c>
      <c r="I118" s="16">
        <v>42567.74590277778</v>
      </c>
      <c r="J118" s="7">
        <v>0</v>
      </c>
      <c r="K118" s="26" t="str">
        <f t="shared" si="30"/>
        <v>4039/4040</v>
      </c>
      <c r="L118" s="26" t="str">
        <f>VLOOKUP(A118,'Trips&amp;Operators'!$C$1:$E$10000,3,FALSE)</f>
        <v>BRUDER</v>
      </c>
      <c r="M118" s="6">
        <f t="shared" si="31"/>
        <v>3.2164351854589768E-2</v>
      </c>
      <c r="N118" s="7"/>
      <c r="O118" s="7"/>
      <c r="P118" s="7">
        <f>24*60*SUM($M118:$M119)</f>
        <v>70.550000000512227</v>
      </c>
      <c r="Q118" s="27"/>
      <c r="R118" s="27" t="s">
        <v>599</v>
      </c>
      <c r="S118" s="45">
        <f>SUM(U118:U119)/12</f>
        <v>0.66666666666666663</v>
      </c>
      <c r="T118" s="69" t="str">
        <f t="shared" si="33"/>
        <v>NorthBound</v>
      </c>
      <c r="U118" s="96">
        <f>COUNTIFS(Variables!$M$2:$M$19,IF(T118="NorthBound","&gt;=","&lt;=")&amp;Y118,Variables!$M$2:$M$19,IF(T118="NorthBound","&lt;=","&gt;=")&amp;Z118)</f>
        <v>6</v>
      </c>
      <c r="V11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16:06:34-0600',mode:absolute,to:'2016-07-16 18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8" s="74" t="str">
        <f t="shared" si="35"/>
        <v>Y</v>
      </c>
      <c r="X118" s="92">
        <f t="shared" si="36"/>
        <v>2</v>
      </c>
      <c r="Y118" s="89">
        <f t="shared" si="37"/>
        <v>4.7100000000000003E-2</v>
      </c>
      <c r="Z118" s="89">
        <f t="shared" si="38"/>
        <v>5.6595000000000004</v>
      </c>
      <c r="AA118" s="89">
        <f t="shared" si="39"/>
        <v>5.6124000000000001</v>
      </c>
      <c r="AB118" s="86" t="e">
        <f>VLOOKUP(A118,Enforcements!$C$7:$J$23,8,0)</f>
        <v>#N/A</v>
      </c>
      <c r="AC118" s="82" t="e">
        <f>VLOOKUP(A118,Enforcements!$C$7:$E$23,3,0)</f>
        <v>#N/A</v>
      </c>
      <c r="AD118" s="83" t="str">
        <f t="shared" si="40"/>
        <v>0207-16</v>
      </c>
      <c r="AE118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18" s="75" t="str">
        <f t="shared" si="42"/>
        <v>"C:\Program Files (x86)\AstroGrep\AstroGrep.exe" /spath="C:\Users\stu\Documents\Analysis\2016-02-23 RTDC Observations" /stypes="*4040*20160716*" /stext=" 23:.+((prompt.+disp)|(slice.+state.+chan)|(ment ac)|(system.+state.+chan)|(\|lc)|(penalty)|(\[timeout))" /e /r /s</v>
      </c>
      <c r="AG118" s="1" t="str">
        <f t="shared" si="43"/>
        <v>EC</v>
      </c>
    </row>
    <row r="119" spans="1:33" x14ac:dyDescent="0.25">
      <c r="A119" s="49" t="s">
        <v>436</v>
      </c>
      <c r="B119" s="7">
        <v>4040</v>
      </c>
      <c r="C119" s="26" t="s">
        <v>59</v>
      </c>
      <c r="D119" s="26" t="s">
        <v>574</v>
      </c>
      <c r="E119" s="16">
        <v>42567.753611111111</v>
      </c>
      <c r="F119" s="16">
        <v>42567.754710648151</v>
      </c>
      <c r="G119" s="7">
        <v>1</v>
      </c>
      <c r="H119" s="16" t="s">
        <v>135</v>
      </c>
      <c r="I119" s="16">
        <v>42567.771539351852</v>
      </c>
      <c r="J119" s="7">
        <v>0</v>
      </c>
      <c r="K119" s="26" t="str">
        <f t="shared" si="30"/>
        <v>4039/4040</v>
      </c>
      <c r="L119" s="26" t="str">
        <f>VLOOKUP(A119,'Trips&amp;Operators'!$C$1:$E$10000,3,FALSE)</f>
        <v>BRUDER</v>
      </c>
      <c r="M119" s="6">
        <f t="shared" si="31"/>
        <v>1.6828703701321501E-2</v>
      </c>
      <c r="N119" s="7"/>
      <c r="O119" s="7"/>
      <c r="P119" s="7"/>
      <c r="Q119" s="27"/>
      <c r="R119" s="27"/>
      <c r="S119" s="45"/>
      <c r="T119" s="69" t="str">
        <f t="shared" si="33"/>
        <v>NorthBound</v>
      </c>
      <c r="U119" s="96">
        <f>COUNTIFS(Variables!$M$2:$M$19,IF(T119="NorthBound","&gt;=","&lt;=")&amp;Y119,Variables!$M$2:$M$19,IF(T119="NorthBound","&lt;=","&gt;=")&amp;Z119)</f>
        <v>2</v>
      </c>
      <c r="V11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17:05:12-0600',mode:absolute,to:'2016-07-16 19:31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9" s="74" t="str">
        <f t="shared" si="35"/>
        <v>Y</v>
      </c>
      <c r="X119" s="92">
        <f t="shared" si="36"/>
        <v>0</v>
      </c>
      <c r="Y119" s="89">
        <f t="shared" si="37"/>
        <v>8.6373999999999995</v>
      </c>
      <c r="Z119" s="89">
        <f t="shared" si="38"/>
        <v>23.330200000000001</v>
      </c>
      <c r="AA119" s="89">
        <f t="shared" si="39"/>
        <v>14.692800000000002</v>
      </c>
      <c r="AB119" s="86" t="e">
        <f>VLOOKUP(A119,Enforcements!$C$7:$J$23,8,0)</f>
        <v>#N/A</v>
      </c>
      <c r="AC119" s="82" t="e">
        <f>VLOOKUP(A119,Enforcements!$C$7:$E$23,3,0)</f>
        <v>#N/A</v>
      </c>
      <c r="AD119" s="83" t="str">
        <f t="shared" si="40"/>
        <v>0207-16</v>
      </c>
      <c r="AE119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19" s="75" t="str">
        <f t="shared" si="42"/>
        <v>"C:\Program Files (x86)\AstroGrep\AstroGrep.exe" /spath="C:\Users\stu\Documents\Analysis\2016-02-23 RTDC Observations" /stypes="*4040*20160717*" /stext=" 00:.+((prompt.+disp)|(slice.+state.+chan)|(ment ac)|(system.+state.+chan)|(\|lc)|(penalty)|(\[timeout))" /e /r /s</v>
      </c>
      <c r="AG119" s="1" t="str">
        <f t="shared" si="43"/>
        <v>EC</v>
      </c>
    </row>
    <row r="120" spans="1:33" x14ac:dyDescent="0.25">
      <c r="A120" s="49" t="s">
        <v>438</v>
      </c>
      <c r="B120" s="7">
        <v>4019</v>
      </c>
      <c r="C120" s="26" t="s">
        <v>59</v>
      </c>
      <c r="D120" s="26" t="s">
        <v>575</v>
      </c>
      <c r="E120" s="16">
        <v>42567.744016203702</v>
      </c>
      <c r="F120" s="16">
        <v>42567.744942129626</v>
      </c>
      <c r="G120" s="7">
        <v>1</v>
      </c>
      <c r="H120" s="16" t="s">
        <v>243</v>
      </c>
      <c r="I120" s="16">
        <v>42567.784444444442</v>
      </c>
      <c r="J120" s="7">
        <v>3</v>
      </c>
      <c r="K120" s="26" t="str">
        <f t="shared" si="30"/>
        <v>4019/4020</v>
      </c>
      <c r="L120" s="26" t="str">
        <f>VLOOKUP(A120,'Trips&amp;Operators'!$C$1:$E$10000,3,FALSE)</f>
        <v>MAYBERRY</v>
      </c>
      <c r="M120" s="6">
        <f t="shared" si="31"/>
        <v>3.9502314815763384E-2</v>
      </c>
      <c r="N120" s="7">
        <f t="shared" si="29"/>
        <v>56.883333334699273</v>
      </c>
      <c r="O120" s="7"/>
      <c r="P120" s="7"/>
      <c r="Q120" s="27"/>
      <c r="R120" s="27"/>
      <c r="S120" s="45">
        <f t="shared" si="32"/>
        <v>1</v>
      </c>
      <c r="T120" s="69" t="str">
        <f t="shared" si="33"/>
        <v>Southbound</v>
      </c>
      <c r="U120" s="96">
        <f>COUNTIFS(Variables!$M$2:$M$19,IF(T120="NorthBound","&gt;=","&lt;=")&amp;Y120,Variables!$M$2:$M$19,IF(T120="NorthBound","&lt;=","&gt;=")&amp;Z120)</f>
        <v>12</v>
      </c>
      <c r="V12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0" s="74" t="str">
        <f t="shared" si="35"/>
        <v>N</v>
      </c>
      <c r="X120" s="92">
        <f t="shared" si="36"/>
        <v>1</v>
      </c>
      <c r="Y120" s="89">
        <f t="shared" si="37"/>
        <v>23.2807</v>
      </c>
      <c r="Z120" s="89">
        <f t="shared" si="38"/>
        <v>1.89E-2</v>
      </c>
      <c r="AA120" s="89">
        <f t="shared" si="39"/>
        <v>23.261800000000001</v>
      </c>
      <c r="AB120" s="86">
        <f>VLOOKUP(A120,Enforcements!$C$7:$J$23,8,0)</f>
        <v>156300</v>
      </c>
      <c r="AC120" s="82" t="str">
        <f>VLOOKUP(A120,Enforcements!$C$7:$E$23,3,0)</f>
        <v>PERMANENT SPEED RESTRICTION</v>
      </c>
      <c r="AD120" s="83" t="str">
        <f t="shared" si="40"/>
        <v>0208-16</v>
      </c>
      <c r="AE120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20" s="75" t="str">
        <f t="shared" si="42"/>
        <v>"C:\Program Files (x86)\AstroGrep\AstroGrep.exe" /spath="C:\Users\stu\Documents\Analysis\2016-02-23 RTDC Observations" /stypes="*4019*20160717*" /stext=" 00:.+((prompt.+disp)|(slice.+state.+chan)|(ment ac)|(system.+state.+chan)|(\|lc)|(penalty)|(\[timeout))" /e /r /s</v>
      </c>
      <c r="AG120" s="1" t="str">
        <f t="shared" si="43"/>
        <v>EC</v>
      </c>
    </row>
    <row r="121" spans="1:33" x14ac:dyDescent="0.25">
      <c r="A121" s="49" t="s">
        <v>440</v>
      </c>
      <c r="B121" s="7">
        <v>4038</v>
      </c>
      <c r="C121" s="26" t="s">
        <v>59</v>
      </c>
      <c r="D121" s="26" t="s">
        <v>576</v>
      </c>
      <c r="E121" s="16">
        <v>42567.719247685185</v>
      </c>
      <c r="F121" s="16">
        <v>42567.719768518517</v>
      </c>
      <c r="G121" s="7">
        <v>0</v>
      </c>
      <c r="H121" s="16" t="s">
        <v>577</v>
      </c>
      <c r="I121" s="16">
        <v>42567.746087962965</v>
      </c>
      <c r="J121" s="7">
        <v>0</v>
      </c>
      <c r="K121" s="26" t="str">
        <f t="shared" si="30"/>
        <v>4037/4038</v>
      </c>
      <c r="L121" s="26" t="str">
        <f>VLOOKUP(A121,'Trips&amp;Operators'!$C$1:$E$10000,3,FALSE)</f>
        <v>KILLION</v>
      </c>
      <c r="M121" s="6">
        <f t="shared" si="31"/>
        <v>2.6319444448745344E-2</v>
      </c>
      <c r="N121" s="7"/>
      <c r="O121" s="7"/>
      <c r="P121" s="7">
        <f>24*60*SUM($M121:$M122)</f>
        <v>63.300000003073364</v>
      </c>
      <c r="Q121" s="27"/>
      <c r="R121" s="27" t="s">
        <v>600</v>
      </c>
      <c r="S121" s="45">
        <f>SUM(U121:U122)/12</f>
        <v>0.58333333333333337</v>
      </c>
      <c r="T121" s="69" t="str">
        <f t="shared" si="33"/>
        <v>NorthBound</v>
      </c>
      <c r="U121" s="96">
        <f>COUNTIFS(Variables!$M$2:$M$19,IF(T121="NorthBound","&gt;=","&lt;=")&amp;Y121,Variables!$M$2:$M$19,IF(T121="NorthBound","&lt;=","&gt;=")&amp;Z121)</f>
        <v>5</v>
      </c>
      <c r="V12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16:15:43-0600',mode:absolute,to:'2016-07-16 18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1" s="74" t="str">
        <f t="shared" si="35"/>
        <v>Y</v>
      </c>
      <c r="X121" s="92">
        <f t="shared" si="36"/>
        <v>1</v>
      </c>
      <c r="Y121" s="89">
        <f t="shared" si="37"/>
        <v>0.11749999999999999</v>
      </c>
      <c r="Z121" s="89">
        <f t="shared" si="38"/>
        <v>4.8743999999999996</v>
      </c>
      <c r="AA121" s="89">
        <f t="shared" si="39"/>
        <v>4.7568999999999999</v>
      </c>
      <c r="AB121" s="86" t="e">
        <f>VLOOKUP(A121,Enforcements!$C$7:$J$23,8,0)</f>
        <v>#N/A</v>
      </c>
      <c r="AC121" s="82" t="e">
        <f>VLOOKUP(A121,Enforcements!$C$7:$E$23,3,0)</f>
        <v>#N/A</v>
      </c>
      <c r="AD121" s="83" t="str">
        <f t="shared" si="40"/>
        <v>0209-16</v>
      </c>
      <c r="AE121" s="75" t="str">
        <f t="shared" si="41"/>
        <v>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 &amp; 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</v>
      </c>
      <c r="AF121" s="75" t="str">
        <f t="shared" si="42"/>
        <v>"C:\Program Files (x86)\AstroGrep\AstroGrep.exe" /spath="C:\Users\stu\Documents\Analysis\2016-02-23 RTDC Observations" /stypes="*4038*20160716*" /stext=" 23:.+((prompt.+disp)|(slice.+state.+chan)|(ment ac)|(system.+state.+chan)|(\|lc)|(penalty)|(\[timeout))" /e /r /s</v>
      </c>
      <c r="AG121" s="1" t="str">
        <f t="shared" si="43"/>
        <v>EC</v>
      </c>
    </row>
    <row r="122" spans="1:33" x14ac:dyDescent="0.25">
      <c r="A122" s="49" t="s">
        <v>440</v>
      </c>
      <c r="B122" s="7">
        <v>4038</v>
      </c>
      <c r="C122" s="26" t="s">
        <v>59</v>
      </c>
      <c r="D122" s="26" t="s">
        <v>574</v>
      </c>
      <c r="E122" s="16">
        <v>42567.757384259261</v>
      </c>
      <c r="F122" s="16">
        <v>42567.757974537039</v>
      </c>
      <c r="G122" s="7">
        <v>0</v>
      </c>
      <c r="H122" s="16" t="s">
        <v>175</v>
      </c>
      <c r="I122" s="16">
        <v>42567.775613425925</v>
      </c>
      <c r="J122" s="7">
        <v>0</v>
      </c>
      <c r="K122" s="26" t="str">
        <f t="shared" si="30"/>
        <v>4037/4038</v>
      </c>
      <c r="L122" s="26" t="str">
        <f>VLOOKUP(A122,'Trips&amp;Operators'!$C$1:$E$10000,3,FALSE)</f>
        <v>KILLION</v>
      </c>
      <c r="M122" s="6">
        <f t="shared" si="31"/>
        <v>1.763888888672227E-2</v>
      </c>
      <c r="N122" s="7"/>
      <c r="O122" s="7"/>
      <c r="P122" s="7"/>
      <c r="Q122" s="27"/>
      <c r="R122" s="27"/>
      <c r="S122" s="45"/>
      <c r="T122" s="69" t="str">
        <f t="shared" si="33"/>
        <v>NorthBound</v>
      </c>
      <c r="U122" s="96">
        <f>COUNTIFS(Variables!$M$2:$M$19,IF(T122="NorthBound","&gt;=","&lt;=")&amp;Y122,Variables!$M$2:$M$19,IF(T122="NorthBound","&lt;=","&gt;=")&amp;Z122)</f>
        <v>2</v>
      </c>
      <c r="V12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17:10:38-0600',mode:absolute,to:'2016-07-16 19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2" s="74" t="str">
        <f t="shared" si="35"/>
        <v>Y</v>
      </c>
      <c r="X122" s="92">
        <f t="shared" si="36"/>
        <v>0</v>
      </c>
      <c r="Y122" s="89">
        <f t="shared" si="37"/>
        <v>8.6373999999999995</v>
      </c>
      <c r="Z122" s="89">
        <f t="shared" si="38"/>
        <v>23.3276</v>
      </c>
      <c r="AA122" s="89">
        <f t="shared" si="39"/>
        <v>14.690200000000001</v>
      </c>
      <c r="AB122" s="86" t="e">
        <f>VLOOKUP(A122,Enforcements!$C$7:$J$23,8,0)</f>
        <v>#N/A</v>
      </c>
      <c r="AC122" s="82" t="e">
        <f>VLOOKUP(A122,Enforcements!$C$7:$E$23,3,0)</f>
        <v>#N/A</v>
      </c>
      <c r="AD122" s="83" t="str">
        <f t="shared" si="40"/>
        <v>0209-16</v>
      </c>
      <c r="AE122" s="75" t="str">
        <f t="shared" si="41"/>
        <v>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 &amp; 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</v>
      </c>
      <c r="AF122" s="75" t="str">
        <f t="shared" si="42"/>
        <v>"C:\Program Files (x86)\AstroGrep\AstroGrep.exe" /spath="C:\Users\stu\Documents\Analysis\2016-02-23 RTDC Observations" /stypes="*4038*20160717*" /stext=" 00:.+((prompt.+disp)|(slice.+state.+chan)|(ment ac)|(system.+state.+chan)|(\|lc)|(penalty)|(\[timeout))" /e /r /s</v>
      </c>
      <c r="AG122" s="1" t="str">
        <f t="shared" si="43"/>
        <v>EC</v>
      </c>
    </row>
    <row r="123" spans="1:33" x14ac:dyDescent="0.25">
      <c r="A123" s="49" t="s">
        <v>433</v>
      </c>
      <c r="B123" s="7">
        <v>4032</v>
      </c>
      <c r="C123" s="26" t="s">
        <v>59</v>
      </c>
      <c r="D123" s="26" t="s">
        <v>153</v>
      </c>
      <c r="E123" s="16">
        <v>42567.765590277777</v>
      </c>
      <c r="F123" s="16">
        <v>42567.766319444447</v>
      </c>
      <c r="G123" s="7">
        <v>1</v>
      </c>
      <c r="H123" s="16" t="s">
        <v>108</v>
      </c>
      <c r="I123" s="16">
        <v>42567.795185185183</v>
      </c>
      <c r="J123" s="7">
        <v>0</v>
      </c>
      <c r="K123" s="26" t="str">
        <f t="shared" si="30"/>
        <v>4031/4032</v>
      </c>
      <c r="L123" s="26" t="str">
        <f>VLOOKUP(A123,'Trips&amp;Operators'!$C$1:$E$10000,3,FALSE)</f>
        <v>WEBSTER</v>
      </c>
      <c r="M123" s="6">
        <f t="shared" si="31"/>
        <v>2.8865740736364387E-2</v>
      </c>
      <c r="N123" s="7">
        <f t="shared" si="29"/>
        <v>41.566666660364717</v>
      </c>
      <c r="O123" s="7"/>
      <c r="P123" s="7"/>
      <c r="Q123" s="27"/>
      <c r="R123" s="27"/>
      <c r="S123" s="45">
        <f t="shared" si="32"/>
        <v>1</v>
      </c>
      <c r="T123" s="69" t="str">
        <f t="shared" si="33"/>
        <v>Southbound</v>
      </c>
      <c r="U123" s="96">
        <f>COUNTIFS(Variables!$M$2:$M$19,IF(T123="NorthBound","&gt;=","&lt;=")&amp;Y123,Variables!$M$2:$M$19,IF(T123="NorthBound","&lt;=","&gt;=")&amp;Z123)</f>
        <v>12</v>
      </c>
      <c r="V12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17:22:27-0600',mode:absolute,to:'2016-07-16 20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3" s="74" t="str">
        <f t="shared" si="35"/>
        <v>N</v>
      </c>
      <c r="X123" s="92">
        <f t="shared" si="36"/>
        <v>3</v>
      </c>
      <c r="Y123" s="89">
        <f t="shared" si="37"/>
        <v>23.299600000000002</v>
      </c>
      <c r="Z123" s="89">
        <f t="shared" si="38"/>
        <v>1.43E-2</v>
      </c>
      <c r="AA123" s="89">
        <f t="shared" si="39"/>
        <v>23.285300000000003</v>
      </c>
      <c r="AB123" s="86" t="e">
        <f>VLOOKUP(A123,Enforcements!$C$7:$J$23,8,0)</f>
        <v>#N/A</v>
      </c>
      <c r="AC123" s="82" t="e">
        <f>VLOOKUP(A123,Enforcements!$C$7:$E$23,3,0)</f>
        <v>#N/A</v>
      </c>
      <c r="AD123" s="83" t="str">
        <f t="shared" si="40"/>
        <v>0212-16</v>
      </c>
      <c r="AE123" s="75" t="str">
        <f t="shared" si="41"/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AF123" s="75" t="str">
        <f t="shared" si="42"/>
        <v>"C:\Program Files (x86)\AstroGrep\AstroGrep.exe" /spath="C:\Users\stu\Documents\Analysis\2016-02-23 RTDC Observations" /stypes="*4032*20160717*" /stext=" 01:.+((prompt.+disp)|(slice.+state.+chan)|(ment ac)|(system.+state.+chan)|(\|lc)|(penalty)|(\[timeout))" /e /r /s</v>
      </c>
      <c r="AG123" s="1" t="str">
        <f t="shared" si="43"/>
        <v>EC</v>
      </c>
    </row>
    <row r="124" spans="1:33" x14ac:dyDescent="0.25">
      <c r="A124" s="49" t="s">
        <v>377</v>
      </c>
      <c r="B124" s="7">
        <v>4029</v>
      </c>
      <c r="C124" s="26" t="s">
        <v>59</v>
      </c>
      <c r="D124" s="26" t="s">
        <v>578</v>
      </c>
      <c r="E124" s="16">
        <v>42567.738495370373</v>
      </c>
      <c r="F124" s="16">
        <v>42567.739201388889</v>
      </c>
      <c r="G124" s="7">
        <v>1</v>
      </c>
      <c r="H124" s="16" t="s">
        <v>579</v>
      </c>
      <c r="I124" s="16">
        <v>42567.751099537039</v>
      </c>
      <c r="J124" s="7">
        <v>0</v>
      </c>
      <c r="K124" s="26" t="str">
        <f t="shared" si="30"/>
        <v>4029/4030</v>
      </c>
      <c r="L124" s="26" t="str">
        <f>VLOOKUP(A124,'Trips&amp;Operators'!$C$1:$E$10000,3,FALSE)</f>
        <v>NEWELL</v>
      </c>
      <c r="M124" s="6">
        <f t="shared" si="31"/>
        <v>1.1898148150066845E-2</v>
      </c>
      <c r="N124" s="7"/>
      <c r="O124" s="7"/>
      <c r="P124" s="7">
        <f>24*60*SUM($M124:$M125)</f>
        <v>47.416666665812954</v>
      </c>
      <c r="Q124" s="27"/>
      <c r="R124" s="27" t="s">
        <v>599</v>
      </c>
      <c r="S124" s="45">
        <f>SUM(U124:U125)/12</f>
        <v>0.66666666666666663</v>
      </c>
      <c r="T124" s="69" t="str">
        <f t="shared" si="33"/>
        <v>NorthBound</v>
      </c>
      <c r="U124" s="96">
        <f>COUNTIFS(Variables!$M$2:$M$19,IF(T124="NorthBound","&gt;=","&lt;=")&amp;Y124,Variables!$M$2:$M$19,IF(T124="NorthBound","&lt;=","&gt;=")&amp;Z124)</f>
        <v>6</v>
      </c>
      <c r="V12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4" s="74" t="str">
        <f t="shared" si="35"/>
        <v>Y</v>
      </c>
      <c r="X124" s="92">
        <f t="shared" si="36"/>
        <v>1</v>
      </c>
      <c r="Y124" s="89">
        <f t="shared" si="37"/>
        <v>5.1900000000000002E-2</v>
      </c>
      <c r="Z124" s="89">
        <f t="shared" si="38"/>
        <v>5.6741999999999999</v>
      </c>
      <c r="AA124" s="89">
        <f t="shared" si="39"/>
        <v>5.6223000000000001</v>
      </c>
      <c r="AB124" s="86" t="e">
        <f>VLOOKUP(A124,Enforcements!$C$7:$J$23,8,0)</f>
        <v>#N/A</v>
      </c>
      <c r="AC124" s="82" t="e">
        <f>VLOOKUP(A124,Enforcements!$C$7:$E$23,3,0)</f>
        <v>#N/A</v>
      </c>
      <c r="AD124" s="83" t="str">
        <f t="shared" si="40"/>
        <v>0213-16</v>
      </c>
      <c r="AE124" s="75" t="str">
        <f t="shared" si="41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24" s="75" t="str">
        <f t="shared" si="42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AG124" s="1" t="str">
        <f t="shared" si="43"/>
        <v>EC</v>
      </c>
    </row>
    <row r="125" spans="1:33" x14ac:dyDescent="0.25">
      <c r="A125" s="49" t="s">
        <v>377</v>
      </c>
      <c r="B125" s="7">
        <v>4029</v>
      </c>
      <c r="C125" s="26" t="s">
        <v>59</v>
      </c>
      <c r="D125" s="26" t="s">
        <v>580</v>
      </c>
      <c r="E125" s="16">
        <v>42567.761921296296</v>
      </c>
      <c r="F125" s="16">
        <v>42567.762465277781</v>
      </c>
      <c r="G125" s="7">
        <v>0</v>
      </c>
      <c r="H125" s="16" t="s">
        <v>199</v>
      </c>
      <c r="I125" s="16">
        <v>42567.783495370371</v>
      </c>
      <c r="J125" s="7">
        <v>3</v>
      </c>
      <c r="K125" s="26" t="str">
        <f t="shared" si="30"/>
        <v>4029/4030</v>
      </c>
      <c r="L125" s="26" t="str">
        <f>VLOOKUP(A125,'Trips&amp;Operators'!$C$1:$E$10000,3,FALSE)</f>
        <v>NEWELL</v>
      </c>
      <c r="M125" s="6">
        <f t="shared" si="31"/>
        <v>2.103009259008104E-2</v>
      </c>
      <c r="N125" s="7"/>
      <c r="O125" s="7"/>
      <c r="P125" s="7"/>
      <c r="Q125" s="27"/>
      <c r="R125" s="27"/>
      <c r="S125" s="45"/>
      <c r="T125" s="69" t="str">
        <f t="shared" si="33"/>
        <v>NorthBound</v>
      </c>
      <c r="U125" s="96">
        <f>COUNTIFS(Variables!$M$2:$M$19,IF(T125="NorthBound","&gt;=","&lt;=")&amp;Y125,Variables!$M$2:$M$19,IF(T125="NorthBound","&lt;=","&gt;=")&amp;Z125)</f>
        <v>2</v>
      </c>
      <c r="V12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17:17:10-0600',mode:absolute,to:'2016-07-16 19:48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5" s="74" t="str">
        <f t="shared" si="35"/>
        <v>Y</v>
      </c>
      <c r="X125" s="92">
        <f t="shared" si="36"/>
        <v>0</v>
      </c>
      <c r="Y125" s="89">
        <f t="shared" si="37"/>
        <v>9.7788000000000004</v>
      </c>
      <c r="Z125" s="89">
        <f t="shared" si="38"/>
        <v>23.331199999999999</v>
      </c>
      <c r="AA125" s="89">
        <f t="shared" si="39"/>
        <v>13.552399999999999</v>
      </c>
      <c r="AB125" s="86" t="e">
        <f>VLOOKUP(A125,Enforcements!$C$7:$J$23,8,0)</f>
        <v>#N/A</v>
      </c>
      <c r="AC125" s="82" t="e">
        <f>VLOOKUP(A125,Enforcements!$C$7:$E$23,3,0)</f>
        <v>#N/A</v>
      </c>
      <c r="AD125" s="83" t="str">
        <f t="shared" si="40"/>
        <v>0213-16</v>
      </c>
      <c r="AE125" s="75" t="str">
        <f t="shared" si="41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25" s="75" t="str">
        <f t="shared" si="42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49" t="s">
        <v>374</v>
      </c>
      <c r="B126" s="7">
        <v>4039</v>
      </c>
      <c r="C126" s="26" t="s">
        <v>59</v>
      </c>
      <c r="D126" s="26" t="s">
        <v>244</v>
      </c>
      <c r="E126" s="16">
        <v>42567.777349537035</v>
      </c>
      <c r="F126" s="16">
        <v>42567.778171296297</v>
      </c>
      <c r="G126" s="7">
        <v>1</v>
      </c>
      <c r="H126" s="16" t="s">
        <v>60</v>
      </c>
      <c r="I126" s="16">
        <v>42567.807002314818</v>
      </c>
      <c r="J126" s="7">
        <v>1</v>
      </c>
      <c r="K126" s="26" t="str">
        <f t="shared" si="30"/>
        <v>4039/4040</v>
      </c>
      <c r="L126" s="26" t="str">
        <f>VLOOKUP(A126,'Trips&amp;Operators'!$C$1:$E$10000,3,FALSE)</f>
        <v>BRUDER</v>
      </c>
      <c r="M126" s="6">
        <f t="shared" si="31"/>
        <v>2.8831018520577345E-2</v>
      </c>
      <c r="N126" s="7">
        <f t="shared" si="29"/>
        <v>41.516666669631377</v>
      </c>
      <c r="O126" s="7"/>
      <c r="P126" s="7"/>
      <c r="Q126" s="27"/>
      <c r="R126" s="27"/>
      <c r="S126" s="45">
        <f t="shared" si="32"/>
        <v>1</v>
      </c>
      <c r="T126" s="69" t="str">
        <f t="shared" si="33"/>
        <v>Southbound</v>
      </c>
      <c r="U126" s="96">
        <f>COUNTIFS(Variables!$M$2:$M$19,IF(T126="NorthBound","&gt;=","&lt;=")&amp;Y126,Variables!$M$2:$M$19,IF(T126="NorthBound","&lt;=","&gt;=")&amp;Z126)</f>
        <v>12</v>
      </c>
      <c r="V12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17:39:23-0600',mode:absolute,to:'2016-07-16 20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6" s="74" t="str">
        <f t="shared" si="35"/>
        <v>N</v>
      </c>
      <c r="X126" s="92">
        <f t="shared" si="36"/>
        <v>1</v>
      </c>
      <c r="Y126" s="89">
        <f t="shared" si="37"/>
        <v>23.298500000000001</v>
      </c>
      <c r="Z126" s="89">
        <f t="shared" si="38"/>
        <v>1.4500000000000001E-2</v>
      </c>
      <c r="AA126" s="89">
        <f t="shared" si="39"/>
        <v>23.283999999999999</v>
      </c>
      <c r="AB126" s="86">
        <f>VLOOKUP(A126,Enforcements!$C$7:$J$23,8,0)</f>
        <v>183829</v>
      </c>
      <c r="AC126" s="82" t="str">
        <f>VLOOKUP(A126,Enforcements!$C$7:$E$23,3,0)</f>
        <v>PERMANENT SPEED RESTRICTION</v>
      </c>
      <c r="AD126" s="83" t="str">
        <f t="shared" si="40"/>
        <v>0214-16</v>
      </c>
      <c r="AE126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126" s="75" t="str">
        <f t="shared" si="42"/>
        <v>"C:\Program Files (x86)\AstroGrep\AstroGrep.exe" /spath="C:\Users\stu\Documents\Analysis\2016-02-23 RTDC Observations" /stypes="*4039*20160717*" /stext=" 01:.+((prompt.+disp)|(slice.+state.+chan)|(ment ac)|(system.+state.+chan)|(\|lc)|(penalty)|(\[timeout))" /e /r /s</v>
      </c>
      <c r="AG126" s="1" t="str">
        <f t="shared" si="43"/>
        <v>EC</v>
      </c>
    </row>
    <row r="127" spans="1:33" x14ac:dyDescent="0.25">
      <c r="A127" s="49" t="s">
        <v>496</v>
      </c>
      <c r="B127" s="7">
        <v>4037</v>
      </c>
      <c r="C127" s="26" t="s">
        <v>59</v>
      </c>
      <c r="D127" s="26" t="s">
        <v>222</v>
      </c>
      <c r="E127" s="16">
        <v>42567.787523148145</v>
      </c>
      <c r="F127" s="16">
        <v>42567.788576388892</v>
      </c>
      <c r="G127" s="7">
        <v>1</v>
      </c>
      <c r="H127" s="16" t="s">
        <v>581</v>
      </c>
      <c r="I127" s="16">
        <v>42567.818553240744</v>
      </c>
      <c r="J127" s="7">
        <v>1</v>
      </c>
      <c r="K127" s="26" t="str">
        <f t="shared" si="30"/>
        <v>4037/4038</v>
      </c>
      <c r="L127" s="26" t="str">
        <f>VLOOKUP(A127,'Trips&amp;Operators'!$C$1:$E$10000,3,FALSE)</f>
        <v>KILLION</v>
      </c>
      <c r="M127" s="6">
        <f t="shared" si="31"/>
        <v>2.99768518525525E-2</v>
      </c>
      <c r="N127" s="7">
        <f t="shared" si="29"/>
        <v>43.166666667675599</v>
      </c>
      <c r="O127" s="7"/>
      <c r="P127" s="7"/>
      <c r="Q127" s="27"/>
      <c r="R127" s="27"/>
      <c r="S127" s="45">
        <f t="shared" si="32"/>
        <v>1</v>
      </c>
      <c r="T127" s="69" t="str">
        <f t="shared" si="33"/>
        <v>Southbound</v>
      </c>
      <c r="U127" s="96">
        <f>COUNTIFS(Variables!$M$2:$M$19,IF(T127="NorthBound","&gt;=","&lt;=")&amp;Y127,Variables!$M$2:$M$19,IF(T127="NorthBound","&lt;=","&gt;=")&amp;Z127)</f>
        <v>12</v>
      </c>
      <c r="V12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17:54:02-0600',mode:absolute,to:'2016-07-16 20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7" s="74" t="str">
        <f t="shared" si="35"/>
        <v>N</v>
      </c>
      <c r="X127" s="92">
        <f t="shared" si="36"/>
        <v>2</v>
      </c>
      <c r="Y127" s="89">
        <f t="shared" si="37"/>
        <v>23.296900000000001</v>
      </c>
      <c r="Z127" s="89">
        <f t="shared" si="38"/>
        <v>8.77E-2</v>
      </c>
      <c r="AA127" s="89">
        <f t="shared" si="39"/>
        <v>23.209199999999999</v>
      </c>
      <c r="AB127" s="86">
        <f>VLOOKUP(A127,Enforcements!$C$7:$J$23,8,0)</f>
        <v>228668</v>
      </c>
      <c r="AC127" s="82" t="str">
        <f>VLOOKUP(A127,Enforcements!$C$7:$E$23,3,0)</f>
        <v>PERMANENT SPEED RESTRICTION</v>
      </c>
      <c r="AD127" s="83" t="str">
        <f t="shared" si="40"/>
        <v>0216-16</v>
      </c>
      <c r="AE127" s="75" t="str">
        <f t="shared" si="41"/>
        <v>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 &amp; 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</v>
      </c>
      <c r="AF127" s="75" t="str">
        <f t="shared" si="42"/>
        <v>"C:\Program Files (x86)\AstroGrep\AstroGrep.exe" /spath="C:\Users\stu\Documents\Analysis\2016-02-23 RTDC Observations" /stypes="*4037*20160717*" /stext=" 01:.+((prompt.+disp)|(slice.+state.+chan)|(ment ac)|(system.+state.+chan)|(\|lc)|(penalty)|(\[timeout))" /e /r /s</v>
      </c>
      <c r="AG127" s="1" t="str">
        <f t="shared" si="43"/>
        <v>EC</v>
      </c>
    </row>
    <row r="128" spans="1:33" x14ac:dyDescent="0.25">
      <c r="A128" s="49" t="s">
        <v>383</v>
      </c>
      <c r="B128" s="7">
        <v>4018</v>
      </c>
      <c r="C128" s="26" t="s">
        <v>59</v>
      </c>
      <c r="D128" s="26" t="s">
        <v>582</v>
      </c>
      <c r="E128" s="16">
        <v>42567.761053240742</v>
      </c>
      <c r="F128" s="16">
        <v>42567.762326388889</v>
      </c>
      <c r="G128" s="7">
        <v>1</v>
      </c>
      <c r="H128" s="16" t="s">
        <v>199</v>
      </c>
      <c r="I128" s="16">
        <v>42567.795729166668</v>
      </c>
      <c r="J128" s="7">
        <v>4</v>
      </c>
      <c r="K128" s="26" t="str">
        <f t="shared" si="30"/>
        <v>4017/4018</v>
      </c>
      <c r="L128" s="26" t="str">
        <f>VLOOKUP(A128,'Trips&amp;Operators'!$C$1:$E$10000,3,FALSE)</f>
        <v>CHANDLER</v>
      </c>
      <c r="M128" s="6">
        <f t="shared" si="31"/>
        <v>3.3402777778974269E-2</v>
      </c>
      <c r="N128" s="7">
        <f t="shared" si="29"/>
        <v>48.100000001722947</v>
      </c>
      <c r="O128" s="7"/>
      <c r="P128" s="7"/>
      <c r="Q128" s="27"/>
      <c r="R128" s="27"/>
      <c r="S128" s="45">
        <f t="shared" si="32"/>
        <v>1</v>
      </c>
      <c r="T128" s="69" t="str">
        <f t="shared" si="33"/>
        <v>NorthBound</v>
      </c>
      <c r="U128" s="96">
        <f>COUNTIFS(Variables!$M$2:$M$19,IF(T128="NorthBound","&gt;=","&lt;=")&amp;Y128,Variables!$M$2:$M$19,IF(T128="NorthBound","&lt;=","&gt;=")&amp;Z128)</f>
        <v>12</v>
      </c>
      <c r="V12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8" s="74" t="str">
        <f t="shared" si="35"/>
        <v>N</v>
      </c>
      <c r="X128" s="92">
        <f t="shared" si="36"/>
        <v>1</v>
      </c>
      <c r="Y128" s="89">
        <f t="shared" si="37"/>
        <v>0.11650000000000001</v>
      </c>
      <c r="Z128" s="89">
        <f t="shared" si="38"/>
        <v>23.331199999999999</v>
      </c>
      <c r="AA128" s="89">
        <f t="shared" si="39"/>
        <v>23.214700000000001</v>
      </c>
      <c r="AB128" s="86">
        <f>VLOOKUP(A128,Enforcements!$C$7:$J$23,8,0)</f>
        <v>2096</v>
      </c>
      <c r="AC128" s="82" t="str">
        <f>VLOOKUP(A128,Enforcements!$C$7:$E$23,3,0)</f>
        <v>PERMANENT SPEED RESTRICTION</v>
      </c>
      <c r="AD128" s="83" t="str">
        <f t="shared" si="40"/>
        <v>0217-16</v>
      </c>
      <c r="AE128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28" s="75" t="str">
        <f t="shared" si="42"/>
        <v>"C:\Program Files (x86)\AstroGrep\AstroGrep.exe" /spath="C:\Users\stu\Documents\Analysis\2016-02-23 RTDC Observations" /stypes="*4018*20160717*" /stext=" 01:.+((prompt.+disp)|(slice.+state.+chan)|(ment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49" t="s">
        <v>461</v>
      </c>
      <c r="B129" s="7">
        <v>4030</v>
      </c>
      <c r="C129" s="26" t="s">
        <v>59</v>
      </c>
      <c r="D129" s="26" t="s">
        <v>250</v>
      </c>
      <c r="E129" s="16">
        <v>42567.785543981481</v>
      </c>
      <c r="F129" s="16">
        <v>42567.795590277776</v>
      </c>
      <c r="G129" s="7">
        <v>14</v>
      </c>
      <c r="H129" s="16" t="s">
        <v>190</v>
      </c>
      <c r="I129" s="16">
        <v>42567.825324074074</v>
      </c>
      <c r="J129" s="7">
        <v>1</v>
      </c>
      <c r="K129" s="26" t="str">
        <f t="shared" si="30"/>
        <v>4029/4030</v>
      </c>
      <c r="L129" s="26" t="str">
        <f>VLOOKUP(A129,'Trips&amp;Operators'!$C$1:$E$10000,3,FALSE)</f>
        <v>NEWELL</v>
      </c>
      <c r="M129" s="6">
        <f t="shared" si="31"/>
        <v>2.973379629838746E-2</v>
      </c>
      <c r="N129" s="7">
        <f t="shared" si="29"/>
        <v>42.816666669677943</v>
      </c>
      <c r="O129" s="7"/>
      <c r="P129" s="7"/>
      <c r="Q129" s="27"/>
      <c r="R129" s="27"/>
      <c r="S129" s="45">
        <f t="shared" si="32"/>
        <v>1</v>
      </c>
      <c r="T129" s="69" t="str">
        <f t="shared" si="33"/>
        <v>Southbound</v>
      </c>
      <c r="U129" s="96">
        <f>COUNTIFS(Variables!$M$2:$M$19,IF(T129="NorthBound","&gt;=","&lt;=")&amp;Y129,Variables!$M$2:$M$19,IF(T129="NorthBound","&lt;=","&gt;=")&amp;Z129)</f>
        <v>12</v>
      </c>
      <c r="V12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17:51:11-0600',mode:absolute,to:'2016-07-16 20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29" s="74" t="str">
        <f t="shared" si="35"/>
        <v>N</v>
      </c>
      <c r="X129" s="92">
        <f t="shared" si="36"/>
        <v>1</v>
      </c>
      <c r="Y129" s="89">
        <f t="shared" si="37"/>
        <v>23.299099999999999</v>
      </c>
      <c r="Z129" s="89">
        <f t="shared" si="38"/>
        <v>1.47E-2</v>
      </c>
      <c r="AA129" s="89">
        <f t="shared" si="39"/>
        <v>23.284399999999998</v>
      </c>
      <c r="AB129" s="86" t="e">
        <f>VLOOKUP(A129,Enforcements!$C$7:$J$23,8,0)</f>
        <v>#N/A</v>
      </c>
      <c r="AC129" s="82" t="e">
        <f>VLOOKUP(A129,Enforcements!$C$7:$E$23,3,0)</f>
        <v>#N/A</v>
      </c>
      <c r="AD129" s="83" t="str">
        <f t="shared" si="40"/>
        <v>0218-16</v>
      </c>
      <c r="AE129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29" s="75" t="str">
        <f t="shared" si="42"/>
        <v>"C:\Program Files (x86)\AstroGrep\AstroGrep.exe" /spath="C:\Users\stu\Documents\Analysis\2016-02-23 RTDC Observations" /stypes="*4030*20160717*" /stext=" 01:.+((prompt.+disp)|(slice.+state.+chan)|(ment ac)|(system.+state.+chan)|(\|lc)|(penalty)|(\[timeout))" /e /r /s</v>
      </c>
      <c r="AG129" s="1" t="str">
        <f t="shared" si="43"/>
        <v>EC</v>
      </c>
    </row>
    <row r="130" spans="1:33" x14ac:dyDescent="0.25">
      <c r="A130" s="49" t="s">
        <v>373</v>
      </c>
      <c r="B130" s="7">
        <v>4025</v>
      </c>
      <c r="C130" s="26" t="s">
        <v>59</v>
      </c>
      <c r="D130" s="26" t="s">
        <v>268</v>
      </c>
      <c r="E130" s="16">
        <v>42567.765856481485</v>
      </c>
      <c r="F130" s="16">
        <v>42567.767939814818</v>
      </c>
      <c r="G130" s="7">
        <v>2</v>
      </c>
      <c r="H130" s="16" t="s">
        <v>583</v>
      </c>
      <c r="I130" s="16">
        <v>42567.798564814817</v>
      </c>
      <c r="J130" s="7">
        <v>0</v>
      </c>
      <c r="K130" s="26" t="str">
        <f t="shared" si="30"/>
        <v>4025/4026</v>
      </c>
      <c r="L130" s="26" t="str">
        <f>VLOOKUP(A130,'Trips&amp;Operators'!$C$1:$E$10000,3,FALSE)</f>
        <v>STURGEON</v>
      </c>
      <c r="M130" s="6">
        <f t="shared" si="31"/>
        <v>3.0624999999417923E-2</v>
      </c>
      <c r="N130" s="7">
        <f t="shared" si="29"/>
        <v>44.09999999916181</v>
      </c>
      <c r="O130" s="7"/>
      <c r="P130" s="7"/>
      <c r="Q130" s="27"/>
      <c r="R130" s="27"/>
      <c r="S130" s="45">
        <f t="shared" si="32"/>
        <v>1</v>
      </c>
      <c r="T130" s="69" t="str">
        <f t="shared" si="33"/>
        <v>NorthBound</v>
      </c>
      <c r="U130" s="96">
        <f>COUNTIFS(Variables!$M$2:$M$19,IF(T130="NorthBound","&gt;=","&lt;=")&amp;Y130,Variables!$M$2:$M$19,IF(T130="NorthBound","&lt;=","&gt;=")&amp;Z130)</f>
        <v>12</v>
      </c>
      <c r="V13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17:22:50-0600',mode:absolute,to:'2016-07-16 20:09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74" t="str">
        <f t="shared" si="35"/>
        <v>N</v>
      </c>
      <c r="X130" s="92">
        <f t="shared" si="36"/>
        <v>1</v>
      </c>
      <c r="Y130" s="89">
        <f t="shared" si="37"/>
        <v>4.2700000000000002E-2</v>
      </c>
      <c r="Z130" s="89">
        <f t="shared" si="38"/>
        <v>23.287700000000001</v>
      </c>
      <c r="AA130" s="89">
        <f t="shared" si="39"/>
        <v>23.245000000000001</v>
      </c>
      <c r="AB130" s="86" t="e">
        <f>VLOOKUP(A130,Enforcements!$C$7:$J$23,8,0)</f>
        <v>#N/A</v>
      </c>
      <c r="AC130" s="82" t="e">
        <f>VLOOKUP(A130,Enforcements!$C$7:$E$23,3,0)</f>
        <v>#N/A</v>
      </c>
      <c r="AD130" s="83" t="str">
        <f t="shared" si="40"/>
        <v>0219-16</v>
      </c>
      <c r="AE130" s="75" t="str">
        <f t="shared" si="41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30" s="75" t="str">
        <f t="shared" si="42"/>
        <v>"C:\Program Files (x86)\AstroGrep\AstroGrep.exe" /spath="C:\Users\stu\Documents\Analysis\2016-02-23 RTDC Observations" /stypes="*4025*20160717*" /stext=" 01:.+((prompt.+disp)|(slice.+state.+chan)|(ment ac)|(system.+state.+chan)|(\|lc)|(penalty)|(\[timeout))" /e /r /s</v>
      </c>
      <c r="AG130" s="1" t="str">
        <f t="shared" si="43"/>
        <v>EC</v>
      </c>
    </row>
    <row r="131" spans="1:33" x14ac:dyDescent="0.25">
      <c r="A131" s="49" t="s">
        <v>439</v>
      </c>
      <c r="B131" s="7">
        <v>4026</v>
      </c>
      <c r="C131" s="26" t="s">
        <v>59</v>
      </c>
      <c r="D131" s="26" t="s">
        <v>584</v>
      </c>
      <c r="E131" s="16">
        <v>42567.809803240743</v>
      </c>
      <c r="F131" s="16">
        <v>42567.811018518521</v>
      </c>
      <c r="G131" s="7">
        <v>1</v>
      </c>
      <c r="H131" s="16" t="s">
        <v>136</v>
      </c>
      <c r="I131" s="16">
        <v>42567.836678240739</v>
      </c>
      <c r="J131" s="7">
        <v>1</v>
      </c>
      <c r="K131" s="26" t="str">
        <f t="shared" si="30"/>
        <v>4025/4026</v>
      </c>
      <c r="L131" s="26" t="str">
        <f>VLOOKUP(A131,'Trips&amp;Operators'!$C$1:$E$10000,3,FALSE)</f>
        <v>CHANDLER</v>
      </c>
      <c r="M131" s="6">
        <f t="shared" si="31"/>
        <v>2.565972221782431E-2</v>
      </c>
      <c r="N131" s="7">
        <f t="shared" si="29"/>
        <v>36.949999993667006</v>
      </c>
      <c r="O131" s="7"/>
      <c r="P131" s="7"/>
      <c r="Q131" s="27"/>
      <c r="R131" s="27"/>
      <c r="S131" s="45">
        <f t="shared" si="32"/>
        <v>1</v>
      </c>
      <c r="T131" s="69" t="str">
        <f t="shared" si="33"/>
        <v>Southbound</v>
      </c>
      <c r="U131" s="96">
        <f>COUNTIFS(Variables!$M$2:$M$19,IF(T131="NorthBound","&gt;=","&lt;=")&amp;Y131,Variables!$M$2:$M$19,IF(T131="NorthBound","&lt;=","&gt;=")&amp;Z131)</f>
        <v>12</v>
      </c>
      <c r="V13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18:26:07-0600',mode:absolute,to:'2016-07-16 21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74" t="str">
        <f t="shared" si="35"/>
        <v>N</v>
      </c>
      <c r="X131" s="92">
        <f t="shared" si="36"/>
        <v>1</v>
      </c>
      <c r="Y131" s="89">
        <f t="shared" si="37"/>
        <v>23.220700000000001</v>
      </c>
      <c r="Z131" s="89">
        <f t="shared" si="38"/>
        <v>1.61E-2</v>
      </c>
      <c r="AA131" s="89">
        <f t="shared" si="39"/>
        <v>23.204599999999999</v>
      </c>
      <c r="AB131" s="86" t="e">
        <f>VLOOKUP(A131,Enforcements!$C$7:$J$23,8,0)</f>
        <v>#N/A</v>
      </c>
      <c r="AC131" s="82" t="e">
        <f>VLOOKUP(A131,Enforcements!$C$7:$E$23,3,0)</f>
        <v>#N/A</v>
      </c>
      <c r="AD131" s="83" t="str">
        <f t="shared" si="40"/>
        <v>0220-16</v>
      </c>
      <c r="AE131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31" s="75" t="str">
        <f t="shared" si="42"/>
        <v>"C:\Program Files (x86)\AstroGrep\AstroGrep.exe" /spath="C:\Users\stu\Documents\Analysis\2016-02-23 RTDC Observations" /stypes="*4026*20160717*" /stext=" 02:.+((prompt.+disp)|(slice.+state.+chan)|(ment ac)|(system.+state.+chan)|(\|lc)|(penalty)|(\[timeout))" /e /r /s</v>
      </c>
      <c r="AG131" s="1" t="str">
        <f t="shared" si="43"/>
        <v>EC</v>
      </c>
    </row>
    <row r="132" spans="1:33" s="25" customFormat="1" x14ac:dyDescent="0.25">
      <c r="A132" s="49" t="s">
        <v>495</v>
      </c>
      <c r="B132" s="7">
        <v>4017</v>
      </c>
      <c r="C132" s="26" t="s">
        <v>59</v>
      </c>
      <c r="D132" s="26" t="s">
        <v>188</v>
      </c>
      <c r="E132" s="16">
        <v>42567.824780092589</v>
      </c>
      <c r="F132" s="16">
        <v>42567.825590277775</v>
      </c>
      <c r="G132" s="7">
        <v>1</v>
      </c>
      <c r="H132" s="16" t="s">
        <v>179</v>
      </c>
      <c r="I132" s="16">
        <v>42567.856909722221</v>
      </c>
      <c r="J132" s="7">
        <v>2</v>
      </c>
      <c r="K132" s="26" t="str">
        <f t="shared" si="30"/>
        <v>4017/4018</v>
      </c>
      <c r="L132" s="26" t="str">
        <f>VLOOKUP(A132,'Trips&amp;Operators'!$C$1:$E$10000,3,FALSE)</f>
        <v>LEVIN</v>
      </c>
      <c r="M132" s="6">
        <f t="shared" si="31"/>
        <v>3.1319444446125999E-2</v>
      </c>
      <c r="N132" s="7">
        <f t="shared" si="29"/>
        <v>45.100000002421439</v>
      </c>
      <c r="O132" s="7"/>
      <c r="P132" s="7"/>
      <c r="Q132" s="27"/>
      <c r="R132" s="27"/>
      <c r="S132" s="45">
        <f t="shared" si="32"/>
        <v>1</v>
      </c>
      <c r="T132" s="69" t="str">
        <f t="shared" si="33"/>
        <v>Southbound</v>
      </c>
      <c r="U132" s="96">
        <f>COUNTIFS(Variables!$M$2:$M$19,IF(T132="NorthBound","&gt;=","&lt;=")&amp;Y132,Variables!$M$2:$M$19,IF(T132="NorthBound","&lt;=","&gt;=")&amp;Z132)</f>
        <v>12</v>
      </c>
      <c r="V13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18:47:41-0600',mode:absolute,to:'2016-07-16 21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2" s="74" t="str">
        <f t="shared" si="35"/>
        <v>N</v>
      </c>
      <c r="X132" s="92">
        <f t="shared" si="36"/>
        <v>2</v>
      </c>
      <c r="Y132" s="89">
        <f t="shared" si="37"/>
        <v>23.297999999999998</v>
      </c>
      <c r="Z132" s="89">
        <f t="shared" si="38"/>
        <v>1.54E-2</v>
      </c>
      <c r="AA132" s="89">
        <f t="shared" si="39"/>
        <v>23.282599999999999</v>
      </c>
      <c r="AB132" s="86">
        <f>VLOOKUP(A132,Enforcements!$C$7:$J$23,8,0)</f>
        <v>15167</v>
      </c>
      <c r="AC132" s="82" t="str">
        <f>VLOOKUP(A132,Enforcements!$C$7:$E$23,3,0)</f>
        <v>PERMANENT SPEED RESTRICTION</v>
      </c>
      <c r="AD132" s="83" t="str">
        <f t="shared" si="40"/>
        <v>0222-16</v>
      </c>
      <c r="AE132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32" s="75" t="str">
        <f t="shared" si="42"/>
        <v>"C:\Program Files (x86)\AstroGrep\AstroGrep.exe" /spath="C:\Users\stu\Documents\Analysis\2016-02-23 RTDC Observations" /stypes="*4017*20160717*" /stext=" 02:.+((prompt.+disp)|(slice.+state.+chan)|(ment ac)|(system.+state.+chan)|(\|lc)|(penalty)|(\[timeout))" /e /r /s</v>
      </c>
      <c r="AG132" s="1" t="str">
        <f t="shared" si="43"/>
        <v>EC</v>
      </c>
    </row>
    <row r="133" spans="1:33" x14ac:dyDescent="0.25">
      <c r="A133" s="49" t="s">
        <v>479</v>
      </c>
      <c r="B133" s="7">
        <v>4020</v>
      </c>
      <c r="C133" s="26" t="s">
        <v>59</v>
      </c>
      <c r="D133" s="26" t="s">
        <v>585</v>
      </c>
      <c r="E133" s="16">
        <v>42567.79011574074</v>
      </c>
      <c r="F133" s="16">
        <v>42567.79105324074</v>
      </c>
      <c r="G133" s="7">
        <v>1</v>
      </c>
      <c r="H133" s="16" t="s">
        <v>135</v>
      </c>
      <c r="I133" s="16">
        <v>42567.816793981481</v>
      </c>
      <c r="J133" s="7">
        <v>1</v>
      </c>
      <c r="K133" s="26" t="str">
        <f t="shared" si="30"/>
        <v>4019/4020</v>
      </c>
      <c r="L133" s="26" t="str">
        <f>VLOOKUP(A133,'Trips&amp;Operators'!$C$1:$E$10000,3,FALSE)</f>
        <v>LEVIN</v>
      </c>
      <c r="M133" s="6">
        <f t="shared" si="31"/>
        <v>2.5740740740729962E-2</v>
      </c>
      <c r="N133" s="7">
        <f t="shared" si="29"/>
        <v>37.066666666651145</v>
      </c>
      <c r="O133" s="7"/>
      <c r="P133" s="7"/>
      <c r="Q133" s="27"/>
      <c r="R133" s="27"/>
      <c r="S133" s="45">
        <f t="shared" si="32"/>
        <v>1</v>
      </c>
      <c r="T133" s="69" t="str">
        <f t="shared" si="33"/>
        <v>NorthBound</v>
      </c>
      <c r="U133" s="96">
        <f>COUNTIFS(Variables!$M$2:$M$19,IF(T133="NorthBound","&gt;=","&lt;=")&amp;Y133,Variables!$M$2:$M$19,IF(T133="NorthBound","&lt;=","&gt;=")&amp;Z133)</f>
        <v>12</v>
      </c>
      <c r="V13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17:57:46-0600',mode:absolute,to:'2016-07-16 20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3" s="74" t="str">
        <f t="shared" si="35"/>
        <v>N</v>
      </c>
      <c r="X133" s="92">
        <f t="shared" si="36"/>
        <v>1</v>
      </c>
      <c r="Y133" s="89">
        <f t="shared" si="37"/>
        <v>5.0799999999999998E-2</v>
      </c>
      <c r="Z133" s="89">
        <f t="shared" si="38"/>
        <v>23.330200000000001</v>
      </c>
      <c r="AA133" s="89">
        <f t="shared" si="39"/>
        <v>23.279400000000003</v>
      </c>
      <c r="AB133" s="86" t="e">
        <f>VLOOKUP(A133,Enforcements!$C$7:$J$23,8,0)</f>
        <v>#N/A</v>
      </c>
      <c r="AC133" s="82" t="e">
        <f>VLOOKUP(A133,Enforcements!$C$7:$E$23,3,0)</f>
        <v>#N/A</v>
      </c>
      <c r="AD133" s="83" t="str">
        <f t="shared" si="40"/>
        <v>0223-16</v>
      </c>
      <c r="AE133" s="75" t="str">
        <f t="shared" si="41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133" s="75" t="str">
        <f t="shared" si="42"/>
        <v>"C:\Program Files (x86)\AstroGrep\AstroGrep.exe" /spath="C:\Users\stu\Documents\Analysis\2016-02-23 RTDC Observations" /stypes="*4020*20160717*" /stext=" 01:.+((prompt.+disp)|(slice.+state.+chan)|(ment ac)|(system.+state.+chan)|(\|lc)|(penalty)|(\[timeout))" /e /r /s</v>
      </c>
      <c r="AG133" s="1" t="str">
        <f t="shared" si="43"/>
        <v>EC</v>
      </c>
    </row>
    <row r="134" spans="1:33" s="25" customFormat="1" x14ac:dyDescent="0.25">
      <c r="A134" s="49" t="s">
        <v>376</v>
      </c>
      <c r="B134" s="7">
        <v>4039</v>
      </c>
      <c r="C134" s="26" t="s">
        <v>59</v>
      </c>
      <c r="D134" s="26" t="s">
        <v>195</v>
      </c>
      <c r="E134" s="16">
        <v>42567.848182870373</v>
      </c>
      <c r="F134" s="16">
        <v>42567.849062499998</v>
      </c>
      <c r="G134" s="7">
        <v>1</v>
      </c>
      <c r="H134" s="16" t="s">
        <v>185</v>
      </c>
      <c r="I134" s="16">
        <v>42567.879317129627</v>
      </c>
      <c r="J134" s="7">
        <v>0</v>
      </c>
      <c r="K134" s="26" t="str">
        <f t="shared" si="30"/>
        <v>4039/4040</v>
      </c>
      <c r="L134" s="26" t="str">
        <f>VLOOKUP(A134,'Trips&amp;Operators'!$C$1:$E$10000,3,FALSE)</f>
        <v>BRUDER</v>
      </c>
      <c r="M134" s="6">
        <f t="shared" si="31"/>
        <v>3.0254629629780538E-2</v>
      </c>
      <c r="N134" s="7">
        <f t="shared" si="29"/>
        <v>43.566666666883975</v>
      </c>
      <c r="O134" s="7"/>
      <c r="P134" s="7"/>
      <c r="Q134" s="27"/>
      <c r="R134" s="27"/>
      <c r="S134" s="45">
        <f t="shared" si="32"/>
        <v>1</v>
      </c>
      <c r="T134" s="69" t="str">
        <f t="shared" si="33"/>
        <v>Southbound</v>
      </c>
      <c r="U134" s="96">
        <f>COUNTIFS(Variables!$M$2:$M$19,IF(T134="NorthBound","&gt;=","&lt;=")&amp;Y134,Variables!$M$2:$M$19,IF(T134="NorthBound","&lt;=","&gt;=")&amp;Z134)</f>
        <v>12</v>
      </c>
      <c r="V13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19:21:23-0600',mode:absolute,to:'2016-07-16 22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4" s="74" t="str">
        <f t="shared" si="35"/>
        <v>N</v>
      </c>
      <c r="X134" s="92">
        <f t="shared" si="36"/>
        <v>1</v>
      </c>
      <c r="Y134" s="89">
        <f t="shared" si="37"/>
        <v>23.297499999999999</v>
      </c>
      <c r="Z134" s="89">
        <f t="shared" si="38"/>
        <v>1.3899999999999999E-2</v>
      </c>
      <c r="AA134" s="89">
        <f t="shared" si="39"/>
        <v>23.2836</v>
      </c>
      <c r="AB134" s="86" t="e">
        <f>VLOOKUP(A134,Enforcements!$C$7:$J$23,8,0)</f>
        <v>#N/A</v>
      </c>
      <c r="AC134" s="82" t="e">
        <f>VLOOKUP(A134,Enforcements!$C$7:$E$23,3,0)</f>
        <v>#N/A</v>
      </c>
      <c r="AD134" s="83" t="str">
        <f t="shared" si="40"/>
        <v>0224-16</v>
      </c>
      <c r="AE134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134" s="75" t="str">
        <f t="shared" si="42"/>
        <v>"C:\Program Files (x86)\AstroGrep\AstroGrep.exe" /spath="C:\Users\stu\Documents\Analysis\2016-02-23 RTDC Observations" /stypes="*4039*20160717*" /stext=" 03:.+((prompt.+disp)|(slice.+state.+chan)|(ment ac)|(system.+state.+chan)|(\|lc)|(penalty)|(\[timeout))" /e /r /s</v>
      </c>
      <c r="AG134" s="1" t="str">
        <f t="shared" si="43"/>
        <v>EC</v>
      </c>
    </row>
    <row r="135" spans="1:33" s="25" customFormat="1" x14ac:dyDescent="0.25">
      <c r="A135" s="49" t="s">
        <v>403</v>
      </c>
      <c r="B135" s="7">
        <v>4040</v>
      </c>
      <c r="C135" s="26" t="s">
        <v>59</v>
      </c>
      <c r="D135" s="26" t="s">
        <v>176</v>
      </c>
      <c r="E135" s="16">
        <v>42567.808831018519</v>
      </c>
      <c r="F135" s="16">
        <v>42567.810578703706</v>
      </c>
      <c r="G135" s="7">
        <v>2</v>
      </c>
      <c r="H135" s="16" t="s">
        <v>248</v>
      </c>
      <c r="I135" s="16">
        <v>42567.837280092594</v>
      </c>
      <c r="J135" s="7">
        <v>1</v>
      </c>
      <c r="K135" s="26" t="str">
        <f t="shared" si="30"/>
        <v>4039/4040</v>
      </c>
      <c r="L135" s="26" t="str">
        <f>VLOOKUP(A135,'Trips&amp;Operators'!$C$1:$E$10000,3,FALSE)</f>
        <v>BRUDER</v>
      </c>
      <c r="M135" s="6">
        <f t="shared" si="31"/>
        <v>2.6701388887886424E-2</v>
      </c>
      <c r="N135" s="7">
        <f t="shared" si="29"/>
        <v>38.44999999855645</v>
      </c>
      <c r="O135" s="7"/>
      <c r="P135" s="7"/>
      <c r="Q135" s="27"/>
      <c r="R135" s="27"/>
      <c r="S135" s="45">
        <f t="shared" si="32"/>
        <v>1</v>
      </c>
      <c r="T135" s="69" t="str">
        <f t="shared" si="33"/>
        <v>NorthBound</v>
      </c>
      <c r="U135" s="96">
        <f>COUNTIFS(Variables!$M$2:$M$19,IF(T135="NorthBound","&gt;=","&lt;=")&amp;Y135,Variables!$M$2:$M$19,IF(T135="NorthBound","&lt;=","&gt;=")&amp;Z135)</f>
        <v>12</v>
      </c>
      <c r="V135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18:24:43-0600',mode:absolute,to:'2016-07-16 21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5" s="74" t="str">
        <f t="shared" si="35"/>
        <v>N</v>
      </c>
      <c r="X135" s="92">
        <f t="shared" si="36"/>
        <v>1</v>
      </c>
      <c r="Y135" s="89">
        <f t="shared" si="37"/>
        <v>4.5499999999999999E-2</v>
      </c>
      <c r="Z135" s="89">
        <f t="shared" si="38"/>
        <v>23.3293</v>
      </c>
      <c r="AA135" s="89">
        <f t="shared" si="39"/>
        <v>23.283799999999999</v>
      </c>
      <c r="AB135" s="86" t="e">
        <f>VLOOKUP(A135,Enforcements!$C$7:$J$23,8,0)</f>
        <v>#N/A</v>
      </c>
      <c r="AC135" s="82" t="e">
        <f>VLOOKUP(A135,Enforcements!$C$7:$E$23,3,0)</f>
        <v>#N/A</v>
      </c>
      <c r="AD135" s="83" t="str">
        <f t="shared" si="40"/>
        <v>0225-16</v>
      </c>
      <c r="AE135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35" s="75" t="str">
        <f t="shared" si="42"/>
        <v>"C:\Program Files (x86)\AstroGrep\AstroGrep.exe" /spath="C:\Users\stu\Documents\Analysis\2016-02-23 RTDC Observations" /stypes="*4040*20160717*" /stext=" 02:.+((prompt.+disp)|(slice.+state.+chan)|(ment ac)|(system.+state.+chan)|(\|lc)|(penalty)|(\[timeout))" /e /r /s</v>
      </c>
      <c r="AG135" s="1" t="str">
        <f t="shared" si="43"/>
        <v>EC</v>
      </c>
    </row>
    <row r="136" spans="1:33" s="25" customFormat="1" x14ac:dyDescent="0.25">
      <c r="A136" s="49" t="s">
        <v>493</v>
      </c>
      <c r="B136" s="7">
        <v>4030</v>
      </c>
      <c r="C136" s="26" t="s">
        <v>59</v>
      </c>
      <c r="D136" s="26" t="s">
        <v>205</v>
      </c>
      <c r="E136" s="16">
        <v>42567.867569444446</v>
      </c>
      <c r="F136" s="16">
        <v>42567.869004629632</v>
      </c>
      <c r="G136" s="7">
        <v>2</v>
      </c>
      <c r="H136" s="16" t="s">
        <v>206</v>
      </c>
      <c r="I136" s="16">
        <v>42567.899282407408</v>
      </c>
      <c r="J136" s="7">
        <v>1</v>
      </c>
      <c r="K136" s="26" t="str">
        <f t="shared" si="30"/>
        <v>4029/4030</v>
      </c>
      <c r="L136" s="26" t="str">
        <f>VLOOKUP(A136,'Trips&amp;Operators'!$C$1:$E$10000,3,FALSE)</f>
        <v>KILLION</v>
      </c>
      <c r="M136" s="6">
        <f t="shared" si="31"/>
        <v>3.0277777776063886E-2</v>
      </c>
      <c r="N136" s="7">
        <f t="shared" si="29"/>
        <v>43.599999997531995</v>
      </c>
      <c r="O136" s="7"/>
      <c r="P136" s="7"/>
      <c r="Q136" s="27"/>
      <c r="R136" s="27"/>
      <c r="S136" s="45">
        <f t="shared" si="32"/>
        <v>1</v>
      </c>
      <c r="T136" s="69" t="str">
        <f t="shared" si="33"/>
        <v>Southbound</v>
      </c>
      <c r="U136" s="96">
        <f>COUNTIFS(Variables!$M$2:$M$19,IF(T136="NorthBound","&gt;=","&lt;=")&amp;Y136,Variables!$M$2:$M$19,IF(T136="NorthBound","&lt;=","&gt;=")&amp;Z136)</f>
        <v>12</v>
      </c>
      <c r="V136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19:49:18-0600',mode:absolute,to:'2016-07-16 22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6" s="74" t="str">
        <f t="shared" si="35"/>
        <v>N</v>
      </c>
      <c r="X136" s="92">
        <f t="shared" si="36"/>
        <v>1</v>
      </c>
      <c r="Y136" s="89">
        <f t="shared" si="37"/>
        <v>23.298400000000001</v>
      </c>
      <c r="Z136" s="89">
        <f t="shared" si="38"/>
        <v>1.6299999999999999E-2</v>
      </c>
      <c r="AA136" s="89">
        <f t="shared" si="39"/>
        <v>23.2821</v>
      </c>
      <c r="AB136" s="86" t="e">
        <f>VLOOKUP(A136,Enforcements!$C$7:$J$23,8,0)</f>
        <v>#N/A</v>
      </c>
      <c r="AC136" s="82" t="e">
        <f>VLOOKUP(A136,Enforcements!$C$7:$E$23,3,0)</f>
        <v>#N/A</v>
      </c>
      <c r="AD136" s="83" t="str">
        <f t="shared" si="40"/>
        <v>0226-16</v>
      </c>
      <c r="AE136" s="75" t="str">
        <f t="shared" si="41"/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AF136" s="75" t="str">
        <f t="shared" si="42"/>
        <v>"C:\Program Files (x86)\AstroGrep\AstroGrep.exe" /spath="C:\Users\stu\Documents\Analysis\2016-02-23 RTDC Observations" /stypes="*4030*20160717*" /stext=" 03:.+((prompt.+disp)|(slice.+state.+chan)|(ment ac)|(system.+state.+chan)|(\|lc)|(penalty)|(\[timeout))" /e /r /s</v>
      </c>
      <c r="AG136" s="1" t="str">
        <f t="shared" si="43"/>
        <v>EC</v>
      </c>
    </row>
    <row r="137" spans="1:33" s="25" customFormat="1" x14ac:dyDescent="0.25">
      <c r="A137" s="49" t="s">
        <v>477</v>
      </c>
      <c r="B137" s="7">
        <v>4029</v>
      </c>
      <c r="C137" s="26" t="s">
        <v>59</v>
      </c>
      <c r="D137" s="26" t="s">
        <v>189</v>
      </c>
      <c r="E137" s="16">
        <v>42567.829340277778</v>
      </c>
      <c r="F137" s="16">
        <v>42567.831180555557</v>
      </c>
      <c r="G137" s="7">
        <v>2</v>
      </c>
      <c r="H137" s="16" t="s">
        <v>168</v>
      </c>
      <c r="I137" s="16">
        <v>42567.8591087963</v>
      </c>
      <c r="J137" s="7">
        <v>0</v>
      </c>
      <c r="K137" s="26" t="str">
        <f t="shared" si="30"/>
        <v>4029/4030</v>
      </c>
      <c r="L137" s="26" t="str">
        <f>VLOOKUP(A137,'Trips&amp;Operators'!$C$1:$E$10000,3,FALSE)</f>
        <v>KILLION</v>
      </c>
      <c r="M137" s="6">
        <f t="shared" si="31"/>
        <v>2.792824074276723E-2</v>
      </c>
      <c r="N137" s="7">
        <f t="shared" si="29"/>
        <v>40.216666669584811</v>
      </c>
      <c r="O137" s="7"/>
      <c r="P137" s="7"/>
      <c r="Q137" s="27"/>
      <c r="R137" s="27"/>
      <c r="S137" s="45">
        <f t="shared" si="32"/>
        <v>1</v>
      </c>
      <c r="T137" s="69" t="str">
        <f t="shared" si="33"/>
        <v>NorthBound</v>
      </c>
      <c r="U137" s="96">
        <f>COUNTIFS(Variables!$M$2:$M$19,IF(T137="NorthBound","&gt;=","&lt;=")&amp;Y137,Variables!$M$2:$M$19,IF(T137="NorthBound","&lt;=","&gt;=")&amp;Z137)</f>
        <v>12</v>
      </c>
      <c r="V137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18:54:15-0600',mode:absolute,to:'2016-07-16 21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7" s="74" t="str">
        <f t="shared" si="35"/>
        <v>N</v>
      </c>
      <c r="X137" s="92">
        <f t="shared" si="36"/>
        <v>1</v>
      </c>
      <c r="Y137" s="89">
        <f t="shared" si="37"/>
        <v>4.6600000000000003E-2</v>
      </c>
      <c r="Z137" s="89">
        <f t="shared" si="38"/>
        <v>23.330300000000001</v>
      </c>
      <c r="AA137" s="89">
        <f t="shared" si="39"/>
        <v>23.2837</v>
      </c>
      <c r="AB137" s="86" t="e">
        <f>VLOOKUP(A137,Enforcements!$C$7:$J$23,8,0)</f>
        <v>#N/A</v>
      </c>
      <c r="AC137" s="82" t="e">
        <f>VLOOKUP(A137,Enforcements!$C$7:$E$23,3,0)</f>
        <v>#N/A</v>
      </c>
      <c r="AD137" s="83" t="str">
        <f t="shared" si="40"/>
        <v>0227-16</v>
      </c>
      <c r="AE137" s="75" t="str">
        <f t="shared" si="41"/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37" s="75" t="str">
        <f t="shared" si="42"/>
        <v>"C:\Program Files (x86)\AstroGrep\AstroGrep.exe" /spath="C:\Users\stu\Documents\Analysis\2016-02-23 RTDC Observations" /stypes="*4029*20160717*" /stext=" 02:.+((prompt.+disp)|(slice.+state.+chan)|(ment ac)|(system.+state.+chan)|(\|lc)|(penalty)|(\[timeout))" /e /r /s</v>
      </c>
      <c r="AG137" s="1" t="str">
        <f t="shared" si="43"/>
        <v>EC</v>
      </c>
    </row>
    <row r="138" spans="1:33" s="25" customFormat="1" x14ac:dyDescent="0.25">
      <c r="A138" s="49" t="s">
        <v>441</v>
      </c>
      <c r="B138" s="7">
        <v>4019</v>
      </c>
      <c r="C138" s="26" t="s">
        <v>59</v>
      </c>
      <c r="D138" s="26" t="s">
        <v>250</v>
      </c>
      <c r="E138" s="16">
        <v>42567.878680555557</v>
      </c>
      <c r="F138" s="16">
        <v>42567.880312499998</v>
      </c>
      <c r="G138" s="7">
        <v>2</v>
      </c>
      <c r="H138" s="16" t="s">
        <v>136</v>
      </c>
      <c r="I138" s="16">
        <v>42567.919988425929</v>
      </c>
      <c r="J138" s="7">
        <v>1</v>
      </c>
      <c r="K138" s="26" t="str">
        <f t="shared" si="30"/>
        <v>4019/4020</v>
      </c>
      <c r="L138" s="26" t="str">
        <f>VLOOKUP(A138,'Trips&amp;Operators'!$C$1:$E$10000,3,FALSE)</f>
        <v>STURGEON</v>
      </c>
      <c r="M138" s="6">
        <f t="shared" si="31"/>
        <v>3.9675925931078382E-2</v>
      </c>
      <c r="N138" s="7">
        <f t="shared" si="29"/>
        <v>57.13333334075287</v>
      </c>
      <c r="O138" s="7"/>
      <c r="P138" s="7"/>
      <c r="Q138" s="27"/>
      <c r="R138" s="27"/>
      <c r="S138" s="45">
        <f t="shared" si="32"/>
        <v>1</v>
      </c>
      <c r="T138" s="69" t="str">
        <f t="shared" si="33"/>
        <v>Southbound</v>
      </c>
      <c r="U138" s="96">
        <f>COUNTIFS(Variables!$M$2:$M$19,IF(T138="NorthBound","&gt;=","&lt;=")&amp;Y138,Variables!$M$2:$M$19,IF(T138="NorthBound","&lt;=","&gt;=")&amp;Z138)</f>
        <v>12</v>
      </c>
      <c r="V138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20:05:18-0600',mode:absolute,to:'2016-07-16 23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8" s="74" t="str">
        <f t="shared" si="35"/>
        <v>N</v>
      </c>
      <c r="X138" s="92">
        <f t="shared" si="36"/>
        <v>1</v>
      </c>
      <c r="Y138" s="89">
        <f t="shared" si="37"/>
        <v>23.299099999999999</v>
      </c>
      <c r="Z138" s="89">
        <f t="shared" si="38"/>
        <v>1.61E-2</v>
      </c>
      <c r="AA138" s="89">
        <f t="shared" si="39"/>
        <v>23.282999999999998</v>
      </c>
      <c r="AB138" s="86" t="e">
        <f>VLOOKUP(A138,Enforcements!$C$7:$J$23,8,0)</f>
        <v>#N/A</v>
      </c>
      <c r="AC138" s="82" t="e">
        <f>VLOOKUP(A138,Enforcements!$C$7:$E$23,3,0)</f>
        <v>#N/A</v>
      </c>
      <c r="AD138" s="83" t="str">
        <f t="shared" si="40"/>
        <v>0228-16</v>
      </c>
      <c r="AE138" s="75" t="str">
        <f t="shared" si="41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38" s="75" t="str">
        <f t="shared" si="42"/>
        <v>"C:\Program Files (x86)\AstroGrep\AstroGrep.exe" /spath="C:\Users\stu\Documents\Analysis\2016-02-23 RTDC Observations" /stypes="*4019*20160717*" /stext=" 04:.+((prompt.+disp)|(slice.+state.+chan)|(ment ac)|(system.+state.+chan)|(\|lc)|(penalty)|(\[timeout))" /e /r /s</v>
      </c>
      <c r="AG138" s="1" t="str">
        <f t="shared" si="43"/>
        <v>EC</v>
      </c>
    </row>
    <row r="139" spans="1:33" s="25" customFormat="1" x14ac:dyDescent="0.25">
      <c r="A139" s="49" t="s">
        <v>475</v>
      </c>
      <c r="B139" s="7">
        <v>4025</v>
      </c>
      <c r="C139" s="26" t="s">
        <v>59</v>
      </c>
      <c r="D139" s="26" t="s">
        <v>181</v>
      </c>
      <c r="E139" s="16">
        <v>42567.851898148147</v>
      </c>
      <c r="F139" s="16">
        <v>42567.852708333332</v>
      </c>
      <c r="G139" s="7">
        <v>1</v>
      </c>
      <c r="H139" s="16" t="s">
        <v>169</v>
      </c>
      <c r="I139" s="16">
        <v>42567.879513888889</v>
      </c>
      <c r="J139" s="7">
        <v>0</v>
      </c>
      <c r="K139" s="26" t="str">
        <f t="shared" si="30"/>
        <v>4025/4026</v>
      </c>
      <c r="L139" s="26" t="str">
        <f>VLOOKUP(A139,'Trips&amp;Operators'!$C$1:$E$10000,3,FALSE)</f>
        <v>CHANDLER</v>
      </c>
      <c r="M139" s="6">
        <f t="shared" si="31"/>
        <v>2.6805555557075422E-2</v>
      </c>
      <c r="N139" s="7">
        <f t="shared" si="29"/>
        <v>38.600000002188608</v>
      </c>
      <c r="O139" s="7"/>
      <c r="P139" s="7"/>
      <c r="Q139" s="27"/>
      <c r="R139" s="27"/>
      <c r="S139" s="45">
        <f t="shared" si="32"/>
        <v>1</v>
      </c>
      <c r="T139" s="69" t="str">
        <f t="shared" si="33"/>
        <v>NorthBound</v>
      </c>
      <c r="U139" s="96">
        <f>COUNTIFS(Variables!$M$2:$M$19,IF(T139="NorthBound","&gt;=","&lt;=")&amp;Y139,Variables!$M$2:$M$19,IF(T139="NorthBound","&lt;=","&gt;=")&amp;Z139)</f>
        <v>12</v>
      </c>
      <c r="V139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19:26:44-0600',mode:absolute,to:'2016-07-16 22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9" s="74" t="str">
        <f t="shared" si="35"/>
        <v>N</v>
      </c>
      <c r="X139" s="92">
        <f t="shared" si="36"/>
        <v>1</v>
      </c>
      <c r="Y139" s="89">
        <f t="shared" si="37"/>
        <v>4.6399999999999997E-2</v>
      </c>
      <c r="Z139" s="89">
        <f t="shared" si="38"/>
        <v>23.3291</v>
      </c>
      <c r="AA139" s="89">
        <f t="shared" si="39"/>
        <v>23.282700000000002</v>
      </c>
      <c r="AB139" s="86" t="e">
        <f>VLOOKUP(A139,Enforcements!$C$7:$J$23,8,0)</f>
        <v>#N/A</v>
      </c>
      <c r="AC139" s="82" t="e">
        <f>VLOOKUP(A139,Enforcements!$C$7:$E$23,3,0)</f>
        <v>#N/A</v>
      </c>
      <c r="AD139" s="83" t="str">
        <f t="shared" si="40"/>
        <v>0229-16</v>
      </c>
      <c r="AE139" s="75" t="str">
        <f t="shared" si="41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39" s="75" t="str">
        <f t="shared" si="42"/>
        <v>"C:\Program Files (x86)\AstroGrep\AstroGrep.exe" /spath="C:\Users\stu\Documents\Analysis\2016-02-23 RTDC Observations" /stypes="*4025*20160717*" /stext=" 03:.+((prompt.+disp)|(slice.+state.+chan)|(ment ac)|(system.+state.+chan)|(\|lc)|(penalty)|(\[timeout))" /e /r /s</v>
      </c>
      <c r="AG139" s="1" t="str">
        <f t="shared" si="43"/>
        <v>EC</v>
      </c>
    </row>
    <row r="140" spans="1:33" s="25" customFormat="1" x14ac:dyDescent="0.25">
      <c r="A140" s="49" t="s">
        <v>405</v>
      </c>
      <c r="B140" s="7">
        <v>4017</v>
      </c>
      <c r="C140" s="26" t="s">
        <v>59</v>
      </c>
      <c r="D140" s="26" t="s">
        <v>191</v>
      </c>
      <c r="E140" s="16">
        <v>42567.908333333333</v>
      </c>
      <c r="F140" s="16">
        <v>42567.90902777778</v>
      </c>
      <c r="G140" s="7">
        <v>0</v>
      </c>
      <c r="H140" s="16" t="s">
        <v>190</v>
      </c>
      <c r="I140" s="16">
        <v>42567.940150462964</v>
      </c>
      <c r="J140" s="7">
        <v>0</v>
      </c>
      <c r="K140" s="26" t="str">
        <f t="shared" si="30"/>
        <v>4017/4018</v>
      </c>
      <c r="L140" s="26" t="str">
        <f>VLOOKUP(A140,'Trips&amp;Operators'!$C$1:$E$10000,3,FALSE)</f>
        <v>LEVIN</v>
      </c>
      <c r="M140" s="6">
        <f t="shared" si="31"/>
        <v>3.1122685184527654E-2</v>
      </c>
      <c r="N140" s="7">
        <f t="shared" si="29"/>
        <v>44.816666665719822</v>
      </c>
      <c r="O140" s="7"/>
      <c r="P140" s="7"/>
      <c r="Q140" s="27"/>
      <c r="R140" s="27"/>
      <c r="S140" s="45">
        <f t="shared" si="32"/>
        <v>1</v>
      </c>
      <c r="T140" s="69" t="str">
        <f t="shared" si="33"/>
        <v>Southbound</v>
      </c>
      <c r="U140" s="96">
        <f>COUNTIFS(Variables!$M$2:$M$19,IF(T140="NorthBound","&gt;=","&lt;=")&amp;Y140,Variables!$M$2:$M$19,IF(T140="NorthBound","&lt;=","&gt;=")&amp;Z140)</f>
        <v>12</v>
      </c>
      <c r="V140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20:48:00-0600',mode:absolute,to:'2016-07-16 23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0" s="74" t="str">
        <f t="shared" si="35"/>
        <v>N</v>
      </c>
      <c r="X140" s="92">
        <f t="shared" si="36"/>
        <v>1</v>
      </c>
      <c r="Y140" s="89">
        <f t="shared" si="37"/>
        <v>23.299800000000001</v>
      </c>
      <c r="Z140" s="89">
        <f t="shared" si="38"/>
        <v>1.47E-2</v>
      </c>
      <c r="AA140" s="89">
        <f t="shared" si="39"/>
        <v>23.2851</v>
      </c>
      <c r="AB140" s="86" t="e">
        <f>VLOOKUP(A140,Enforcements!$C$7:$J$23,8,0)</f>
        <v>#N/A</v>
      </c>
      <c r="AC140" s="82" t="e">
        <f>VLOOKUP(A140,Enforcements!$C$7:$E$23,3,0)</f>
        <v>#N/A</v>
      </c>
      <c r="AD140" s="83" t="str">
        <f t="shared" si="40"/>
        <v>0230-16</v>
      </c>
      <c r="AE140" s="75" t="str">
        <f t="shared" si="41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40" s="75" t="str">
        <f t="shared" si="42"/>
        <v>"C:\Program Files (x86)\AstroGrep\AstroGrep.exe" /spath="C:\Users\stu\Documents\Analysis\2016-02-23 RTDC Observations" /stypes="*4017*20160717*" /stext=" 04:.+((prompt.+disp)|(slice.+state.+chan)|(ment ac)|(system.+state.+chan)|(\|lc)|(penalty)|(\[timeout))" /e /r /s</v>
      </c>
      <c r="AG140" s="1" t="str">
        <f t="shared" si="43"/>
        <v>EC</v>
      </c>
    </row>
    <row r="141" spans="1:33" s="25" customFormat="1" x14ac:dyDescent="0.25">
      <c r="A141" s="49" t="s">
        <v>378</v>
      </c>
      <c r="B141" s="7">
        <v>4018</v>
      </c>
      <c r="C141" s="26" t="s">
        <v>59</v>
      </c>
      <c r="D141" s="26" t="s">
        <v>586</v>
      </c>
      <c r="E141" s="16">
        <v>42567.866423611114</v>
      </c>
      <c r="F141" s="16">
        <v>42567.867175925923</v>
      </c>
      <c r="G141" s="7">
        <v>1</v>
      </c>
      <c r="H141" s="16" t="s">
        <v>347</v>
      </c>
      <c r="I141" s="16">
        <v>42567.900196759256</v>
      </c>
      <c r="J141" s="7">
        <v>0</v>
      </c>
      <c r="K141" s="26" t="str">
        <f t="shared" si="30"/>
        <v>4017/4018</v>
      </c>
      <c r="L141" s="26" t="str">
        <f>VLOOKUP(A141,'Trips&amp;Operators'!$C$1:$E$10000,3,FALSE)</f>
        <v>LEVIN</v>
      </c>
      <c r="M141" s="6">
        <f t="shared" si="31"/>
        <v>3.3020833332557231E-2</v>
      </c>
      <c r="N141" s="7">
        <f t="shared" si="29"/>
        <v>47.549999998882413</v>
      </c>
      <c r="O141" s="7"/>
      <c r="P141" s="7"/>
      <c r="Q141" s="27"/>
      <c r="R141" s="27"/>
      <c r="S141" s="45">
        <f t="shared" si="32"/>
        <v>1</v>
      </c>
      <c r="T141" s="69" t="str">
        <f t="shared" si="33"/>
        <v>NorthBound</v>
      </c>
      <c r="U141" s="96">
        <f>COUNTIFS(Variables!$M$2:$M$19,IF(T141="NorthBound","&gt;=","&lt;=")&amp;Y141,Variables!$M$2:$M$19,IF(T141="NorthBound","&lt;=","&gt;=")&amp;Z141)</f>
        <v>12</v>
      </c>
      <c r="V141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19:47:39-0600',mode:absolute,to:'2016-07-16 22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1" s="74" t="str">
        <f t="shared" si="35"/>
        <v>N</v>
      </c>
      <c r="X141" s="92">
        <f t="shared" si="36"/>
        <v>1</v>
      </c>
      <c r="Y141" s="89">
        <f t="shared" si="37"/>
        <v>4.8399999999999999E-2</v>
      </c>
      <c r="Z141" s="89">
        <f t="shared" si="38"/>
        <v>23.331700000000001</v>
      </c>
      <c r="AA141" s="89">
        <f t="shared" si="39"/>
        <v>23.283300000000001</v>
      </c>
      <c r="AB141" s="86" t="e">
        <f>VLOOKUP(A141,Enforcements!$C$7:$J$23,8,0)</f>
        <v>#N/A</v>
      </c>
      <c r="AC141" s="82" t="e">
        <f>VLOOKUP(A141,Enforcements!$C$7:$E$23,3,0)</f>
        <v>#N/A</v>
      </c>
      <c r="AD141" s="83" t="str">
        <f t="shared" si="40"/>
        <v>0231-16</v>
      </c>
      <c r="AE141" s="75" t="str">
        <f t="shared" si="41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41" s="75" t="str">
        <f t="shared" si="42"/>
        <v>"C:\Program Files (x86)\AstroGrep\AstroGrep.exe" /spath="C:\Users\stu\Documents\Analysis\2016-02-23 RTDC Observations" /stypes="*4018*20160717*" /stext=" 03:.+((prompt.+disp)|(slice.+state.+chan)|(ment ac)|(system.+state.+chan)|(\|lc)|(penalty)|(\[timeout))" /e /r /s</v>
      </c>
      <c r="AG141" s="1" t="str">
        <f t="shared" si="43"/>
        <v>EC</v>
      </c>
    </row>
    <row r="142" spans="1:33" s="25" customFormat="1" x14ac:dyDescent="0.25">
      <c r="A142" s="49" t="s">
        <v>408</v>
      </c>
      <c r="B142" s="7">
        <v>4039</v>
      </c>
      <c r="C142" s="26" t="s">
        <v>59</v>
      </c>
      <c r="D142" s="26" t="s">
        <v>200</v>
      </c>
      <c r="E142" s="16">
        <v>42567.932152777779</v>
      </c>
      <c r="F142" s="16">
        <v>42567.932847222219</v>
      </c>
      <c r="G142" s="7">
        <v>1</v>
      </c>
      <c r="H142" s="16" t="s">
        <v>190</v>
      </c>
      <c r="I142" s="16">
        <v>42567.964814814812</v>
      </c>
      <c r="J142" s="7">
        <v>2</v>
      </c>
      <c r="K142" s="26" t="str">
        <f t="shared" si="30"/>
        <v>4039/4040</v>
      </c>
      <c r="L142" s="26" t="str">
        <f>VLOOKUP(A142,'Trips&amp;Operators'!$C$1:$E$10000,3,FALSE)</f>
        <v>NEWELL</v>
      </c>
      <c r="M142" s="6">
        <f t="shared" si="31"/>
        <v>3.1967592592991423E-2</v>
      </c>
      <c r="N142" s="7">
        <f t="shared" si="29"/>
        <v>46.033333333907649</v>
      </c>
      <c r="O142" s="7"/>
      <c r="P142" s="7"/>
      <c r="Q142" s="27"/>
      <c r="R142" s="27"/>
      <c r="S142" s="45">
        <f t="shared" si="32"/>
        <v>1</v>
      </c>
      <c r="T142" s="69" t="str">
        <f t="shared" si="33"/>
        <v>Southbound</v>
      </c>
      <c r="U142" s="96">
        <f>COUNTIFS(Variables!$M$2:$M$19,IF(T142="NorthBound","&gt;=","&lt;=")&amp;Y142,Variables!$M$2:$M$19,IF(T142="NorthBound","&lt;=","&gt;=")&amp;Z142)</f>
        <v>12</v>
      </c>
      <c r="V142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21:22:18-0600',mode:absolute,to:'2016-07-17 00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2" s="74" t="str">
        <f t="shared" si="35"/>
        <v>N</v>
      </c>
      <c r="X142" s="92">
        <f t="shared" si="36"/>
        <v>1</v>
      </c>
      <c r="Y142" s="89">
        <f t="shared" si="37"/>
        <v>23.299399999999999</v>
      </c>
      <c r="Z142" s="89">
        <f t="shared" si="38"/>
        <v>1.47E-2</v>
      </c>
      <c r="AA142" s="89">
        <f t="shared" si="39"/>
        <v>23.284699999999997</v>
      </c>
      <c r="AB142" s="86" t="e">
        <f>VLOOKUP(A142,Enforcements!$C$7:$J$23,8,0)</f>
        <v>#N/A</v>
      </c>
      <c r="AC142" s="82" t="e">
        <f>VLOOKUP(A142,Enforcements!$C$7:$E$23,3,0)</f>
        <v>#N/A</v>
      </c>
      <c r="AD142" s="83" t="str">
        <f t="shared" si="40"/>
        <v>0232-16</v>
      </c>
      <c r="AE142" s="75" t="str">
        <f t="shared" si="41"/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AF142" s="75" t="str">
        <f t="shared" si="42"/>
        <v>"C:\Program Files (x86)\AstroGrep\AstroGrep.exe" /spath="C:\Users\stu\Documents\Analysis\2016-02-23 RTDC Observations" /stypes="*4039*20160717*" /stext=" 05:.+((prompt.+disp)|(slice.+state.+chan)|(ment ac)|(system.+state.+chan)|(\|lc)|(penalty)|(\[timeout))" /e /r /s</v>
      </c>
      <c r="AG142" s="1" t="str">
        <f t="shared" si="43"/>
        <v>EC</v>
      </c>
    </row>
    <row r="143" spans="1:33" s="25" customFormat="1" x14ac:dyDescent="0.25">
      <c r="A143" s="49" t="s">
        <v>379</v>
      </c>
      <c r="B143" s="7">
        <v>4040</v>
      </c>
      <c r="C143" s="26" t="s">
        <v>59</v>
      </c>
      <c r="D143" s="26" t="s">
        <v>586</v>
      </c>
      <c r="E143" s="16">
        <v>42567.889606481483</v>
      </c>
      <c r="F143" s="16">
        <v>42567.890648148146</v>
      </c>
      <c r="G143" s="7">
        <v>1</v>
      </c>
      <c r="H143" s="16" t="s">
        <v>347</v>
      </c>
      <c r="I143" s="16">
        <v>42567.920740740738</v>
      </c>
      <c r="J143" s="7">
        <v>1</v>
      </c>
      <c r="K143" s="26" t="str">
        <f t="shared" si="30"/>
        <v>4039/4040</v>
      </c>
      <c r="L143" s="26" t="str">
        <f>VLOOKUP(A143,'Trips&amp;Operators'!$C$1:$E$10000,3,FALSE)</f>
        <v>NEWELL</v>
      </c>
      <c r="M143" s="6">
        <f t="shared" si="31"/>
        <v>3.0092592591245193E-2</v>
      </c>
      <c r="N143" s="7">
        <f t="shared" ref="N143:P158" si="80">24*60*SUM($M143:$M143)</f>
        <v>43.333333331393078</v>
      </c>
      <c r="O143" s="7"/>
      <c r="P143" s="7"/>
      <c r="Q143" s="27"/>
      <c r="R143" s="27"/>
      <c r="S143" s="45">
        <f t="shared" si="32"/>
        <v>1</v>
      </c>
      <c r="T143" s="69" t="str">
        <f t="shared" si="33"/>
        <v>NorthBound</v>
      </c>
      <c r="U143" s="96">
        <f>COUNTIFS(Variables!$M$2:$M$19,IF(T143="NorthBound","&gt;=","&lt;=")&amp;Y143,Variables!$M$2:$M$19,IF(T143="NorthBound","&lt;=","&gt;=")&amp;Z143)</f>
        <v>12</v>
      </c>
      <c r="V143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20:21:02-0600',mode:absolute,to:'2016-07-16 23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74" t="str">
        <f t="shared" si="35"/>
        <v>N</v>
      </c>
      <c r="X143" s="92">
        <f t="shared" si="36"/>
        <v>1</v>
      </c>
      <c r="Y143" s="89">
        <f t="shared" si="37"/>
        <v>4.8399999999999999E-2</v>
      </c>
      <c r="Z143" s="89">
        <f t="shared" si="38"/>
        <v>23.331700000000001</v>
      </c>
      <c r="AA143" s="89">
        <f t="shared" si="39"/>
        <v>23.283300000000001</v>
      </c>
      <c r="AB143" s="86" t="e">
        <f>VLOOKUP(A143,Enforcements!$C$7:$J$23,8,0)</f>
        <v>#N/A</v>
      </c>
      <c r="AC143" s="82" t="e">
        <f>VLOOKUP(A143,Enforcements!$C$7:$E$23,3,0)</f>
        <v>#N/A</v>
      </c>
      <c r="AD143" s="83" t="str">
        <f t="shared" si="40"/>
        <v>0233-16</v>
      </c>
      <c r="AE143" s="75" t="str">
        <f t="shared" si="41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43" s="75" t="str">
        <f t="shared" si="42"/>
        <v>"C:\Program Files (x86)\AstroGrep\AstroGrep.exe" /spath="C:\Users\stu\Documents\Analysis\2016-02-23 RTDC Observations" /stypes="*4040*20160717*" /stext=" 04:.+((prompt.+disp)|(slice.+state.+chan)|(ment ac)|(system.+state.+chan)|(\|lc)|(penalty)|(\[timeout))" /e /r /s</v>
      </c>
      <c r="AG143" s="1" t="str">
        <f t="shared" si="43"/>
        <v>EC</v>
      </c>
    </row>
    <row r="144" spans="1:33" s="25" customFormat="1" x14ac:dyDescent="0.25">
      <c r="A144" s="49" t="s">
        <v>442</v>
      </c>
      <c r="B144" s="7">
        <v>4026</v>
      </c>
      <c r="C144" s="26" t="s">
        <v>59</v>
      </c>
      <c r="D144" s="26" t="s">
        <v>352</v>
      </c>
      <c r="E144" s="16">
        <v>42567.93650462963</v>
      </c>
      <c r="F144" s="16">
        <v>42567.937523148146</v>
      </c>
      <c r="G144" s="7">
        <v>1</v>
      </c>
      <c r="H144" s="16" t="s">
        <v>344</v>
      </c>
      <c r="I144" s="16">
        <v>42567.982881944445</v>
      </c>
      <c r="J144" s="7">
        <v>0</v>
      </c>
      <c r="K144" s="26" t="str">
        <f t="shared" si="30"/>
        <v>4025/4026</v>
      </c>
      <c r="L144" s="26" t="str">
        <f>VLOOKUP(A144,'Trips&amp;Operators'!$C$1:$E$10000,3,FALSE)</f>
        <v>CHANDLER</v>
      </c>
      <c r="M144" s="6">
        <f t="shared" si="31"/>
        <v>4.535879629838746E-2</v>
      </c>
      <c r="N144" s="7">
        <f t="shared" si="80"/>
        <v>65.316666669677943</v>
      </c>
      <c r="O144" s="7"/>
      <c r="P144" s="7"/>
      <c r="Q144" s="27"/>
      <c r="R144" s="27"/>
      <c r="S144" s="45">
        <f t="shared" si="32"/>
        <v>1</v>
      </c>
      <c r="T144" s="69" t="str">
        <f t="shared" si="33"/>
        <v>Southbound</v>
      </c>
      <c r="U144" s="96">
        <f>COUNTIFS(Variables!$M$2:$M$19,IF(T144="NorthBound","&gt;=","&lt;=")&amp;Y144,Variables!$M$2:$M$19,IF(T144="NorthBound","&lt;=","&gt;=")&amp;Z144)</f>
        <v>12</v>
      </c>
      <c r="V144" s="74" t="str">
        <f t="shared" si="34"/>
        <v>https://search-rtdc-monitor-bjffxe2xuh6vdkpspy63sjmuny.us-east-1.es.amazonaws.com/_plugin/kibana/#/discover/Steve-Slow-Train-Analysis-(2080s-and-2083s)?_g=(refreshInterval:(display:Off,section:0,value:0),time:(from:'2016-07-16 21:28:34-0600',mode:absolute,to:'2016-07-17 00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4" s="74" t="str">
        <f t="shared" si="35"/>
        <v>N</v>
      </c>
      <c r="X144" s="92">
        <f t="shared" si="36"/>
        <v>1</v>
      </c>
      <c r="Y144" s="89">
        <f t="shared" si="37"/>
        <v>23.2973</v>
      </c>
      <c r="Z144" s="89">
        <f t="shared" si="38"/>
        <v>1.6E-2</v>
      </c>
      <c r="AA144" s="89">
        <f t="shared" si="39"/>
        <v>23.281300000000002</v>
      </c>
      <c r="AB144" s="86" t="e">
        <f>VLOOKUP(A144,Enforcements!$C$7:$J$23,8,0)</f>
        <v>#N/A</v>
      </c>
      <c r="AC144" s="82" t="e">
        <f>VLOOKUP(A144,Enforcements!$C$7:$E$23,3,0)</f>
        <v>#N/A</v>
      </c>
      <c r="AD144" s="83" t="str">
        <f t="shared" si="40"/>
        <v>0234-16</v>
      </c>
      <c r="AE144" s="75" t="str">
        <f t="shared" si="41"/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AF144" s="75" t="str">
        <f t="shared" si="42"/>
        <v>"C:\Program Files (x86)\AstroGrep\AstroGrep.exe" /spath="C:\Users\stu\Documents\Analysis\2016-02-23 RTDC Observations" /stypes="*4026*20160717*" /stext=" 05:.+((prompt.+disp)|(slice.+state.+chan)|(ment ac)|(system.+state.+chan)|(\|lc)|(penalty)|(\[timeout))" /e /r /s</v>
      </c>
      <c r="AG144" s="1" t="str">
        <f t="shared" si="43"/>
        <v>EC</v>
      </c>
    </row>
    <row r="145" spans="1:33" s="25" customFormat="1" x14ac:dyDescent="0.25">
      <c r="A145" s="49" t="s">
        <v>492</v>
      </c>
      <c r="B145" s="7">
        <v>4029</v>
      </c>
      <c r="C145" s="26" t="s">
        <v>59</v>
      </c>
      <c r="D145" s="26" t="s">
        <v>146</v>
      </c>
      <c r="E145" s="16">
        <v>42567.909131944441</v>
      </c>
      <c r="F145" s="16">
        <v>42567.910138888888</v>
      </c>
      <c r="G145" s="7">
        <v>1</v>
      </c>
      <c r="H145" s="16" t="s">
        <v>248</v>
      </c>
      <c r="I145" s="16">
        <v>42567.943460648145</v>
      </c>
      <c r="J145" s="7">
        <v>0</v>
      </c>
      <c r="K145" s="26" t="str">
        <f t="shared" ref="K145:K156" si="81">IF(ISEVEN(B145),(B145-1)&amp;"/"&amp;B145,B145&amp;"/"&amp;(B145+1))</f>
        <v>4029/4030</v>
      </c>
      <c r="L145" s="26" t="str">
        <f>VLOOKUP(A145,'Trips&amp;Operators'!$C$1:$E$10000,3,FALSE)</f>
        <v>KILLION</v>
      </c>
      <c r="M145" s="6">
        <f t="shared" ref="M145:M156" si="82">I145-F145</f>
        <v>3.3321759256068617E-2</v>
      </c>
      <c r="N145" s="7">
        <f t="shared" si="80"/>
        <v>47.983333328738809</v>
      </c>
      <c r="O145" s="7"/>
      <c r="P145" s="7"/>
      <c r="Q145" s="27"/>
      <c r="R145" s="27"/>
      <c r="S145" s="45">
        <f t="shared" ref="S145:S156" si="83">SUM(U145:U145)/12</f>
        <v>1</v>
      </c>
      <c r="T145" s="69" t="str">
        <f t="shared" ref="T145:T156" si="84">IF(ISEVEN(LEFT(A145,3)),"Southbound","NorthBound")</f>
        <v>NorthBound</v>
      </c>
      <c r="U145" s="96">
        <f>COUNTIFS(Variables!$M$2:$M$19,IF(T145="NorthBound","&gt;=","&lt;=")&amp;Y145,Variables!$M$2:$M$19,IF(T145="NorthBound","&lt;=","&gt;=")&amp;Z145)</f>
        <v>12</v>
      </c>
      <c r="V145" s="74" t="str">
        <f t="shared" ref="V145:V156" si="85">"https://search-rtdc-monitor-bjffxe2xuh6vdkpspy63sjmuny.us-east-1.es.amazonaws.com/_plugin/kibana/#/discover/Steve-Slow-Train-Analysis-(2080s-and-2083s)?_g=(refreshInterval:(display:Off,section:0,value:0),time:(from:'"&amp;TEXT(E145-1/24,"yyyy-MM-DD hh:mm:ss")&amp;"-0600',mode:absolute,to:'"&amp;TEXT(I145+1/24,"yyyy-MM-DD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https://search-rtdc-monitor-bjffxe2xuh6vdkpspy63sjmuny.us-east-1.es.amazonaws.com/_plugin/kibana/#/discover/Steve-Slow-Train-Analysis-(2080s-and-2083s)?_g=(refreshInterval:(display:Off,section:0,value:0),time:(from:'2016-07-16 20:49:09-0600',mode:absolute,to:'2016-07-16 23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5" s="74" t="str">
        <f t="shared" ref="W145:W156" si="86">IF(AA145&lt;23,"Y","N")</f>
        <v>N</v>
      </c>
      <c r="X145" s="92">
        <f t="shared" ref="X145:X156" si="87">VALUE(LEFT(A145,3))-VALUE(LEFT(A144,3))</f>
        <v>1</v>
      </c>
      <c r="Y145" s="89">
        <f t="shared" ref="Y145:Y156" si="88">RIGHT(D145,LEN(D145)-4)/10000</f>
        <v>4.58E-2</v>
      </c>
      <c r="Z145" s="89">
        <f t="shared" ref="Z145:Z156" si="89">RIGHT(H145,LEN(H145)-4)/10000</f>
        <v>23.3293</v>
      </c>
      <c r="AA145" s="89">
        <f t="shared" ref="AA145:AA156" si="90">ABS(Z145-Y145)</f>
        <v>23.2835</v>
      </c>
      <c r="AB145" s="86" t="e">
        <f>VLOOKUP(A145,Enforcements!$C$7:$J$23,8,0)</f>
        <v>#N/A</v>
      </c>
      <c r="AC145" s="82" t="e">
        <f>VLOOKUP(A145,Enforcements!$C$7:$E$23,3,0)</f>
        <v>#N/A</v>
      </c>
      <c r="AD145" s="83" t="str">
        <f t="shared" ref="AD145:AD156" si="91">IF(LEN(A145)=6,"0"&amp;A145,A145)</f>
        <v>0235-16</v>
      </c>
      <c r="AE145" s="75" t="str">
        <f t="shared" ref="AE145:AE156" si="92">"aws s3 cp "&amp;s3_bucket&amp;"/RTDC"&amp;B145&amp;"/"&amp;TEXT(F145,"YYYY-MM-DD")&amp;"/ "&amp;search_path&amp;"\RTDC"&amp;B145&amp;"\"&amp;TEXT(F145,"YYYY-MM-DD")&amp;" --recursive &amp; """&amp;walkandungz&amp;""" "&amp;search_path&amp;"\RTDC"&amp;B145&amp;"\"&amp;TEXT(F145,"YYYY-MM-DD")
&amp;" &amp; "&amp;"aws s3 cp "&amp;s3_bucket&amp;"/RTDC"&amp;B145&amp;"/"&amp;TEXT(F145+1,"YYYY-MM-DD")&amp;"/ "&amp;search_path&amp;"\RTDC"&amp;B145&amp;"\"&amp;TEXT(F145+1,"YYYY-MM-DD")&amp;" --recursive &amp; """&amp;walkandungz&amp;""" "&amp;search_path&amp;"\RTDC"&amp;B145&amp;"\"&amp;TEXT(F145+1,"YYYY-MM-DD")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AF145" s="75" t="str">
        <f t="shared" ref="AF145:AF156" si="93">astrogrep_path&amp;" /spath="&amp;search_path&amp;" /stypes=""*"&amp;B145&amp;"*"&amp;TEXT(I145-utc_offset/24,"YYYYMMDD")&amp;"*"" /stext="" "&amp;TEXT(I145-utc_offset/24,"HH")&amp;search_regexp&amp;""" /e /r /s"</f>
        <v>"C:\Program Files (x86)\AstroGrep\AstroGrep.exe" /spath="C:\Users\stu\Documents\Analysis\2016-02-23 RTDC Observations" /stypes="*4029*20160717*" /stext=" 04:.+((prompt.+disp)|(slice.+state.+chan)|(ment ac)|(system.+state.+chan)|(\|lc)|(penalty)|(\[timeout))" /e /r /s</v>
      </c>
      <c r="AG145" s="1" t="str">
        <f t="shared" ref="AG145:AG156" si="94">IF(VALUE(LEFT(A145,3))&lt;300,"EC","NWGL")</f>
        <v>EC</v>
      </c>
    </row>
    <row r="146" spans="1:33" s="25" customFormat="1" x14ac:dyDescent="0.25">
      <c r="A146" s="49" t="s">
        <v>494</v>
      </c>
      <c r="B146" s="7">
        <v>4019</v>
      </c>
      <c r="C146" s="26" t="s">
        <v>59</v>
      </c>
      <c r="D146" s="26" t="s">
        <v>542</v>
      </c>
      <c r="E146" s="16">
        <v>42567.968634259261</v>
      </c>
      <c r="F146" s="16">
        <v>42567.969490740739</v>
      </c>
      <c r="G146" s="7">
        <v>1</v>
      </c>
      <c r="H146" s="16" t="s">
        <v>357</v>
      </c>
      <c r="I146" s="16">
        <v>42568.003900462965</v>
      </c>
      <c r="J146" s="7">
        <v>0</v>
      </c>
      <c r="K146" s="26" t="str">
        <f t="shared" si="81"/>
        <v>4019/4020</v>
      </c>
      <c r="L146" s="26" t="str">
        <f>VLOOKUP(A146,'Trips&amp;Operators'!$C$1:$E$10000,3,FALSE)</f>
        <v>STURGEON</v>
      </c>
      <c r="M146" s="6">
        <f t="shared" si="82"/>
        <v>3.4409722225973383E-2</v>
      </c>
      <c r="N146" s="7">
        <f t="shared" si="80"/>
        <v>49.550000005401671</v>
      </c>
      <c r="O146" s="7"/>
      <c r="P146" s="7"/>
      <c r="Q146" s="27"/>
      <c r="R146" s="27"/>
      <c r="S146" s="45">
        <f t="shared" si="83"/>
        <v>1</v>
      </c>
      <c r="T146" s="69" t="str">
        <f t="shared" si="84"/>
        <v>Southbound</v>
      </c>
      <c r="U146" s="96">
        <f>COUNTIFS(Variables!$M$2:$M$19,IF(T146="NorthBound","&gt;=","&lt;=")&amp;Y146,Variables!$M$2:$M$19,IF(T146="NorthBound","&lt;=","&gt;=")&amp;Z146)</f>
        <v>12</v>
      </c>
      <c r="V146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22:14:50-0600',mode:absolute,to:'2016-07-17 01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6" s="74" t="str">
        <f t="shared" si="86"/>
        <v>N</v>
      </c>
      <c r="X146" s="92">
        <f t="shared" si="87"/>
        <v>1</v>
      </c>
      <c r="Y146" s="89">
        <f t="shared" si="88"/>
        <v>23.295200000000001</v>
      </c>
      <c r="Z146" s="89">
        <f t="shared" si="89"/>
        <v>1.67E-2</v>
      </c>
      <c r="AA146" s="89">
        <f t="shared" si="90"/>
        <v>23.278500000000001</v>
      </c>
      <c r="AB146" s="86" t="e">
        <f>VLOOKUP(A146,Enforcements!$C$7:$J$23,8,0)</f>
        <v>#N/A</v>
      </c>
      <c r="AC146" s="82" t="e">
        <f>VLOOKUP(A146,Enforcements!$C$7:$E$23,3,0)</f>
        <v>#N/A</v>
      </c>
      <c r="AD146" s="83" t="str">
        <f t="shared" si="91"/>
        <v>0236-16</v>
      </c>
      <c r="AE146" s="75" t="str">
        <f t="shared" si="92"/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AF146" s="75" t="str">
        <f t="shared" si="93"/>
        <v>"C:\Program Files (x86)\AstroGrep\AstroGrep.exe" /spath="C:\Users\stu\Documents\Analysis\2016-02-23 RTDC Observations" /stypes="*4019*20160717*" /stext=" 06:.+((prompt.+disp)|(slice.+state.+chan)|(ment ac)|(system.+state.+chan)|(\|lc)|(penalty)|(\[timeout))" /e /r /s</v>
      </c>
      <c r="AG146" s="1" t="str">
        <f t="shared" si="94"/>
        <v>EC</v>
      </c>
    </row>
    <row r="147" spans="1:33" s="25" customFormat="1" x14ac:dyDescent="0.25">
      <c r="A147" s="49" t="s">
        <v>407</v>
      </c>
      <c r="B147" s="7">
        <v>4020</v>
      </c>
      <c r="C147" s="26" t="s">
        <v>59</v>
      </c>
      <c r="D147" s="26" t="s">
        <v>181</v>
      </c>
      <c r="E147" s="16">
        <v>42567.927071759259</v>
      </c>
      <c r="F147" s="16">
        <v>42567.927847222221</v>
      </c>
      <c r="G147" s="7">
        <v>1</v>
      </c>
      <c r="H147" s="16" t="s">
        <v>275</v>
      </c>
      <c r="I147" s="16">
        <v>42567.96303240741</v>
      </c>
      <c r="J147" s="7">
        <v>1</v>
      </c>
      <c r="K147" s="26" t="str">
        <f t="shared" si="81"/>
        <v>4019/4020</v>
      </c>
      <c r="L147" s="26" t="str">
        <f>VLOOKUP(A147,'Trips&amp;Operators'!$C$1:$E$10000,3,FALSE)</f>
        <v>STURGEON</v>
      </c>
      <c r="M147" s="6">
        <f t="shared" si="82"/>
        <v>3.5185185188311152E-2</v>
      </c>
      <c r="N147" s="7">
        <f t="shared" si="80"/>
        <v>50.666666671168059</v>
      </c>
      <c r="O147" s="7"/>
      <c r="P147" s="7"/>
      <c r="Q147" s="27"/>
      <c r="R147" s="27"/>
      <c r="S147" s="45">
        <f t="shared" si="83"/>
        <v>1</v>
      </c>
      <c r="T147" s="69" t="str">
        <f t="shared" si="84"/>
        <v>NorthBound</v>
      </c>
      <c r="U147" s="96">
        <f>COUNTIFS(Variables!$M$2:$M$19,IF(T147="NorthBound","&gt;=","&lt;=")&amp;Y147,Variables!$M$2:$M$19,IF(T147="NorthBound","&lt;=","&gt;=")&amp;Z147)</f>
        <v>12</v>
      </c>
      <c r="V147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21:14:59-0600',mode:absolute,to:'2016-07-17 00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7" s="74" t="str">
        <f t="shared" si="86"/>
        <v>N</v>
      </c>
      <c r="X147" s="92">
        <f t="shared" si="87"/>
        <v>1</v>
      </c>
      <c r="Y147" s="89">
        <f t="shared" si="88"/>
        <v>4.6399999999999997E-2</v>
      </c>
      <c r="Z147" s="89">
        <f t="shared" si="89"/>
        <v>23.328600000000002</v>
      </c>
      <c r="AA147" s="89">
        <f t="shared" si="90"/>
        <v>23.282200000000003</v>
      </c>
      <c r="AB147" s="86" t="e">
        <f>VLOOKUP(A147,Enforcements!$C$7:$J$23,8,0)</f>
        <v>#N/A</v>
      </c>
      <c r="AC147" s="82" t="e">
        <f>VLOOKUP(A147,Enforcements!$C$7:$E$23,3,0)</f>
        <v>#N/A</v>
      </c>
      <c r="AD147" s="83" t="str">
        <f t="shared" si="91"/>
        <v>0237-16</v>
      </c>
      <c r="AE147" s="75" t="str">
        <f t="shared" si="92"/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AF147" s="75" t="str">
        <f t="shared" si="93"/>
        <v>"C:\Program Files (x86)\AstroGrep\AstroGrep.exe" /spath="C:\Users\stu\Documents\Analysis\2016-02-23 RTDC Observations" /stypes="*4020*20160717*" /stext=" 05:.+((prompt.+disp)|(slice.+state.+chan)|(ment ac)|(system.+state.+chan)|(\|lc)|(penalty)|(\[timeout))" /e /r /s</v>
      </c>
      <c r="AG147" s="1" t="str">
        <f t="shared" si="94"/>
        <v>EC</v>
      </c>
    </row>
    <row r="148" spans="1:33" s="25" customFormat="1" x14ac:dyDescent="0.25">
      <c r="A148" s="49" t="s">
        <v>510</v>
      </c>
      <c r="B148" s="7">
        <v>4017</v>
      </c>
      <c r="C148" s="26" t="s">
        <v>59</v>
      </c>
      <c r="D148" s="26" t="s">
        <v>229</v>
      </c>
      <c r="E148" s="16">
        <v>42567.9921875</v>
      </c>
      <c r="F148" s="16">
        <v>42567.992997685185</v>
      </c>
      <c r="G148" s="7">
        <v>1</v>
      </c>
      <c r="H148" s="16" t="s">
        <v>71</v>
      </c>
      <c r="I148" s="16">
        <v>42568.02306712963</v>
      </c>
      <c r="J148" s="7">
        <v>0</v>
      </c>
      <c r="K148" s="26" t="str">
        <f t="shared" si="81"/>
        <v>4017/4018</v>
      </c>
      <c r="L148" s="26" t="str">
        <f>VLOOKUP(A148,'Trips&amp;Operators'!$C$1:$E$10000,3,FALSE)</f>
        <v>LEVIN</v>
      </c>
      <c r="M148" s="6">
        <f t="shared" si="82"/>
        <v>3.0069444444961846E-2</v>
      </c>
      <c r="N148" s="7">
        <f t="shared" si="80"/>
        <v>43.300000000745058</v>
      </c>
      <c r="O148" s="7"/>
      <c r="P148" s="7"/>
      <c r="Q148" s="27"/>
      <c r="R148" s="27"/>
      <c r="S148" s="45">
        <f t="shared" si="83"/>
        <v>1</v>
      </c>
      <c r="T148" s="69" t="str">
        <f t="shared" si="84"/>
        <v>Southbound</v>
      </c>
      <c r="U148" s="96">
        <f>COUNTIFS(Variables!$M$2:$M$19,IF(T148="NorthBound","&gt;=","&lt;=")&amp;Y148,Variables!$M$2:$M$19,IF(T148="NorthBound","&lt;=","&gt;=")&amp;Z148)</f>
        <v>12</v>
      </c>
      <c r="V148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22:48:45-0600',mode:absolute,to:'2016-07-17 01:33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8" s="74" t="str">
        <f t="shared" si="86"/>
        <v>N</v>
      </c>
      <c r="X148" s="92">
        <f t="shared" si="87"/>
        <v>1</v>
      </c>
      <c r="Y148" s="89">
        <f t="shared" si="88"/>
        <v>23.2971</v>
      </c>
      <c r="Z148" s="89">
        <f t="shared" si="89"/>
        <v>1.49E-2</v>
      </c>
      <c r="AA148" s="89">
        <f t="shared" si="90"/>
        <v>23.2822</v>
      </c>
      <c r="AB148" s="86" t="e">
        <f>VLOOKUP(A148,Enforcements!$C$7:$J$23,8,0)</f>
        <v>#N/A</v>
      </c>
      <c r="AC148" s="82" t="e">
        <f>VLOOKUP(A148,Enforcements!$C$7:$E$23,3,0)</f>
        <v>#N/A</v>
      </c>
      <c r="AD148" s="83" t="str">
        <f t="shared" si="91"/>
        <v>0238-16</v>
      </c>
      <c r="AE148" s="75" t="str">
        <f t="shared" si="92"/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AF148" s="75" t="str">
        <f t="shared" si="93"/>
        <v>"C:\Program Files (x86)\AstroGrep\AstroGrep.exe" /spath="C:\Users\stu\Documents\Analysis\2016-02-23 RTDC Observations" /stypes="*4017*20160717*" /stext=" 06:.+((prompt.+disp)|(slice.+state.+chan)|(ment ac)|(system.+state.+chan)|(\|lc)|(penalty)|(\[timeout))" /e /r /s</v>
      </c>
      <c r="AG148" s="1" t="str">
        <f t="shared" si="94"/>
        <v>EC</v>
      </c>
    </row>
    <row r="149" spans="1:33" s="25" customFormat="1" x14ac:dyDescent="0.25">
      <c r="A149" s="49" t="s">
        <v>432</v>
      </c>
      <c r="B149" s="7">
        <v>4018</v>
      </c>
      <c r="C149" s="26" t="s">
        <v>59</v>
      </c>
      <c r="D149" s="26" t="s">
        <v>176</v>
      </c>
      <c r="E149" s="16">
        <v>42567.951990740738</v>
      </c>
      <c r="F149" s="16">
        <v>42567.953217592592</v>
      </c>
      <c r="G149" s="7">
        <v>1</v>
      </c>
      <c r="H149" s="16" t="s">
        <v>184</v>
      </c>
      <c r="I149" s="16">
        <v>42567.984282407408</v>
      </c>
      <c r="J149" s="7">
        <v>1</v>
      </c>
      <c r="K149" s="26" t="str">
        <f t="shared" si="81"/>
        <v>4017/4018</v>
      </c>
      <c r="L149" s="26" t="str">
        <f>VLOOKUP(A149,'Trips&amp;Operators'!$C$1:$E$10000,3,FALSE)</f>
        <v>LEVIN</v>
      </c>
      <c r="M149" s="6">
        <f t="shared" si="82"/>
        <v>3.1064814815181307E-2</v>
      </c>
      <c r="N149" s="7">
        <f t="shared" si="80"/>
        <v>44.733333333861083</v>
      </c>
      <c r="O149" s="7"/>
      <c r="P149" s="7"/>
      <c r="Q149" s="27"/>
      <c r="R149" s="27"/>
      <c r="S149" s="45">
        <f t="shared" si="83"/>
        <v>1</v>
      </c>
      <c r="T149" s="69" t="str">
        <f t="shared" si="84"/>
        <v>NorthBound</v>
      </c>
      <c r="U149" s="96">
        <f>COUNTIFS(Variables!$M$2:$M$19,IF(T149="NorthBound","&gt;=","&lt;=")&amp;Y149,Variables!$M$2:$M$19,IF(T149="NorthBound","&lt;=","&gt;=")&amp;Z149)</f>
        <v>12</v>
      </c>
      <c r="V149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21:50:52-0600',mode:absolute,to:'2016-07-17 00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9" s="74" t="str">
        <f t="shared" si="86"/>
        <v>N</v>
      </c>
      <c r="X149" s="92">
        <f t="shared" si="87"/>
        <v>1</v>
      </c>
      <c r="Y149" s="89">
        <f t="shared" si="88"/>
        <v>4.5499999999999999E-2</v>
      </c>
      <c r="Z149" s="89">
        <f t="shared" si="89"/>
        <v>23.329699999999999</v>
      </c>
      <c r="AA149" s="89">
        <f t="shared" si="90"/>
        <v>23.284199999999998</v>
      </c>
      <c r="AB149" s="86" t="e">
        <f>VLOOKUP(A149,Enforcements!$C$7:$J$23,8,0)</f>
        <v>#N/A</v>
      </c>
      <c r="AC149" s="82" t="e">
        <f>VLOOKUP(A149,Enforcements!$C$7:$E$23,3,0)</f>
        <v>#N/A</v>
      </c>
      <c r="AD149" s="83" t="str">
        <f t="shared" si="91"/>
        <v>0239-16</v>
      </c>
      <c r="AE149" s="75" t="str">
        <f t="shared" si="92"/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AF149" s="75" t="str">
        <f t="shared" si="93"/>
        <v>"C:\Program Files (x86)\AstroGrep\AstroGrep.exe" /spath="C:\Users\stu\Documents\Analysis\2016-02-23 RTDC Observations" /stypes="*4018*20160717*" /stext=" 05:.+((prompt.+disp)|(slice.+state.+chan)|(ment ac)|(system.+state.+chan)|(\|lc)|(penalty)|(\[timeout))" /e /r /s</v>
      </c>
      <c r="AG149" s="1" t="str">
        <f t="shared" si="94"/>
        <v>EC</v>
      </c>
    </row>
    <row r="150" spans="1:33" s="25" customFormat="1" x14ac:dyDescent="0.25">
      <c r="A150" s="49" t="s">
        <v>402</v>
      </c>
      <c r="B150" s="7">
        <v>4039</v>
      </c>
      <c r="C150" s="26" t="s">
        <v>59</v>
      </c>
      <c r="D150" s="26" t="s">
        <v>354</v>
      </c>
      <c r="E150" s="16">
        <v>42568.017071759263</v>
      </c>
      <c r="F150" s="16">
        <v>42568.017743055556</v>
      </c>
      <c r="G150" s="7">
        <v>0</v>
      </c>
      <c r="H150" s="16" t="s">
        <v>587</v>
      </c>
      <c r="I150" s="16">
        <v>42568.043657407405</v>
      </c>
      <c r="J150" s="7">
        <v>0</v>
      </c>
      <c r="K150" s="26" t="str">
        <f t="shared" si="81"/>
        <v>4039/4040</v>
      </c>
      <c r="L150" s="26" t="str">
        <f>VLOOKUP(A150,'Trips&amp;Operators'!$C$1:$E$10000,3,FALSE)</f>
        <v>NEWELL</v>
      </c>
      <c r="M150" s="6">
        <f t="shared" si="82"/>
        <v>2.5914351848769002E-2</v>
      </c>
      <c r="N150" s="7">
        <f t="shared" si="80"/>
        <v>37.316666662227362</v>
      </c>
      <c r="O150" s="7"/>
      <c r="P150" s="7"/>
      <c r="Q150" s="27"/>
      <c r="R150" s="27"/>
      <c r="S150" s="45">
        <f t="shared" si="83"/>
        <v>1</v>
      </c>
      <c r="T150" s="69" t="str">
        <f t="shared" si="84"/>
        <v>Southbound</v>
      </c>
      <c r="U150" s="96">
        <f>COUNTIFS(Variables!$M$2:$M$19,IF(T150="NorthBound","&gt;=","&lt;=")&amp;Y150,Variables!$M$2:$M$19,IF(T150="NorthBound","&lt;=","&gt;=")&amp;Z150)</f>
        <v>12</v>
      </c>
      <c r="V150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23:24:35-0600',mode:absolute,to:'2016-07-17 02:02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0" s="74" t="str">
        <f t="shared" si="86"/>
        <v>N</v>
      </c>
      <c r="X150" s="92">
        <f t="shared" si="87"/>
        <v>1</v>
      </c>
      <c r="Y150" s="89">
        <f t="shared" si="88"/>
        <v>23.299199999999999</v>
      </c>
      <c r="Z150" s="89">
        <f t="shared" si="89"/>
        <v>3.6499999999999998E-2</v>
      </c>
      <c r="AA150" s="89">
        <f t="shared" si="90"/>
        <v>23.262699999999999</v>
      </c>
      <c r="AB150" s="86" t="e">
        <f>VLOOKUP(A150,Enforcements!$C$7:$J$23,8,0)</f>
        <v>#N/A</v>
      </c>
      <c r="AC150" s="82" t="e">
        <f>VLOOKUP(A150,Enforcements!$C$7:$E$23,3,0)</f>
        <v>#N/A</v>
      </c>
      <c r="AD150" s="83" t="str">
        <f t="shared" si="91"/>
        <v>0240-16</v>
      </c>
      <c r="AE150" s="75" t="str">
        <f t="shared" si="92"/>
        <v>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 &amp; aws s3 cp s3://rtdc.mdm.uploadarchive/RTDC4039/2016-07-18/ "C:\Users\stu\Documents\Analysis\2016-02-23 RTDC Observations"\RTDC4039\2016-07-18 --recursive &amp; "C:\Users\stu\Documents\GitHub\mrs-test-scripts\Headless Mode &amp; Sideloading\WalkAndUnGZ.bat" "C:\Users\stu\Documents\Analysis\2016-02-23 RTDC Observations"\RTDC4039\2016-07-18</v>
      </c>
      <c r="AF150" s="75" t="str">
        <f t="shared" si="93"/>
        <v>"C:\Program Files (x86)\AstroGrep\AstroGrep.exe" /spath="C:\Users\stu\Documents\Analysis\2016-02-23 RTDC Observations" /stypes="*4039*20160717*" /stext=" 07:.+((prompt.+disp)|(slice.+state.+chan)|(ment ac)|(system.+state.+chan)|(\|lc)|(penalty)|(\[timeout))" /e /r /s</v>
      </c>
      <c r="AG150" s="1" t="str">
        <f t="shared" si="94"/>
        <v>EC</v>
      </c>
    </row>
    <row r="151" spans="1:33" s="25" customFormat="1" x14ac:dyDescent="0.25">
      <c r="A151" s="49" t="s">
        <v>406</v>
      </c>
      <c r="B151" s="7">
        <v>4040</v>
      </c>
      <c r="C151" s="26" t="s">
        <v>59</v>
      </c>
      <c r="D151" s="26" t="s">
        <v>346</v>
      </c>
      <c r="E151" s="16">
        <v>42567.974548611113</v>
      </c>
      <c r="F151" s="16">
        <v>42567.975671296299</v>
      </c>
      <c r="G151" s="7">
        <v>1</v>
      </c>
      <c r="H151" s="16" t="s">
        <v>545</v>
      </c>
      <c r="I151" s="16">
        <v>42568.005706018521</v>
      </c>
      <c r="J151" s="7">
        <v>1</v>
      </c>
      <c r="K151" s="26" t="str">
        <f t="shared" si="81"/>
        <v>4039/4040</v>
      </c>
      <c r="L151" s="26" t="str">
        <f>VLOOKUP(A151,'Trips&amp;Operators'!$C$1:$E$10000,3,FALSE)</f>
        <v>NEWELL</v>
      </c>
      <c r="M151" s="6">
        <f t="shared" si="82"/>
        <v>3.0034722221898846E-2</v>
      </c>
      <c r="N151" s="7">
        <f t="shared" si="80"/>
        <v>43.249999999534339</v>
      </c>
      <c r="O151" s="7"/>
      <c r="P151" s="7"/>
      <c r="Q151" s="27"/>
      <c r="R151" s="27"/>
      <c r="S151" s="45">
        <f t="shared" si="83"/>
        <v>1</v>
      </c>
      <c r="T151" s="69" t="str">
        <f t="shared" si="84"/>
        <v>NorthBound</v>
      </c>
      <c r="U151" s="96">
        <f>COUNTIFS(Variables!$M$2:$M$19,IF(T151="NorthBound","&gt;=","&lt;=")&amp;Y151,Variables!$M$2:$M$19,IF(T151="NorthBound","&lt;=","&gt;=")&amp;Z151)</f>
        <v>12</v>
      </c>
      <c r="V151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22:23:21-0600',mode:absolute,to:'2016-07-17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74" t="str">
        <f t="shared" si="86"/>
        <v>N</v>
      </c>
      <c r="X151" s="92">
        <f t="shared" si="87"/>
        <v>1</v>
      </c>
      <c r="Y151" s="89">
        <f t="shared" si="88"/>
        <v>4.7300000000000002E-2</v>
      </c>
      <c r="Z151" s="89">
        <f t="shared" si="89"/>
        <v>23.331800000000001</v>
      </c>
      <c r="AA151" s="89">
        <f t="shared" si="90"/>
        <v>23.284500000000001</v>
      </c>
      <c r="AB151" s="86" t="e">
        <f>VLOOKUP(A151,Enforcements!$C$7:$J$23,8,0)</f>
        <v>#N/A</v>
      </c>
      <c r="AC151" s="82" t="e">
        <f>VLOOKUP(A151,Enforcements!$C$7:$E$23,3,0)</f>
        <v>#N/A</v>
      </c>
      <c r="AD151" s="83" t="str">
        <f t="shared" si="91"/>
        <v>0241-16</v>
      </c>
      <c r="AE151" s="75" t="str">
        <f t="shared" si="92"/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AF151" s="75" t="str">
        <f t="shared" si="93"/>
        <v>"C:\Program Files (x86)\AstroGrep\AstroGrep.exe" /spath="C:\Users\stu\Documents\Analysis\2016-02-23 RTDC Observations" /stypes="*4040*20160717*" /stext=" 06:.+((prompt.+disp)|(slice.+state.+chan)|(ment ac)|(system.+state.+chan)|(\|lc)|(penalty)|(\[timeout))" /e /r /s</v>
      </c>
      <c r="AG151" s="1" t="str">
        <f t="shared" si="94"/>
        <v>EC</v>
      </c>
    </row>
    <row r="152" spans="1:33" s="25" customFormat="1" x14ac:dyDescent="0.25">
      <c r="A152" s="49" t="s">
        <v>410</v>
      </c>
      <c r="B152" s="7">
        <v>4026</v>
      </c>
      <c r="C152" s="26" t="s">
        <v>59</v>
      </c>
      <c r="D152" s="26" t="s">
        <v>68</v>
      </c>
      <c r="E152" s="16">
        <v>42568.035590277781</v>
      </c>
      <c r="F152" s="16">
        <v>42568.036423611113</v>
      </c>
      <c r="G152" s="7">
        <v>1</v>
      </c>
      <c r="H152" s="16" t="s">
        <v>557</v>
      </c>
      <c r="I152" s="16">
        <v>42568.064560185187</v>
      </c>
      <c r="J152" s="7">
        <v>1</v>
      </c>
      <c r="K152" s="26" t="str">
        <f t="shared" si="81"/>
        <v>4025/4026</v>
      </c>
      <c r="L152" s="26" t="str">
        <f>VLOOKUP(A152,'Trips&amp;Operators'!$C$1:$E$10000,3,FALSE)</f>
        <v>CHANDLER</v>
      </c>
      <c r="M152" s="6">
        <f t="shared" si="82"/>
        <v>2.8136574073869269E-2</v>
      </c>
      <c r="N152" s="7">
        <f t="shared" si="80"/>
        <v>40.516666666371748</v>
      </c>
      <c r="O152" s="7"/>
      <c r="P152" s="7"/>
      <c r="Q152" s="27"/>
      <c r="R152" s="27"/>
      <c r="S152" s="45">
        <f t="shared" si="83"/>
        <v>1</v>
      </c>
      <c r="T152" s="69" t="str">
        <f t="shared" si="84"/>
        <v>Southbound</v>
      </c>
      <c r="U152" s="96">
        <f>COUNTIFS(Variables!$M$2:$M$19,IF(T152="NorthBound","&gt;=","&lt;=")&amp;Y152,Variables!$M$2:$M$19,IF(T152="NorthBound","&lt;=","&gt;=")&amp;Z152)</f>
        <v>12</v>
      </c>
      <c r="V152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23:51:15-0600',mode:absolute,to:'2016-07-17 02:32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2" s="74" t="str">
        <f t="shared" si="86"/>
        <v>N</v>
      </c>
      <c r="X152" s="92">
        <f t="shared" si="87"/>
        <v>1</v>
      </c>
      <c r="Y152" s="89">
        <f t="shared" si="88"/>
        <v>23.297699999999999</v>
      </c>
      <c r="Z152" s="89">
        <f t="shared" si="89"/>
        <v>2.0500000000000001E-2</v>
      </c>
      <c r="AA152" s="89">
        <f t="shared" si="90"/>
        <v>23.277200000000001</v>
      </c>
      <c r="AB152" s="86" t="e">
        <f>VLOOKUP(A152,Enforcements!$C$7:$J$23,8,0)</f>
        <v>#N/A</v>
      </c>
      <c r="AC152" s="82" t="e">
        <f>VLOOKUP(A152,Enforcements!$C$7:$E$23,3,0)</f>
        <v>#N/A</v>
      </c>
      <c r="AD152" s="83" t="str">
        <f t="shared" si="91"/>
        <v>0242-16</v>
      </c>
      <c r="AE152" s="75" t="str">
        <f t="shared" si="92"/>
        <v>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 &amp; 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</v>
      </c>
      <c r="AF152" s="75" t="str">
        <f t="shared" si="93"/>
        <v>"C:\Program Files (x86)\AstroGrep\AstroGrep.exe" /spath="C:\Users\stu\Documents\Analysis\2016-02-23 RTDC Observations" /stypes="*4026*20160717*" /stext=" 07:.+((prompt.+disp)|(slice.+state.+chan)|(ment ac)|(system.+state.+chan)|(\|lc)|(penalty)|(\[timeout))" /e /r /s</v>
      </c>
      <c r="AG152" s="1" t="str">
        <f t="shared" si="94"/>
        <v>EC</v>
      </c>
    </row>
    <row r="153" spans="1:33" s="25" customFormat="1" x14ac:dyDescent="0.25">
      <c r="A153" s="49" t="s">
        <v>365</v>
      </c>
      <c r="B153" s="7">
        <v>4025</v>
      </c>
      <c r="C153" s="26" t="s">
        <v>59</v>
      </c>
      <c r="D153" s="26" t="s">
        <v>259</v>
      </c>
      <c r="E153" s="16">
        <v>42567.995138888888</v>
      </c>
      <c r="F153" s="16">
        <v>42567.996793981481</v>
      </c>
      <c r="G153" s="7">
        <v>2</v>
      </c>
      <c r="H153" s="16" t="s">
        <v>168</v>
      </c>
      <c r="I153" s="16">
        <v>42568.025104166663</v>
      </c>
      <c r="J153" s="7">
        <v>1</v>
      </c>
      <c r="K153" s="26" t="str">
        <f t="shared" si="81"/>
        <v>4025/4026</v>
      </c>
      <c r="L153" s="26" t="str">
        <f>VLOOKUP(A153,'Trips&amp;Operators'!$C$1:$E$10000,3,FALSE)</f>
        <v>CHANDLER</v>
      </c>
      <c r="M153" s="6">
        <f t="shared" si="82"/>
        <v>2.8310185181908309E-2</v>
      </c>
      <c r="N153" s="7">
        <f t="shared" si="80"/>
        <v>40.766666661947966</v>
      </c>
      <c r="O153" s="7"/>
      <c r="P153" s="7"/>
      <c r="Q153" s="27"/>
      <c r="R153" s="27"/>
      <c r="S153" s="45">
        <f t="shared" si="83"/>
        <v>1</v>
      </c>
      <c r="T153" s="69" t="str">
        <f t="shared" si="84"/>
        <v>NorthBound</v>
      </c>
      <c r="U153" s="96">
        <f>COUNTIFS(Variables!$M$2:$M$19,IF(T153="NorthBound","&gt;=","&lt;=")&amp;Y153,Variables!$M$2:$M$19,IF(T153="NorthBound","&lt;=","&gt;=")&amp;Z153)</f>
        <v>12</v>
      </c>
      <c r="V153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22:53:00-0600',mode:absolute,to:'2016-07-17 01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74" t="str">
        <f t="shared" si="86"/>
        <v>N</v>
      </c>
      <c r="X153" s="92">
        <f t="shared" si="87"/>
        <v>1</v>
      </c>
      <c r="Y153" s="89">
        <f t="shared" si="88"/>
        <v>4.4900000000000002E-2</v>
      </c>
      <c r="Z153" s="89">
        <f t="shared" si="89"/>
        <v>23.330300000000001</v>
      </c>
      <c r="AA153" s="89">
        <f t="shared" si="90"/>
        <v>23.285400000000003</v>
      </c>
      <c r="AB153" s="86" t="e">
        <f>VLOOKUP(A153,Enforcements!$C$7:$J$23,8,0)</f>
        <v>#N/A</v>
      </c>
      <c r="AC153" s="82" t="e">
        <f>VLOOKUP(A153,Enforcements!$C$7:$E$23,3,0)</f>
        <v>#N/A</v>
      </c>
      <c r="AD153" s="83" t="str">
        <f t="shared" si="91"/>
        <v>0243-16</v>
      </c>
      <c r="AE153" s="75" t="str">
        <f t="shared" si="92"/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AF153" s="75" t="str">
        <f t="shared" si="93"/>
        <v>"C:\Program Files (x86)\AstroGrep\AstroGrep.exe" /spath="C:\Users\stu\Documents\Analysis\2016-02-23 RTDC Observations" /stypes="*4025*20160717*" /stext=" 06:.+((prompt.+disp)|(slice.+state.+chan)|(ment ac)|(system.+state.+chan)|(\|lc)|(penalty)|(\[timeout))" /e /r /s</v>
      </c>
      <c r="AG153" s="1" t="str">
        <f t="shared" si="94"/>
        <v>EC</v>
      </c>
    </row>
    <row r="154" spans="1:33" x14ac:dyDescent="0.25">
      <c r="A154" s="49" t="s">
        <v>465</v>
      </c>
      <c r="B154" s="7">
        <v>4019</v>
      </c>
      <c r="C154" s="26" t="s">
        <v>59</v>
      </c>
      <c r="D154" s="26" t="s">
        <v>276</v>
      </c>
      <c r="E154" s="16">
        <v>42568.051423611112</v>
      </c>
      <c r="F154" s="16">
        <v>42568.052465277775</v>
      </c>
      <c r="G154" s="7">
        <v>1</v>
      </c>
      <c r="H154" s="16" t="s">
        <v>344</v>
      </c>
      <c r="I154" s="16">
        <v>42568.086365740739</v>
      </c>
      <c r="J154" s="7">
        <v>1</v>
      </c>
      <c r="K154" s="26" t="str">
        <f t="shared" si="81"/>
        <v>4019/4020</v>
      </c>
      <c r="L154" s="26" t="str">
        <f>VLOOKUP(A154,'Trips&amp;Operators'!$C$1:$E$10000,3,FALSE)</f>
        <v>STURGEON</v>
      </c>
      <c r="M154" s="6">
        <f t="shared" si="82"/>
        <v>3.3900462964083999E-2</v>
      </c>
      <c r="N154" s="7">
        <f t="shared" si="80"/>
        <v>48.816666668280959</v>
      </c>
      <c r="O154" s="7"/>
      <c r="P154" s="7"/>
      <c r="Q154" s="27"/>
      <c r="R154" s="27"/>
      <c r="S154" s="45">
        <f t="shared" si="83"/>
        <v>1</v>
      </c>
      <c r="T154" s="69" t="str">
        <f t="shared" si="84"/>
        <v>Southbound</v>
      </c>
      <c r="U154" s="96">
        <f>COUNTIFS(Variables!$M$2:$M$19,IF(T154="NorthBound","&gt;=","&lt;=")&amp;Y154,Variables!$M$2:$M$19,IF(T154="NorthBound","&lt;=","&gt;=")&amp;Z154)</f>
        <v>12</v>
      </c>
      <c r="V154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https://search-rtdc-monitor-bjffxe2xuh6vdkpspy63sjmuny.us-east-1.es.amazonaws.com/_plugin/kibana/#/discover/Steve-Slow-Train-Analysis-(2080s-and-2083s)?_g=(refreshInterval:(display:Off,section:0,value:0),time:(from:'2016-07-17 00:14:03-0600',mode:absolute,to:'2016-07-17 03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4" s="74" t="str">
        <f t="shared" si="86"/>
        <v>N</v>
      </c>
      <c r="X154" s="92">
        <f t="shared" si="87"/>
        <v>1</v>
      </c>
      <c r="Y154" s="89">
        <f t="shared" si="88"/>
        <v>23.2957</v>
      </c>
      <c r="Z154" s="89">
        <f t="shared" si="89"/>
        <v>1.6E-2</v>
      </c>
      <c r="AA154" s="89">
        <f t="shared" si="90"/>
        <v>23.279700000000002</v>
      </c>
      <c r="AB154" s="86" t="e">
        <f>VLOOKUP(A154,Enforcements!$C$7:$J$23,8,0)</f>
        <v>#N/A</v>
      </c>
      <c r="AC154" s="82" t="e">
        <f>VLOOKUP(A154,Enforcements!$C$7:$E$23,3,0)</f>
        <v>#N/A</v>
      </c>
      <c r="AD154" s="83" t="str">
        <f t="shared" si="91"/>
        <v>0244-16</v>
      </c>
      <c r="AE154" s="75" t="str">
        <f t="shared" si="92"/>
        <v>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 &amp; aws s3 cp s3://rtdc.mdm.uploadarchive/RTDC4019/2016-07-18/ "C:\Users\stu\Documents\Analysis\2016-02-23 RTDC Observations"\RTDC4019\2016-07-18 --recursive &amp; "C:\Users\stu\Documents\GitHub\mrs-test-scripts\Headless Mode &amp; Sideloading\WalkAndUnGZ.bat" "C:\Users\stu\Documents\Analysis\2016-02-23 RTDC Observations"\RTDC4019\2016-07-18</v>
      </c>
      <c r="AF154" s="75" t="str">
        <f t="shared" si="93"/>
        <v>"C:\Program Files (x86)\AstroGrep\AstroGrep.exe" /spath="C:\Users\stu\Documents\Analysis\2016-02-23 RTDC Observations" /stypes="*4019*20160717*" /stext=" 08:.+((prompt.+disp)|(slice.+state.+chan)|(ment ac)|(system.+state.+chan)|(\|lc)|(penalty)|(\[timeout))" /e /r /s</v>
      </c>
      <c r="AG154" s="1" t="str">
        <f t="shared" si="94"/>
        <v>EC</v>
      </c>
    </row>
    <row r="155" spans="1:33" x14ac:dyDescent="0.25">
      <c r="A155" s="49" t="s">
        <v>404</v>
      </c>
      <c r="B155" s="7">
        <v>4020</v>
      </c>
      <c r="C155" s="26" t="s">
        <v>59</v>
      </c>
      <c r="D155" s="26" t="s">
        <v>245</v>
      </c>
      <c r="E155" s="16">
        <v>42568.015543981484</v>
      </c>
      <c r="F155" s="16">
        <v>42568.01667824074</v>
      </c>
      <c r="G155" s="7">
        <v>1</v>
      </c>
      <c r="H155" s="16" t="s">
        <v>588</v>
      </c>
      <c r="I155" s="16">
        <v>42568.046342592592</v>
      </c>
      <c r="J155" s="7">
        <v>1</v>
      </c>
      <c r="K155" s="26" t="str">
        <f t="shared" si="81"/>
        <v>4019/4020</v>
      </c>
      <c r="L155" s="26" t="str">
        <f>VLOOKUP(A155,'Trips&amp;Operators'!$C$1:$E$10000,3,FALSE)</f>
        <v>STURGEON</v>
      </c>
      <c r="M155" s="6">
        <f t="shared" si="82"/>
        <v>2.9664351852261461E-2</v>
      </c>
      <c r="N155" s="7">
        <f t="shared" si="80"/>
        <v>42.716666667256504</v>
      </c>
      <c r="O155" s="7"/>
      <c r="P155" s="7"/>
      <c r="Q155" s="27"/>
      <c r="R155" s="27"/>
      <c r="S155" s="45">
        <f t="shared" si="83"/>
        <v>1</v>
      </c>
      <c r="T155" s="69" t="str">
        <f t="shared" si="84"/>
        <v>NorthBound</v>
      </c>
      <c r="U155" s="96">
        <f>COUNTIFS(Variables!$M$2:$M$19,IF(T155="NorthBound","&gt;=","&lt;=")&amp;Y155,Variables!$M$2:$M$19,IF(T155="NorthBound","&lt;=","&gt;=")&amp;Z155)</f>
        <v>12</v>
      </c>
      <c r="V155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23:22:23-0600',mode:absolute,to:'2016-07-17 02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5" s="74" t="str">
        <f t="shared" si="86"/>
        <v>N</v>
      </c>
      <c r="X155" s="92">
        <f t="shared" si="87"/>
        <v>1</v>
      </c>
      <c r="Y155" s="89">
        <f t="shared" si="88"/>
        <v>4.9099999999999998E-2</v>
      </c>
      <c r="Z155" s="89">
        <f t="shared" si="89"/>
        <v>23.326599999999999</v>
      </c>
      <c r="AA155" s="89">
        <f t="shared" si="90"/>
        <v>23.2775</v>
      </c>
      <c r="AB155" s="86" t="e">
        <f>VLOOKUP(A155,Enforcements!$C$7:$J$23,8,0)</f>
        <v>#N/A</v>
      </c>
      <c r="AC155" s="82" t="e">
        <f>VLOOKUP(A155,Enforcements!$C$7:$E$23,3,0)</f>
        <v>#N/A</v>
      </c>
      <c r="AD155" s="83" t="str">
        <f t="shared" si="91"/>
        <v>0245-16</v>
      </c>
      <c r="AE155" s="75" t="str">
        <f t="shared" si="92"/>
        <v>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 &amp; aws s3 cp s3://rtdc.mdm.uploadarchive/RTDC4020/2016-07-18/ "C:\Users\stu\Documents\Analysis\2016-02-23 RTDC Observations"\RTDC4020\2016-07-18 --recursive &amp; "C:\Users\stu\Documents\GitHub\mrs-test-scripts\Headless Mode &amp; Sideloading\WalkAndUnGZ.bat" "C:\Users\stu\Documents\Analysis\2016-02-23 RTDC Observations"\RTDC4020\2016-07-18</v>
      </c>
      <c r="AF155" s="75" t="str">
        <f t="shared" si="93"/>
        <v>"C:\Program Files (x86)\AstroGrep\AstroGrep.exe" /spath="C:\Users\stu\Documents\Analysis\2016-02-23 RTDC Observations" /stypes="*4020*20160717*" /stext=" 07:.+((prompt.+disp)|(slice.+state.+chan)|(ment ac)|(system.+state.+chan)|(\|lc)|(penalty)|(\[timeout))" /e /r /s</v>
      </c>
      <c r="AG155" s="1" t="str">
        <f t="shared" si="94"/>
        <v>EC</v>
      </c>
    </row>
    <row r="156" spans="1:33" x14ac:dyDescent="0.25">
      <c r="A156" s="49" t="s">
        <v>363</v>
      </c>
      <c r="B156" s="7">
        <v>4010</v>
      </c>
      <c r="C156" s="26" t="s">
        <v>59</v>
      </c>
      <c r="D156" s="26" t="s">
        <v>352</v>
      </c>
      <c r="E156" s="16">
        <v>42567.076782407406</v>
      </c>
      <c r="F156" s="16">
        <v>42567.077881944446</v>
      </c>
      <c r="G156" s="7">
        <v>1</v>
      </c>
      <c r="H156" s="16" t="s">
        <v>364</v>
      </c>
      <c r="I156" s="16">
        <v>42567.105729166666</v>
      </c>
      <c r="J156" s="7">
        <v>1</v>
      </c>
      <c r="K156" s="26" t="str">
        <f t="shared" si="81"/>
        <v>4009/4010</v>
      </c>
      <c r="L156" s="26" t="str">
        <f>VLOOKUP(A156,'Trips&amp;Operators'!$C$1:$E$10000,3,FALSE)</f>
        <v>MOSES</v>
      </c>
      <c r="M156" s="6">
        <f t="shared" si="82"/>
        <v>2.7847222219861578E-2</v>
      </c>
      <c r="N156" s="7"/>
      <c r="O156" s="7"/>
      <c r="P156" s="7">
        <f t="shared" si="80"/>
        <v>40.099999996600673</v>
      </c>
      <c r="Q156" s="27"/>
      <c r="R156" s="27" t="s">
        <v>601</v>
      </c>
      <c r="S156" s="45">
        <f t="shared" si="83"/>
        <v>1</v>
      </c>
      <c r="T156" s="69" t="str">
        <f t="shared" si="84"/>
        <v>Southbound</v>
      </c>
      <c r="U156" s="96">
        <f>COUNTIFS(Variables!$M$2:$M$19,IF(T156="NorthBound","&gt;=","&lt;=")&amp;Y156,Variables!$M$2:$M$19,IF(T156="NorthBound","&lt;=","&gt;=")&amp;Z156)</f>
        <v>12</v>
      </c>
      <c r="V156" s="74" t="str">
        <f t="shared" si="85"/>
        <v>https://search-rtdc-monitor-bjffxe2xuh6vdkpspy63sjmuny.us-east-1.es.amazonaws.com/_plugin/kibana/#/discover/Steve-Slow-Train-Analysis-(2080s-and-2083s)?_g=(refreshInterval:(display:Off,section:0,value:0),time:(from:'2016-07-16 00:50:34-0600',mode:absolute,to:'2016-07-16 03:32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6" s="74" t="str">
        <f t="shared" si="86"/>
        <v>Y</v>
      </c>
      <c r="X156" s="92">
        <f t="shared" si="87"/>
        <v>1</v>
      </c>
      <c r="Y156" s="89">
        <f t="shared" si="88"/>
        <v>23.2973</v>
      </c>
      <c r="Z156" s="89">
        <f t="shared" si="89"/>
        <v>0.95660000000000001</v>
      </c>
      <c r="AA156" s="89">
        <f t="shared" si="90"/>
        <v>22.340699999999998</v>
      </c>
      <c r="AB156" s="86" t="e">
        <f>VLOOKUP(A156,Enforcements!$C$7:$J$23,8,0)</f>
        <v>#N/A</v>
      </c>
      <c r="AC156" s="82" t="e">
        <f>VLOOKUP(A156,Enforcements!$C$7:$E$23,3,0)</f>
        <v>#N/A</v>
      </c>
      <c r="AD156" s="83" t="str">
        <f t="shared" si="91"/>
        <v>0246-15</v>
      </c>
      <c r="AE156" s="75" t="str">
        <f t="shared" si="92"/>
        <v>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 &amp; 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</v>
      </c>
      <c r="AF156" s="75" t="str">
        <f t="shared" si="93"/>
        <v>"C:\Program Files (x86)\AstroGrep\AstroGrep.exe" /spath="C:\Users\stu\Documents\Analysis\2016-02-23 RTDC Observations" /stypes="*4010*20160716*" /stext=" 08:.+((prompt.+disp)|(slice.+state.+chan)|(ment ac)|(system.+state.+chan)|(\|lc)|(penalty)|(\[timeout))" /e /r /s</v>
      </c>
      <c r="AG156" s="1" t="str">
        <f t="shared" si="94"/>
        <v>EC</v>
      </c>
    </row>
    <row r="157" spans="1:33" x14ac:dyDescent="0.25">
      <c r="A157" s="49" t="s">
        <v>513</v>
      </c>
      <c r="B157" s="7">
        <v>4017</v>
      </c>
      <c r="C157" s="26" t="s">
        <v>59</v>
      </c>
      <c r="D157" s="26" t="s">
        <v>229</v>
      </c>
      <c r="E157" s="16">
        <v>42568.078680555554</v>
      </c>
      <c r="F157" s="16">
        <v>42568.07953703704</v>
      </c>
      <c r="G157" s="7">
        <v>1</v>
      </c>
      <c r="H157" s="16" t="s">
        <v>213</v>
      </c>
      <c r="I157" s="16">
        <v>42568.105833333335</v>
      </c>
      <c r="J157" s="7">
        <v>0</v>
      </c>
      <c r="K157" s="26" t="str">
        <f t="shared" ref="K157:K158" si="95">IF(ISEVEN(B157),(B157-1)&amp;"/"&amp;B157,B157&amp;"/"&amp;(B157+1))</f>
        <v>4017/4018</v>
      </c>
      <c r="L157" s="26" t="str">
        <f>VLOOKUP(A157,'Trips&amp;Operators'!$C$1:$E$10000,3,FALSE)</f>
        <v>LEVIN</v>
      </c>
      <c r="M157" s="6">
        <f t="shared" ref="M157:M158" si="96">I157-F157</f>
        <v>2.6296296295186039E-2</v>
      </c>
      <c r="N157" s="7">
        <f t="shared" si="80"/>
        <v>37.866666665067896</v>
      </c>
      <c r="O157" s="7"/>
      <c r="P157" s="7"/>
      <c r="Q157" s="27"/>
      <c r="R157" s="27"/>
      <c r="S157" s="45">
        <f t="shared" ref="S157:S158" si="97">SUM(U157:U157)/12</f>
        <v>1</v>
      </c>
      <c r="T157" s="69" t="str">
        <f t="shared" ref="T157:T158" si="98">IF(ISEVEN(LEFT(A157,3)),"Southbound","NorthBound")</f>
        <v>Southbound</v>
      </c>
      <c r="U157" s="96">
        <f>COUNTIFS(Variables!$M$2:$M$19,IF(T157="NorthBound","&gt;=","&lt;=")&amp;Y157,Variables!$M$2:$M$19,IF(T157="NorthBound","&lt;=","&gt;=")&amp;Z157)</f>
        <v>12</v>
      </c>
      <c r="V157" s="74" t="str">
        <f t="shared" ref="V157:V158" si="99">"https://search-rtdc-monitor-bjffxe2xuh6vdkpspy63sjmuny.us-east-1.es.amazonaws.com/_plugin/kibana/#/discover/Steve-Slow-Train-Analysis-(2080s-and-2083s)?_g=(refreshInterval:(display:Off,section:0,value:0),time:(from:'"&amp;TEXT(E157-1/24,"yyyy-MM-DD hh:mm:ss")&amp;"-0600',mode:absolute,to:'"&amp;TEXT(I157+1/24,"yyyy-MM-DD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157&amp;"%22')),sort:!(Time,asc))"</f>
        <v>https://search-rtdc-monitor-bjffxe2xuh6vdkpspy63sjmuny.us-east-1.es.amazonaws.com/_plugin/kibana/#/discover/Steve-Slow-Train-Analysis-(2080s-and-2083s)?_g=(refreshInterval:(display:Off,section:0,value:0),time:(from:'2016-07-17 00:53:18-0600',mode:absolute,to:'2016-07-17 03:32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7" s="74" t="str">
        <f t="shared" ref="W157:W158" si="100">IF(AA157&lt;23,"Y","N")</f>
        <v>N</v>
      </c>
      <c r="X157" s="92">
        <f t="shared" ref="X157:X158" si="101">VALUE(LEFT(A157,3))-VALUE(LEFT(A156,3))</f>
        <v>0</v>
      </c>
      <c r="Y157" s="89">
        <f t="shared" ref="Y157:Y158" si="102">RIGHT(D157,LEN(D157)-4)/10000</f>
        <v>23.2971</v>
      </c>
      <c r="Z157" s="89">
        <f t="shared" ref="Z157:Z158" si="103">RIGHT(H157,LEN(H157)-4)/10000</f>
        <v>1.41E-2</v>
      </c>
      <c r="AA157" s="89">
        <f t="shared" ref="AA157:AA158" si="104">ABS(Z157-Y157)</f>
        <v>23.283000000000001</v>
      </c>
      <c r="AB157" s="86" t="e">
        <f>VLOOKUP(A157,Enforcements!$C$7:$J$23,8,0)</f>
        <v>#N/A</v>
      </c>
      <c r="AC157" s="82" t="e">
        <f>VLOOKUP(A157,Enforcements!$C$7:$E$23,3,0)</f>
        <v>#N/A</v>
      </c>
      <c r="AD157" s="83" t="str">
        <f t="shared" ref="AD157:AD158" si="105">IF(LEN(A157)=6,"0"&amp;A157,A157)</f>
        <v>0246-16</v>
      </c>
      <c r="AE157" s="75" t="str">
        <f t="shared" ref="AE157:AE158" si="106">"aws s3 cp "&amp;s3_bucket&amp;"/RTDC"&amp;B157&amp;"/"&amp;TEXT(F157,"YYYY-MM-DD")&amp;"/ "&amp;search_path&amp;"\RTDC"&amp;B157&amp;"\"&amp;TEXT(F157,"YYYY-MM-DD")&amp;" --recursive &amp; """&amp;walkandungz&amp;""" "&amp;search_path&amp;"\RTDC"&amp;B157&amp;"\"&amp;TEXT(F157,"YYYY-MM-DD")
&amp;" &amp; "&amp;"aws s3 cp "&amp;s3_bucket&amp;"/RTDC"&amp;B157&amp;"/"&amp;TEXT(F157+1,"YYYY-MM-DD")&amp;"/ "&amp;search_path&amp;"\RTDC"&amp;B157&amp;"\"&amp;TEXT(F157+1,"YYYY-MM-DD")&amp;" --recursive &amp; """&amp;walkandungz&amp;""" "&amp;search_path&amp;"\RTDC"&amp;B157&amp;"\"&amp;TEXT(F157+1,"YYYY-MM-DD")</f>
        <v>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 &amp; 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</v>
      </c>
      <c r="AF157" s="75" t="str">
        <f t="shared" ref="AF157:AF158" si="107">astrogrep_path&amp;" /spath="&amp;search_path&amp;" /stypes=""*"&amp;B157&amp;"*"&amp;TEXT(I157-utc_offset/24,"YYYYMMDD")&amp;"*"" /stext="" "&amp;TEXT(I157-utc_offset/24,"HH")&amp;search_regexp&amp;""" /e /r /s"</f>
        <v>"C:\Program Files (x86)\AstroGrep\AstroGrep.exe" /spath="C:\Users\stu\Documents\Analysis\2016-02-23 RTDC Observations" /stypes="*4017*20160717*" /stext=" 08:.+((prompt.+disp)|(slice.+state.+chan)|(ment ac)|(system.+state.+chan)|(\|lc)|(penalty)|(\[timeout))" /e /r /s</v>
      </c>
      <c r="AG157" s="1" t="str">
        <f t="shared" ref="AG157:AG158" si="108">IF(VALUE(LEFT(A157,3))&lt;300,"EC","NWGL")</f>
        <v>EC</v>
      </c>
    </row>
    <row r="158" spans="1:33" x14ac:dyDescent="0.25">
      <c r="A158" s="49" t="s">
        <v>463</v>
      </c>
      <c r="B158" s="7">
        <v>4018</v>
      </c>
      <c r="C158" s="26" t="s">
        <v>59</v>
      </c>
      <c r="D158" s="26" t="s">
        <v>246</v>
      </c>
      <c r="E158" s="16">
        <v>42568.031469907408</v>
      </c>
      <c r="F158" s="16">
        <v>42568.03230324074</v>
      </c>
      <c r="G158" s="7">
        <v>1</v>
      </c>
      <c r="H158" s="16" t="s">
        <v>175</v>
      </c>
      <c r="I158" s="16">
        <v>42568.074317129627</v>
      </c>
      <c r="J158" s="7">
        <v>1</v>
      </c>
      <c r="K158" s="26" t="str">
        <f t="shared" si="95"/>
        <v>4017/4018</v>
      </c>
      <c r="L158" s="26" t="str">
        <f>VLOOKUP(A158,'Trips&amp;Operators'!$C$1:$E$10000,3,FALSE)</f>
        <v>LEVIN</v>
      </c>
      <c r="M158" s="6">
        <f t="shared" si="96"/>
        <v>4.2013888887595385E-2</v>
      </c>
      <c r="N158" s="7">
        <f t="shared" si="80"/>
        <v>60.499999998137355</v>
      </c>
      <c r="O158" s="7"/>
      <c r="P158" s="7"/>
      <c r="Q158" s="27"/>
      <c r="R158" s="27"/>
      <c r="S158" s="45">
        <f t="shared" si="97"/>
        <v>1</v>
      </c>
      <c r="T158" s="69" t="str">
        <f t="shared" si="98"/>
        <v>NorthBound</v>
      </c>
      <c r="U158" s="96">
        <f>COUNTIFS(Variables!$M$2:$M$19,IF(T158="NorthBound","&gt;=","&lt;=")&amp;Y158,Variables!$M$2:$M$19,IF(T158="NorthBound","&lt;=","&gt;=")&amp;Z158)</f>
        <v>12</v>
      </c>
      <c r="V158" s="74" t="str">
        <f t="shared" si="99"/>
        <v>https://search-rtdc-monitor-bjffxe2xuh6vdkpspy63sjmuny.us-east-1.es.amazonaws.com/_plugin/kibana/#/discover/Steve-Slow-Train-Analysis-(2080s-and-2083s)?_g=(refreshInterval:(display:Off,section:0,value:0),time:(from:'2016-07-16 23:45:19-0600',mode:absolute,to:'2016-07-17 02:47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8" s="74" t="str">
        <f t="shared" si="100"/>
        <v>N</v>
      </c>
      <c r="X158" s="92">
        <f t="shared" si="101"/>
        <v>1</v>
      </c>
      <c r="Y158" s="89">
        <f t="shared" si="102"/>
        <v>4.3999999999999997E-2</v>
      </c>
      <c r="Z158" s="89">
        <f t="shared" si="103"/>
        <v>23.3276</v>
      </c>
      <c r="AA158" s="89">
        <f t="shared" si="104"/>
        <v>23.2836</v>
      </c>
      <c r="AB158" s="86" t="e">
        <f>VLOOKUP(A158,Enforcements!$C$7:$J$23,8,0)</f>
        <v>#N/A</v>
      </c>
      <c r="AC158" s="82" t="e">
        <f>VLOOKUP(A158,Enforcements!$C$7:$E$23,3,0)</f>
        <v>#N/A</v>
      </c>
      <c r="AD158" s="83" t="str">
        <f t="shared" si="105"/>
        <v>0247-16</v>
      </c>
      <c r="AE158" s="75" t="str">
        <f t="shared" si="106"/>
        <v>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 &amp; 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</v>
      </c>
      <c r="AF158" s="75" t="str">
        <f t="shared" si="107"/>
        <v>"C:\Program Files (x86)\AstroGrep\AstroGrep.exe" /spath="C:\Users\stu\Documents\Analysis\2016-02-23 RTDC Observations" /stypes="*4018*20160717*" /stext=" 07:.+((prompt.+disp)|(slice.+state.+chan)|(ment ac)|(system.+state.+chan)|(\|lc)|(penalty)|(\[timeout))" /e /r /s</v>
      </c>
      <c r="AG158" s="1" t="str">
        <f t="shared" si="108"/>
        <v>EC</v>
      </c>
    </row>
  </sheetData>
  <autoFilter ref="A12:AD158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8">
    <cfRule type="expression" dxfId="5" priority="52">
      <formula>$O13&gt;0</formula>
    </cfRule>
  </conditionalFormatting>
  <conditionalFormatting sqref="A13:S158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5"/>
  <sheetViews>
    <sheetView zoomScale="85" zoomScaleNormal="85" workbookViewId="0">
      <selection activeCell="N29" sqref="N29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106</v>
      </c>
      <c r="L2" s="98"/>
      <c r="M2" s="100">
        <f>COUNTIF($M$7:$M$619,"=Y")</f>
        <v>17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107</v>
      </c>
      <c r="L3" s="99"/>
      <c r="M3" s="101">
        <f>COUNTA($M$7:$M$619)-M2</f>
        <v>52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09" t="str">
        <f>"Eagle P3 Braking Events - "&amp;TEXT(Variables!$A$2,"YYYY-mm-dd")</f>
        <v>Eagle P3 Braking Events - 2016-07-16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3"/>
      <c r="Q5" s="30"/>
      <c r="T5" s="68"/>
    </row>
    <row r="6" spans="1:22" s="1" customFormat="1" ht="105" x14ac:dyDescent="0.25">
      <c r="A6" s="11" t="s">
        <v>38</v>
      </c>
      <c r="B6" s="103" t="s">
        <v>37</v>
      </c>
      <c r="C6" s="103" t="s">
        <v>36</v>
      </c>
      <c r="D6" s="103" t="s">
        <v>35</v>
      </c>
      <c r="E6" s="103" t="s">
        <v>34</v>
      </c>
      <c r="F6" s="104" t="s">
        <v>33</v>
      </c>
      <c r="G6" s="104" t="s">
        <v>32</v>
      </c>
      <c r="H6" s="104" t="s">
        <v>31</v>
      </c>
      <c r="I6" s="103" t="s">
        <v>30</v>
      </c>
      <c r="J6" s="104" t="s">
        <v>29</v>
      </c>
      <c r="K6" s="103" t="s">
        <v>28</v>
      </c>
      <c r="L6" s="18" t="s">
        <v>48</v>
      </c>
      <c r="M6" s="103" t="s">
        <v>27</v>
      </c>
      <c r="N6" s="103" t="s">
        <v>24</v>
      </c>
      <c r="O6" s="69"/>
      <c r="P6" s="105" t="s">
        <v>161</v>
      </c>
      <c r="Q6" s="105" t="s">
        <v>69</v>
      </c>
      <c r="R6" s="106" t="s">
        <v>160</v>
      </c>
      <c r="S6" s="103" t="s">
        <v>154</v>
      </c>
      <c r="T6" s="107" t="s">
        <v>155</v>
      </c>
      <c r="U6" s="69" t="s">
        <v>173</v>
      </c>
      <c r="V6" s="69" t="s">
        <v>197</v>
      </c>
    </row>
    <row r="7" spans="1:22" s="1" customFormat="1" x14ac:dyDescent="0.25">
      <c r="A7" s="48">
        <v>42567.699062500003</v>
      </c>
      <c r="B7" s="65" t="s">
        <v>121</v>
      </c>
      <c r="C7" s="41" t="s">
        <v>449</v>
      </c>
      <c r="D7" s="41" t="s">
        <v>50</v>
      </c>
      <c r="E7" s="65" t="s">
        <v>516</v>
      </c>
      <c r="F7" s="66">
        <v>790</v>
      </c>
      <c r="G7" s="66">
        <v>196</v>
      </c>
      <c r="H7" s="66">
        <v>28503</v>
      </c>
      <c r="I7" s="65" t="s">
        <v>58</v>
      </c>
      <c r="J7" s="66">
        <v>68497</v>
      </c>
      <c r="K7" s="41" t="s">
        <v>54</v>
      </c>
      <c r="L7" s="93" t="str">
        <f>VLOOKUP(C7,'Trips&amp;Operators'!$C$1:$E$9999,3,0)</f>
        <v>STEWART</v>
      </c>
      <c r="M7" s="9" t="s">
        <v>589</v>
      </c>
      <c r="N7" s="10" t="s">
        <v>594</v>
      </c>
      <c r="O7" s="41"/>
      <c r="P7" s="72" t="str">
        <f>VLOOKUP(C7,'Train Runs'!$A$13:$AE$872,31,0)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7" s="70" t="str">
        <f>VLOOKUP(C7,'Train Runs'!$A$13:$AE$872,22,0)</f>
        <v>https://search-rtdc-monitor-bjffxe2xuh6vdkpspy63sjmuny.us-east-1.es.amazonaws.com/_plugin/kibana/#/discover/Steve-Slow-Train-Analysis-(2080s-and-2083s)?_g=(refreshInterval:(display:Off,section:0,value:0),time:(from:'2016-07-16 14:37:54-0600',mode:absolute,to:'2016-07-16 17:45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7" s="71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/stypes="*4030*20160716*" /stext=" 22:.+((prompt.+disp)|(slice.+state.+chan)|(ment ac)|(system.+state.+chan)|(\|lc)|(penalty)|(\[timeout))" /e /r /s</v>
      </c>
      <c r="S7" s="9" t="str">
        <f t="shared" ref="S7:S38" si="1">MID(B7,13,4)</f>
        <v>4030</v>
      </c>
      <c r="T7" s="48">
        <f t="shared" ref="T7:T38" si="2">A7+6/24</f>
        <v>42567.949062500003</v>
      </c>
      <c r="U7" s="69" t="str">
        <f t="shared" ref="U7:U38" si="3">IF(VALUE(LEFT(C7,3))&lt;300,"EC","NWGL")</f>
        <v>EC</v>
      </c>
      <c r="V7" s="69" t="str">
        <f t="shared" ref="V7:V38" si="4">IF(AND(E7="TRACK WARRANT AUTHORITY",G7&lt;10),"OMIT","KEEP")</f>
        <v>KEEP</v>
      </c>
    </row>
    <row r="8" spans="1:22" s="1" customFormat="1" x14ac:dyDescent="0.25">
      <c r="A8" s="48">
        <v>42567.601666666669</v>
      </c>
      <c r="B8" s="65" t="s">
        <v>76</v>
      </c>
      <c r="C8" s="41" t="s">
        <v>505</v>
      </c>
      <c r="D8" s="41" t="s">
        <v>50</v>
      </c>
      <c r="E8" s="65" t="s">
        <v>57</v>
      </c>
      <c r="F8" s="66">
        <v>150</v>
      </c>
      <c r="G8" s="66">
        <v>126</v>
      </c>
      <c r="H8" s="66">
        <v>1851</v>
      </c>
      <c r="I8" s="65" t="s">
        <v>58</v>
      </c>
      <c r="J8" s="66">
        <v>2096</v>
      </c>
      <c r="K8" s="41" t="s">
        <v>53</v>
      </c>
      <c r="L8" s="93" t="str">
        <f>VLOOKUP(C8,'Trips&amp;Operators'!$C$1:$E$9999,3,0)</f>
        <v>WEBSTER</v>
      </c>
      <c r="M8" s="9" t="s">
        <v>105</v>
      </c>
      <c r="N8" s="10"/>
      <c r="O8" s="41"/>
      <c r="P8" s="72" t="str">
        <f>VLOOKUP(C8,'Train Runs'!$A$13:$AE$872,31,0)</f>
        <v>aws s3 cp s3://rtdc.mdm.uploadarchive/RTDC4031/2016-07-16/ "C:\Users\stu\Documents\Analysis\2016-02-23 RTDC Observations"\RTDC4031\2016-07-16 --recursive &amp; "C:\Users\stu\Documents\GitHub\mrs-test-scripts\Headless Mode &amp; Sideloading\WalkAndUnGZ.bat" "C:\Users\stu\Documents\Analysis\2016-02-23 RTDC Observations"\RTDC4031\2016-07-16 &amp; 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</v>
      </c>
      <c r="Q8" s="70" t="str">
        <f>VLOOKUP(C8,'Train Runs'!$A$13:$AE$872,22,0)</f>
        <v>https://search-rtdc-monitor-bjffxe2xuh6vdkpspy63sjmuny.us-east-1.es.amazonaws.com/_plugin/kibana/#/discover/Steve-Slow-Train-Analysis-(2080s-and-2083s)?_g=(refreshInterval:(display:Off,section:0,value:0),time:(from:'2016-07-16 13:21:54-0600',mode:absolute,to:'2016-07-16 16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8" s="71" t="str">
        <f t="shared" si="0"/>
        <v>"C:\Program Files (x86)\AstroGrep\AstroGrep.exe" /spath="C:\Users\stu\Documents\Analysis\2016-02-23 RTDC Observations" /stypes="*4031*20160716*" /stext=" 20:.+((prompt.+disp)|(slice.+state.+chan)|(ment ac)|(system.+state.+chan)|(\|lc)|(penalty)|(\[timeout))" /e /r /s</v>
      </c>
      <c r="S8" s="9" t="str">
        <f t="shared" si="1"/>
        <v>4031</v>
      </c>
      <c r="T8" s="48">
        <f t="shared" si="2"/>
        <v>42567.851666666669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48">
        <v>42567.763356481482</v>
      </c>
      <c r="B9" s="65" t="s">
        <v>74</v>
      </c>
      <c r="C9" s="41" t="s">
        <v>383</v>
      </c>
      <c r="D9" s="41" t="s">
        <v>198</v>
      </c>
      <c r="E9" s="65" t="s">
        <v>57</v>
      </c>
      <c r="F9" s="66">
        <v>150</v>
      </c>
      <c r="G9" s="66">
        <v>201</v>
      </c>
      <c r="H9" s="66">
        <v>3600</v>
      </c>
      <c r="I9" s="65" t="s">
        <v>58</v>
      </c>
      <c r="J9" s="66">
        <v>2096</v>
      </c>
      <c r="K9" s="41" t="s">
        <v>53</v>
      </c>
      <c r="L9" s="93" t="str">
        <f>VLOOKUP(C9,'Trips&amp;Operators'!$C$1:$E$9999,3,0)</f>
        <v>CHANDLER</v>
      </c>
      <c r="M9" s="9" t="s">
        <v>105</v>
      </c>
      <c r="N9" s="10"/>
      <c r="O9" s="41"/>
      <c r="P9" s="72" t="str">
        <f>VLOOKUP(C9,'Train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9" s="70" t="str">
        <f>VLOOKUP(C9,'Train Runs'!$A$13:$AE$872,22,0)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9" s="71" t="str">
        <f t="shared" si="0"/>
        <v>"C:\Program Files (x86)\AstroGrep\AstroGrep.exe" /spath="C:\Users\stu\Documents\Analysis\2016-02-23 RTDC Observations" /stypes="*4018*20160717*" /stext=" 00:.+((prompt.+disp)|(slice.+state.+chan)|(ment ac)|(system.+state.+chan)|(\|lc)|(penalty)|(\[timeout))" /e /r /s</v>
      </c>
      <c r="S9" s="9" t="str">
        <f t="shared" si="1"/>
        <v>4018</v>
      </c>
      <c r="T9" s="48">
        <f t="shared" si="2"/>
        <v>42568.013356481482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48">
        <v>42567.853449074071</v>
      </c>
      <c r="B10" s="65" t="s">
        <v>75</v>
      </c>
      <c r="C10" s="41" t="s">
        <v>495</v>
      </c>
      <c r="D10" s="41" t="s">
        <v>50</v>
      </c>
      <c r="E10" s="65" t="s">
        <v>57</v>
      </c>
      <c r="F10" s="66">
        <v>450</v>
      </c>
      <c r="G10" s="66">
        <v>452</v>
      </c>
      <c r="H10" s="66">
        <v>17759</v>
      </c>
      <c r="I10" s="65" t="s">
        <v>58</v>
      </c>
      <c r="J10" s="66">
        <v>15167</v>
      </c>
      <c r="K10" s="41" t="s">
        <v>54</v>
      </c>
      <c r="L10" s="93" t="str">
        <f>VLOOKUP(C10,'Trips&amp;Operators'!$C$1:$E$9999,3,0)</f>
        <v>LEVIN</v>
      </c>
      <c r="M10" s="9" t="s">
        <v>105</v>
      </c>
      <c r="N10" s="10"/>
      <c r="O10" s="41"/>
      <c r="P10" s="72" t="str">
        <f>VLOOKUP(C10,'Train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10" s="70" t="str">
        <f>VLOOKUP(C10,'Train Runs'!$A$13:$AE$872,22,0)</f>
        <v>https://search-rtdc-monitor-bjffxe2xuh6vdkpspy63sjmuny.us-east-1.es.amazonaws.com/_plugin/kibana/#/discover/Steve-Slow-Train-Analysis-(2080s-and-2083s)?_g=(refreshInterval:(display:Off,section:0,value:0),time:(from:'2016-07-16 18:47:41-0600',mode:absolute,to:'2016-07-16 21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0" s="71" t="str">
        <f t="shared" si="0"/>
        <v>"C:\Program Files (x86)\AstroGrep\AstroGrep.exe" /spath="C:\Users\stu\Documents\Analysis\2016-02-23 RTDC Observations" /stypes="*4017*20160717*" /stext=" 02:.+((prompt.+disp)|(slice.+state.+chan)|(ment ac)|(system.+state.+chan)|(\|lc)|(penalty)|(\[timeout))" /e /r /s</v>
      </c>
      <c r="S10" s="9" t="str">
        <f t="shared" si="1"/>
        <v>4017</v>
      </c>
      <c r="T10" s="48">
        <f t="shared" si="2"/>
        <v>42568.103449074071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48">
        <v>42567.676504629628</v>
      </c>
      <c r="B11" s="65" t="s">
        <v>72</v>
      </c>
      <c r="C11" s="41" t="s">
        <v>500</v>
      </c>
      <c r="D11" s="41" t="s">
        <v>50</v>
      </c>
      <c r="E11" s="65" t="s">
        <v>57</v>
      </c>
      <c r="F11" s="66">
        <v>200</v>
      </c>
      <c r="G11" s="66">
        <v>235</v>
      </c>
      <c r="H11" s="66">
        <v>30432</v>
      </c>
      <c r="I11" s="65" t="s">
        <v>58</v>
      </c>
      <c r="J11" s="66">
        <v>30289</v>
      </c>
      <c r="K11" s="41" t="s">
        <v>54</v>
      </c>
      <c r="L11" s="93" t="str">
        <f>VLOOKUP(C11,'Trips&amp;Operators'!$C$1:$E$9999,3,0)</f>
        <v>MAYBERRY</v>
      </c>
      <c r="M11" s="9" t="s">
        <v>105</v>
      </c>
      <c r="N11" s="10"/>
      <c r="O11" s="41"/>
      <c r="P11" s="72" t="str">
        <f>VLOOKUP(C11,'Train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1" s="70" t="str">
        <f>VLOOKUP(C11,'Train Runs'!$A$13:$AE$872,22,0)</f>
        <v>https://search-rtdc-monitor-bjffxe2xuh6vdkpspy63sjmuny.us-east-1.es.amazonaws.com/_plugin/kibana/#/discover/Steve-Slow-Train-Analysis-(2080s-and-2083s)?_g=(refreshInterval:(display:Off,section:0,value:0),time:(from:'2016-07-16 13:52:44-0600',mode:absolute,to:'2016-07-16 16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1" s="71" t="str">
        <f t="shared" si="0"/>
        <v>"C:\Program Files (x86)\AstroGrep\AstroGrep.exe" /spath="C:\Users\stu\Documents\Analysis\2016-02-23 RTDC Observations" /stypes="*4019*20160716*" /stext=" 22:.+((prompt.+disp)|(slice.+state.+chan)|(ment ac)|(system.+state.+chan)|(\|lc)|(penalty)|(\[timeout))" /e /r /s</v>
      </c>
      <c r="S11" s="9" t="str">
        <f t="shared" si="1"/>
        <v>4019</v>
      </c>
      <c r="T11" s="48">
        <f t="shared" si="2"/>
        <v>42567.926504629628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48">
        <v>42567.194895833331</v>
      </c>
      <c r="B12" s="65" t="s">
        <v>72</v>
      </c>
      <c r="C12" s="41" t="s">
        <v>469</v>
      </c>
      <c r="D12" s="41" t="s">
        <v>50</v>
      </c>
      <c r="E12" s="65" t="s">
        <v>57</v>
      </c>
      <c r="F12" s="66">
        <v>200</v>
      </c>
      <c r="G12" s="66">
        <v>194</v>
      </c>
      <c r="H12" s="66">
        <v>30750</v>
      </c>
      <c r="I12" s="65" t="s">
        <v>58</v>
      </c>
      <c r="J12" s="66">
        <v>30562</v>
      </c>
      <c r="K12" s="41" t="s">
        <v>54</v>
      </c>
      <c r="L12" s="93" t="str">
        <f>VLOOKUP(C12,'Trips&amp;Operators'!$C$1:$E$9999,3,0)</f>
        <v>SANTIZO</v>
      </c>
      <c r="M12" s="9" t="s">
        <v>105</v>
      </c>
      <c r="N12" s="10"/>
      <c r="O12" s="41"/>
      <c r="P12" s="72" t="str">
        <f>VLOOKUP(C12,'Train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2" s="70" t="str">
        <f>VLOOKUP(C12,'Train Runs'!$A$13:$AE$872,22,0)</f>
        <v>https://search-rtdc-monitor-bjffxe2xuh6vdkpspy63sjmuny.us-east-1.es.amazonaws.com/_plugin/kibana/#/discover/Steve-Slow-Train-Analysis-(2080s-and-2083s)?_g=(refreshInterval:(display:Off,section:0,value:0),time:(from:'2016-07-16 02:56:35-0600',mode:absolute,to:'2016-07-16 05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2" s="71" t="str">
        <f t="shared" si="0"/>
        <v>"C:\Program Files (x86)\AstroGrep\AstroGrep.exe" /spath="C:\Users\stu\Documents\Analysis\2016-02-23 RTDC Observations" /stypes="*4019*20160716*" /stext=" 10:.+((prompt.+disp)|(slice.+state.+chan)|(ment ac)|(system.+state.+chan)|(\|lc)|(penalty)|(\[timeout))" /e /r /s</v>
      </c>
      <c r="S12" s="9" t="str">
        <f t="shared" si="1"/>
        <v>4019</v>
      </c>
      <c r="T12" s="48">
        <f t="shared" si="2"/>
        <v>42567.444895833331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48">
        <v>42567.576261574075</v>
      </c>
      <c r="B13" s="65" t="s">
        <v>72</v>
      </c>
      <c r="C13" s="41" t="s">
        <v>506</v>
      </c>
      <c r="D13" s="41" t="s">
        <v>50</v>
      </c>
      <c r="E13" s="65" t="s">
        <v>57</v>
      </c>
      <c r="F13" s="66">
        <v>200</v>
      </c>
      <c r="G13" s="66">
        <v>268</v>
      </c>
      <c r="H13" s="66">
        <v>31240</v>
      </c>
      <c r="I13" s="65" t="s">
        <v>58</v>
      </c>
      <c r="J13" s="66">
        <v>30562</v>
      </c>
      <c r="K13" s="41" t="s">
        <v>54</v>
      </c>
      <c r="L13" s="93" t="str">
        <f>VLOOKUP(C13,'Trips&amp;Operators'!$C$1:$E$9999,3,0)</f>
        <v>MAYBERRY</v>
      </c>
      <c r="M13" s="9" t="s">
        <v>105</v>
      </c>
      <c r="N13" s="10"/>
      <c r="O13" s="41"/>
      <c r="P13" s="72" t="str">
        <f>VLOOKUP(C13,'Train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3" s="70" t="str">
        <f>VLOOKUP(C13,'Train Runs'!$A$13:$AE$872,22,0)</f>
        <v>https://search-rtdc-monitor-bjffxe2xuh6vdkpspy63sjmuny.us-east-1.es.amazonaws.com/_plugin/kibana/#/discover/Steve-Slow-Train-Analysis-(2080s-and-2083s)?_g=(refreshInterval:(display:Off,section:0,value:0),time:(from:'2016-07-16 11:52:47-0600',mode:absolute,to:'2016-07-16 14:58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3" s="71" t="str">
        <f t="shared" si="0"/>
        <v>"C:\Program Files (x86)\AstroGrep\AstroGrep.exe" /spath="C:\Users\stu\Documents\Analysis\2016-02-23 RTDC Observations" /stypes="*4019*20160716*" /stext=" 19:.+((prompt.+disp)|(slice.+state.+chan)|(ment ac)|(system.+state.+chan)|(\|lc)|(penalty)|(\[timeout))" /e /r /s</v>
      </c>
      <c r="S13" s="9" t="str">
        <f t="shared" si="1"/>
        <v>4019</v>
      </c>
      <c r="T13" s="48">
        <f t="shared" si="2"/>
        <v>42567.826261574075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48">
        <v>42567.692800925928</v>
      </c>
      <c r="B14" s="65" t="s">
        <v>75</v>
      </c>
      <c r="C14" s="41" t="s">
        <v>447</v>
      </c>
      <c r="D14" s="41" t="s">
        <v>50</v>
      </c>
      <c r="E14" s="65" t="s">
        <v>57</v>
      </c>
      <c r="F14" s="66">
        <v>450</v>
      </c>
      <c r="G14" s="66">
        <v>442</v>
      </c>
      <c r="H14" s="66">
        <v>105048</v>
      </c>
      <c r="I14" s="65" t="s">
        <v>58</v>
      </c>
      <c r="J14" s="66">
        <v>104646</v>
      </c>
      <c r="K14" s="41" t="s">
        <v>54</v>
      </c>
      <c r="L14" s="93" t="str">
        <f>VLOOKUP(C14,'Trips&amp;Operators'!$C$1:$E$9999,3,0)</f>
        <v>STORY</v>
      </c>
      <c r="M14" s="9" t="s">
        <v>105</v>
      </c>
      <c r="N14" s="10"/>
      <c r="O14" s="41"/>
      <c r="P14" s="72" t="str">
        <f>VLOOKUP(C14,'Train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14" s="70" t="str">
        <f>VLOOKUP(C14,'Train Runs'!$A$13:$AE$872,22,0)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4" s="71" t="str">
        <f t="shared" si="0"/>
        <v>"C:\Program Files (x86)\AstroGrep\AstroGrep.exe" /spath="C:\Users\stu\Documents\Analysis\2016-02-23 RTDC Observations" /stypes="*4017*20160716*" /stext=" 22:.+((prompt.+disp)|(slice.+state.+chan)|(ment ac)|(system.+state.+chan)|(\|lc)|(penalty)|(\[timeout))" /e /r /s</v>
      </c>
      <c r="S14" s="9" t="str">
        <f t="shared" si="1"/>
        <v>4017</v>
      </c>
      <c r="T14" s="48">
        <f t="shared" si="2"/>
        <v>42567.942800925928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48">
        <v>42567.754120370373</v>
      </c>
      <c r="B15" s="65" t="s">
        <v>72</v>
      </c>
      <c r="C15" s="41" t="s">
        <v>438</v>
      </c>
      <c r="D15" s="41" t="s">
        <v>50</v>
      </c>
      <c r="E15" s="41" t="s">
        <v>57</v>
      </c>
      <c r="F15" s="66">
        <v>450</v>
      </c>
      <c r="G15" s="66">
        <v>586</v>
      </c>
      <c r="H15" s="66">
        <v>158761</v>
      </c>
      <c r="I15" s="41" t="s">
        <v>58</v>
      </c>
      <c r="J15" s="66">
        <v>156300</v>
      </c>
      <c r="K15" s="41" t="s">
        <v>54</v>
      </c>
      <c r="L15" s="93" t="str">
        <f>VLOOKUP(C15,'Trips&amp;Operators'!$C$1:$E$9999,3,0)</f>
        <v>MAYBERRY</v>
      </c>
      <c r="M15" s="9" t="s">
        <v>105</v>
      </c>
      <c r="N15" s="10"/>
      <c r="O15" s="41"/>
      <c r="P15" s="72" t="str">
        <f>VLOOKUP(C15,'Train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15" s="70" t="str">
        <f>VLOOKUP(C15,'Train Runs'!$A$13:$AE$872,22,0)</f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5" s="71" t="str">
        <f t="shared" si="0"/>
        <v>"C:\Program Files (x86)\AstroGrep\AstroGrep.exe" /spath="C:\Users\stu\Documents\Analysis\2016-02-23 RTDC Observations" /stypes="*4019*20160717*" /stext=" 00:.+((prompt.+disp)|(slice.+state.+chan)|(ment ac)|(system.+state.+chan)|(\|lc)|(penalty)|(\[timeout))" /e /r /s</v>
      </c>
      <c r="S15" s="9" t="str">
        <f t="shared" si="1"/>
        <v>4019</v>
      </c>
      <c r="T15" s="48">
        <f t="shared" si="2"/>
        <v>42568.004120370373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48">
        <v>42567.786099537036</v>
      </c>
      <c r="B16" s="65" t="s">
        <v>139</v>
      </c>
      <c r="C16" s="41" t="s">
        <v>374</v>
      </c>
      <c r="D16" s="41" t="s">
        <v>198</v>
      </c>
      <c r="E16" s="65" t="s">
        <v>57</v>
      </c>
      <c r="F16" s="66">
        <v>700</v>
      </c>
      <c r="G16" s="66">
        <v>752</v>
      </c>
      <c r="H16" s="66">
        <v>180016</v>
      </c>
      <c r="I16" s="65" t="s">
        <v>58</v>
      </c>
      <c r="J16" s="66">
        <v>183829</v>
      </c>
      <c r="K16" s="41" t="s">
        <v>54</v>
      </c>
      <c r="L16" s="93" t="str">
        <f>VLOOKUP(C16,'Trips&amp;Operators'!$C$1:$E$9999,3,0)</f>
        <v>BRUDER</v>
      </c>
      <c r="M16" s="9" t="s">
        <v>105</v>
      </c>
      <c r="N16" s="10"/>
      <c r="O16" s="41"/>
      <c r="P16" s="72" t="str">
        <f>VLOOKUP(C16,'Train Runs'!$A$13:$AE$872,31,0)</f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Q16" s="70" t="str">
        <f>VLOOKUP(C16,'Train Runs'!$A$13:$AE$872,22,0)</f>
        <v>https://search-rtdc-monitor-bjffxe2xuh6vdkpspy63sjmuny.us-east-1.es.amazonaws.com/_plugin/kibana/#/discover/Steve-Slow-Train-Analysis-(2080s-and-2083s)?_g=(refreshInterval:(display:Off,section:0,value:0),time:(from:'2016-07-16 17:39:23-0600',mode:absolute,to:'2016-07-16 20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6" s="71" t="str">
        <f t="shared" si="0"/>
        <v>"C:\Program Files (x86)\AstroGrep\AstroGrep.exe" /spath="C:\Users\stu\Documents\Analysis\2016-02-23 RTDC Observations" /stypes="*4039*20160717*" /stext=" 00:.+((prompt.+disp)|(slice.+state.+chan)|(ment ac)|(system.+state.+chan)|(\|lc)|(penalty)|(\[timeout))" /e /r /s</v>
      </c>
      <c r="S16" s="9" t="str">
        <f t="shared" si="1"/>
        <v>4039</v>
      </c>
      <c r="T16" s="48">
        <f t="shared" si="2"/>
        <v>42568.036099537036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48">
        <v>42567.314571759256</v>
      </c>
      <c r="B17" s="65" t="s">
        <v>211</v>
      </c>
      <c r="C17" s="41" t="s">
        <v>429</v>
      </c>
      <c r="D17" s="41" t="s">
        <v>198</v>
      </c>
      <c r="E17" s="65" t="s">
        <v>57</v>
      </c>
      <c r="F17" s="66">
        <v>600</v>
      </c>
      <c r="G17" s="66">
        <v>658</v>
      </c>
      <c r="H17" s="66">
        <v>184419</v>
      </c>
      <c r="I17" s="65" t="s">
        <v>58</v>
      </c>
      <c r="J17" s="66">
        <v>190834</v>
      </c>
      <c r="K17" s="41" t="s">
        <v>54</v>
      </c>
      <c r="L17" s="93" t="str">
        <f>VLOOKUP(C17,'Trips&amp;Operators'!$C$1:$E$9999,3,0)</f>
        <v>BRANNON</v>
      </c>
      <c r="M17" s="9" t="s">
        <v>105</v>
      </c>
      <c r="N17" s="10"/>
      <c r="O17" s="41"/>
      <c r="P17" s="72" t="str">
        <f>VLOOKUP(C17,'Train Runs'!$A$13:$AE$872,31,0)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17" s="70" t="str">
        <f>VLOOKUP(C17,'Train Runs'!$A$13:$AE$872,22,0)</f>
        <v>https://search-rtdc-monitor-bjffxe2xuh6vdkpspy63sjmuny.us-east-1.es.amazonaws.com/_plugin/kibana/#/discover/Steve-Slow-Train-Analysis-(2080s-and-2083s)?_g=(refreshInterval:(display:Off,section:0,value:0),time:(from:'2016-07-16 06:16:34-0600',mode:absolute,to:'2016-07-16 09:02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7" s="71" t="str">
        <f t="shared" si="0"/>
        <v>"C:\Program Files (x86)\AstroGrep\AstroGrep.exe" /spath="C:\Users\stu\Documents\Analysis\2016-02-23 RTDC Observations" /stypes="*4041*20160716*" /stext=" 13:.+((prompt.+disp)|(slice.+state.+chan)|(ment ac)|(system.+state.+chan)|(\|lc)|(penalty)|(\[timeout))" /e /r /s</v>
      </c>
      <c r="S17" s="9" t="str">
        <f t="shared" si="1"/>
        <v>4041</v>
      </c>
      <c r="T17" s="48">
        <f t="shared" si="2"/>
        <v>42567.564571759256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48">
        <v>42567.605902777781</v>
      </c>
      <c r="B18" s="65" t="s">
        <v>211</v>
      </c>
      <c r="C18" s="41" t="s">
        <v>503</v>
      </c>
      <c r="D18" s="41" t="s">
        <v>198</v>
      </c>
      <c r="E18" s="65" t="s">
        <v>57</v>
      </c>
      <c r="F18" s="66">
        <v>600</v>
      </c>
      <c r="G18" s="66">
        <v>650</v>
      </c>
      <c r="H18" s="66">
        <v>184463</v>
      </c>
      <c r="I18" s="65" t="s">
        <v>58</v>
      </c>
      <c r="J18" s="66">
        <v>190834</v>
      </c>
      <c r="K18" s="41" t="s">
        <v>54</v>
      </c>
      <c r="L18" s="93" t="str">
        <f>VLOOKUP(C18,'Trips&amp;Operators'!$C$1:$E$9999,3,0)</f>
        <v>HELVIE</v>
      </c>
      <c r="M18" s="9" t="s">
        <v>105</v>
      </c>
      <c r="N18" s="10"/>
      <c r="O18" s="41"/>
      <c r="P18" s="72" t="str">
        <f>VLOOKUP(C18,'Train Runs'!$A$13:$AE$872,31,0)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18" s="70" t="str">
        <f>VLOOKUP(C18,'Train Runs'!$A$13:$AE$872,22,0)</f>
        <v>https://search-rtdc-monitor-bjffxe2xuh6vdkpspy63sjmuny.us-east-1.es.amazonaws.com/_plugin/kibana/#/discover/Steve-Slow-Train-Analysis-(2080s-and-2083s)?_g=(refreshInterval:(display:Off,section:0,value:0),time:(from:'2016-07-16 13:22:01-0600',mode:absolute,to:'2016-07-16 16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8" s="71" t="str">
        <f t="shared" si="0"/>
        <v>"C:\Program Files (x86)\AstroGrep\AstroGrep.exe" /spath="C:\Users\stu\Documents\Analysis\2016-02-23 RTDC Observations" /stypes="*4041*20160716*" /stext=" 20:.+((prompt.+disp)|(slice.+state.+chan)|(ment ac)|(system.+state.+chan)|(\|lc)|(penalty)|(\[timeout))" /e /r /s</v>
      </c>
      <c r="S18" s="9" t="str">
        <f t="shared" si="1"/>
        <v>4041</v>
      </c>
      <c r="T18" s="48">
        <f t="shared" si="2"/>
        <v>42567.855902777781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48">
        <v>42567.731469907405</v>
      </c>
      <c r="B19" s="65" t="s">
        <v>73</v>
      </c>
      <c r="C19" s="41" t="s">
        <v>443</v>
      </c>
      <c r="D19" s="41" t="s">
        <v>50</v>
      </c>
      <c r="E19" s="65" t="s">
        <v>57</v>
      </c>
      <c r="F19" s="66">
        <v>350</v>
      </c>
      <c r="G19" s="66">
        <v>497</v>
      </c>
      <c r="H19" s="66">
        <v>223129</v>
      </c>
      <c r="I19" s="65" t="s">
        <v>58</v>
      </c>
      <c r="J19" s="66">
        <v>224578</v>
      </c>
      <c r="K19" s="41" t="s">
        <v>53</v>
      </c>
      <c r="L19" s="93" t="str">
        <f>VLOOKUP(C19,'Trips&amp;Operators'!$C$1:$E$9999,3,0)</f>
        <v>MAYBERRY</v>
      </c>
      <c r="M19" s="9" t="s">
        <v>105</v>
      </c>
      <c r="N19" s="10"/>
      <c r="O19" s="41"/>
      <c r="P19" s="72" t="str">
        <f>VLOOKUP(C19,'Train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19" s="70" t="str">
        <f>VLOOKUP(C19,'Train Runs'!$A$13:$AE$872,22,0)</f>
        <v>https://search-rtdc-monitor-bjffxe2xuh6vdkpspy63sjmuny.us-east-1.es.amazonaws.com/_plugin/kibana/#/discover/Steve-Slow-Train-Analysis-(2080s-and-2083s)?_g=(refreshInterval:(display:Off,section:0,value:0),time:(from:'2016-07-16 15:28:12-0600',mode:absolute,to:'2016-07-16 18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19" s="71" t="str">
        <f t="shared" si="0"/>
        <v>"C:\Program Files (x86)\AstroGrep\AstroGrep.exe" /spath="C:\Users\stu\Documents\Analysis\2016-02-23 RTDC Observations" /stypes="*4020*20160716*" /stext=" 23:.+((prompt.+disp)|(slice.+state.+chan)|(ment ac)|(system.+state.+chan)|(\|lc)|(penalty)|(\[timeout))" /e /r /s</v>
      </c>
      <c r="S19" s="9" t="str">
        <f t="shared" si="1"/>
        <v>4020</v>
      </c>
      <c r="T19" s="48">
        <f t="shared" si="2"/>
        <v>42567.981469907405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48">
        <v>42567.510023148148</v>
      </c>
      <c r="B20" s="65" t="s">
        <v>75</v>
      </c>
      <c r="C20" s="41" t="s">
        <v>488</v>
      </c>
      <c r="D20" s="41" t="s">
        <v>198</v>
      </c>
      <c r="E20" s="65" t="s">
        <v>57</v>
      </c>
      <c r="F20" s="66">
        <v>350</v>
      </c>
      <c r="G20" s="66">
        <v>402</v>
      </c>
      <c r="H20" s="66">
        <v>225922</v>
      </c>
      <c r="I20" s="65" t="s">
        <v>58</v>
      </c>
      <c r="J20" s="66">
        <v>228668</v>
      </c>
      <c r="K20" s="41" t="s">
        <v>54</v>
      </c>
      <c r="L20" s="93" t="str">
        <f>VLOOKUP(C20,'Trips&amp;Operators'!$C$1:$E$9999,3,0)</f>
        <v>HAUSER</v>
      </c>
      <c r="M20" s="9" t="s">
        <v>105</v>
      </c>
      <c r="N20" s="10"/>
      <c r="O20" s="41"/>
      <c r="P20" s="72" t="str">
        <f>VLOOKUP(C20,'Train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0" s="70" t="str">
        <f>VLOOKUP(C20,'Train Runs'!$A$13:$AE$872,22,0)</f>
        <v>https://search-rtdc-monitor-bjffxe2xuh6vdkpspy63sjmuny.us-east-1.es.amazonaws.com/_plugin/kibana/#/discover/Steve-Slow-Train-Analysis-(2080s-and-2083s)?_g=(refreshInterval:(display:Off,section:0,value:0),time:(from:'2016-07-16 11:05:42-0600',mode:absolute,to:'2016-07-16 13:50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0" s="71" t="str">
        <f t="shared" si="0"/>
        <v>"C:\Program Files (x86)\AstroGrep\AstroGrep.exe" /spath="C:\Users\stu\Documents\Analysis\2016-02-23 RTDC Observations" /stypes="*4017*20160716*" /stext=" 18:.+((prompt.+disp)|(slice.+state.+chan)|(ment ac)|(system.+state.+chan)|(\|lc)|(penalty)|(\[timeout))" /e /r /s</v>
      </c>
      <c r="S20" s="9" t="str">
        <f t="shared" si="1"/>
        <v>4017</v>
      </c>
      <c r="T20" s="48">
        <f t="shared" si="2"/>
        <v>42567.760023148148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48">
        <v>42567.793425925927</v>
      </c>
      <c r="B21" s="41" t="s">
        <v>119</v>
      </c>
      <c r="C21" s="41" t="s">
        <v>496</v>
      </c>
      <c r="D21" s="41" t="s">
        <v>198</v>
      </c>
      <c r="E21" s="41" t="s">
        <v>57</v>
      </c>
      <c r="F21" s="66">
        <v>350</v>
      </c>
      <c r="G21" s="66">
        <v>406</v>
      </c>
      <c r="H21" s="66">
        <v>225413</v>
      </c>
      <c r="I21" s="41" t="s">
        <v>58</v>
      </c>
      <c r="J21" s="66">
        <v>228668</v>
      </c>
      <c r="K21" s="41" t="s">
        <v>54</v>
      </c>
      <c r="L21" s="93" t="str">
        <f>VLOOKUP(C21,'Trips&amp;Operators'!$C$1:$E$9999,3,0)</f>
        <v>KILLION</v>
      </c>
      <c r="M21" s="9" t="s">
        <v>105</v>
      </c>
      <c r="N21" s="10"/>
      <c r="O21" s="41"/>
      <c r="P21" s="72" t="str">
        <f>VLOOKUP(C21,'Train Runs'!$A$13:$AE$872,31,0)</f>
        <v>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 &amp; 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</v>
      </c>
      <c r="Q21" s="70" t="str">
        <f>VLOOKUP(C21,'Train Runs'!$A$13:$AE$872,22,0)</f>
        <v>https://search-rtdc-monitor-bjffxe2xuh6vdkpspy63sjmuny.us-east-1.es.amazonaws.com/_plugin/kibana/#/discover/Steve-Slow-Train-Analysis-(2080s-and-2083s)?_g=(refreshInterval:(display:Off,section:0,value:0),time:(from:'2016-07-16 17:54:02-0600',mode:absolute,to:'2016-07-16 20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1" s="71" t="str">
        <f t="shared" si="0"/>
        <v>"C:\Program Files (x86)\AstroGrep\AstroGrep.exe" /spath="C:\Users\stu\Documents\Analysis\2016-02-23 RTDC Observations" /stypes="*4037*20160717*" /stext=" 01:.+((prompt.+disp)|(slice.+state.+chan)|(ment ac)|(system.+state.+chan)|(\|lc)|(penalty)|(\[timeout))" /e /r /s</v>
      </c>
      <c r="S21" s="9" t="str">
        <f t="shared" si="1"/>
        <v>4037</v>
      </c>
      <c r="T21" s="48">
        <f t="shared" si="2"/>
        <v>42568.043425925927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48">
        <v>42567.831666666665</v>
      </c>
      <c r="B22" s="65" t="s">
        <v>75</v>
      </c>
      <c r="C22" s="41" t="s">
        <v>495</v>
      </c>
      <c r="D22" s="41" t="s">
        <v>50</v>
      </c>
      <c r="E22" s="65" t="s">
        <v>57</v>
      </c>
      <c r="F22" s="66">
        <v>150</v>
      </c>
      <c r="G22" s="66">
        <v>211</v>
      </c>
      <c r="H22" s="66">
        <v>229894</v>
      </c>
      <c r="I22" s="65" t="s">
        <v>58</v>
      </c>
      <c r="J22" s="66">
        <v>229055</v>
      </c>
      <c r="K22" s="41" t="s">
        <v>54</v>
      </c>
      <c r="L22" s="93" t="str">
        <f>VLOOKUP(C22,'Trips&amp;Operators'!$C$1:$E$9999,3,0)</f>
        <v>LEVIN</v>
      </c>
      <c r="M22" s="9" t="s">
        <v>105</v>
      </c>
      <c r="N22" s="10"/>
      <c r="O22" s="41"/>
      <c r="P22" s="72" t="str">
        <f>VLOOKUP(C22,'Train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2" s="70" t="str">
        <f>VLOOKUP(C22,'Train Runs'!$A$13:$AE$872,22,0)</f>
        <v>https://search-rtdc-monitor-bjffxe2xuh6vdkpspy63sjmuny.us-east-1.es.amazonaws.com/_plugin/kibana/#/discover/Steve-Slow-Train-Analysis-(2080s-and-2083s)?_g=(refreshInterval:(display:Off,section:0,value:0),time:(from:'2016-07-16 18:47:41-0600',mode:absolute,to:'2016-07-16 21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2" s="71" t="str">
        <f t="shared" si="0"/>
        <v>"C:\Program Files (x86)\AstroGrep\AstroGrep.exe" /spath="C:\Users\stu\Documents\Analysis\2016-02-23 RTDC Observations" /stypes="*4017*20160717*" /stext=" 01:.+((prompt.+disp)|(slice.+state.+chan)|(ment ac)|(system.+state.+chan)|(\|lc)|(penalty)|(\[timeout))" /e /r /s</v>
      </c>
      <c r="S22" s="9" t="str">
        <f t="shared" si="1"/>
        <v>4017</v>
      </c>
      <c r="T22" s="48">
        <f t="shared" si="2"/>
        <v>42568.081666666665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48">
        <v>42567.552106481482</v>
      </c>
      <c r="B23" s="65" t="s">
        <v>72</v>
      </c>
      <c r="C23" s="41" t="s">
        <v>506</v>
      </c>
      <c r="D23" s="41" t="s">
        <v>198</v>
      </c>
      <c r="E23" s="41" t="s">
        <v>57</v>
      </c>
      <c r="F23" s="66">
        <v>350</v>
      </c>
      <c r="G23" s="66">
        <v>400</v>
      </c>
      <c r="H23" s="66">
        <v>225294</v>
      </c>
      <c r="I23" s="41" t="s">
        <v>58</v>
      </c>
      <c r="J23" s="66">
        <v>232080</v>
      </c>
      <c r="K23" s="41" t="s">
        <v>54</v>
      </c>
      <c r="L23" s="93" t="str">
        <f>VLOOKUP(C23,'Trips&amp;Operators'!$C$1:$E$9999,3,0)</f>
        <v>MAYBERRY</v>
      </c>
      <c r="M23" s="9" t="s">
        <v>105</v>
      </c>
      <c r="N23" s="10"/>
      <c r="O23" s="69"/>
      <c r="P23" s="72" t="str">
        <f>VLOOKUP(C23,'Train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23" s="70" t="str">
        <f>VLOOKUP(C23,'Train Runs'!$A$13:$AE$872,22,0)</f>
        <v>https://search-rtdc-monitor-bjffxe2xuh6vdkpspy63sjmuny.us-east-1.es.amazonaws.com/_plugin/kibana/#/discover/Steve-Slow-Train-Analysis-(2080s-and-2083s)?_g=(refreshInterval:(display:Off,section:0,value:0),time:(from:'2016-07-16 11:52:47-0600',mode:absolute,to:'2016-07-16 14:58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3" s="71" t="str">
        <f t="shared" si="0"/>
        <v>"C:\Program Files (x86)\AstroGrep\AstroGrep.exe" /spath="C:\Users\stu\Documents\Analysis\2016-02-23 RTDC Observations" /stypes="*4019*20160716*" /stext=" 19:.+((prompt.+disp)|(slice.+state.+chan)|(ment ac)|(system.+state.+chan)|(\|lc)|(penalty)|(\[timeout))" /e /r /s</v>
      </c>
      <c r="S23" s="9" t="str">
        <f t="shared" si="1"/>
        <v>4019</v>
      </c>
      <c r="T23" s="48">
        <f t="shared" si="2"/>
        <v>42567.802106481482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48">
        <v>42567.676342592589</v>
      </c>
      <c r="B24" s="65" t="s">
        <v>83</v>
      </c>
      <c r="C24" s="41" t="s">
        <v>450</v>
      </c>
      <c r="D24" s="41" t="s">
        <v>50</v>
      </c>
      <c r="E24" s="65" t="s">
        <v>57</v>
      </c>
      <c r="F24" s="66">
        <v>150</v>
      </c>
      <c r="G24" s="66">
        <v>117</v>
      </c>
      <c r="H24" s="66">
        <v>231544</v>
      </c>
      <c r="I24" s="65" t="s">
        <v>58</v>
      </c>
      <c r="J24" s="66">
        <v>232080</v>
      </c>
      <c r="K24" s="41" t="s">
        <v>53</v>
      </c>
      <c r="L24" s="93" t="str">
        <f>VLOOKUP(C24,'Trips&amp;Operators'!$C$1:$E$9999,3,0)</f>
        <v>HELVIE</v>
      </c>
      <c r="M24" s="9" t="s">
        <v>105</v>
      </c>
      <c r="N24" s="10"/>
      <c r="O24" s="41"/>
      <c r="P24" s="72" t="str">
        <f>VLOOKUP(C24,'Train Runs'!$A$13:$AE$872,31,0)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24" s="70" t="str">
        <f>VLOOKUP(C24,'Train Runs'!$A$13:$AE$872,22,0)</f>
        <v>https://search-rtdc-monitor-bjffxe2xuh6vdkpspy63sjmuny.us-east-1.es.amazonaws.com/_plugin/kibana/#/discover/Steve-Slow-Train-Analysis-(2080s-and-2083s)?_g=(refreshInterval:(display:Off,section:0,value:0),time:(from:'2016-07-16 14:25:32-0600',mode:absolute,to:'2016-07-16 17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4" s="71" t="str">
        <f t="shared" si="0"/>
        <v>"C:\Program Files (x86)\AstroGrep\AstroGrep.exe" /spath="C:\Users\stu\Documents\Analysis\2016-02-23 RTDC Observations" /stypes="*4042*20160716*" /stext=" 22:.+((prompt.+disp)|(slice.+state.+chan)|(ment ac)|(system.+state.+chan)|(\|lc)|(penalty)|(\[timeout))" /e /r /s</v>
      </c>
      <c r="S24" s="9" t="str">
        <f t="shared" si="1"/>
        <v>4042</v>
      </c>
      <c r="T24" s="48">
        <f t="shared" si="2"/>
        <v>42567.926342592589</v>
      </c>
      <c r="U24" s="69" t="str">
        <f t="shared" si="3"/>
        <v>EC</v>
      </c>
      <c r="V24" s="69" t="str">
        <f t="shared" si="4"/>
        <v>KEEP</v>
      </c>
    </row>
    <row r="25" spans="1:22" x14ac:dyDescent="0.25">
      <c r="A25" s="48">
        <v>42567.575092592589</v>
      </c>
      <c r="B25" s="65" t="s">
        <v>83</v>
      </c>
      <c r="C25" s="41" t="s">
        <v>498</v>
      </c>
      <c r="D25" s="41" t="s">
        <v>50</v>
      </c>
      <c r="E25" s="65" t="s">
        <v>55</v>
      </c>
      <c r="F25" s="66">
        <v>0</v>
      </c>
      <c r="G25" s="66">
        <v>100</v>
      </c>
      <c r="H25" s="66">
        <v>56483</v>
      </c>
      <c r="I25" s="65" t="s">
        <v>56</v>
      </c>
      <c r="J25" s="66">
        <v>56883</v>
      </c>
      <c r="K25" s="41" t="s">
        <v>53</v>
      </c>
      <c r="L25" s="93" t="str">
        <f>VLOOKUP(C25,'Trips&amp;Operators'!$C$1:$E$9999,3,0)</f>
        <v>HELVIE</v>
      </c>
      <c r="M25" s="9" t="s">
        <v>589</v>
      </c>
      <c r="N25" s="10" t="s">
        <v>599</v>
      </c>
      <c r="O25" s="69"/>
      <c r="P25" s="72" t="str">
        <f>VLOOKUP(C25,'Train Runs'!$A$13:$AE$872,31,0)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25" s="70" t="str">
        <f>VLOOKUP(C25,'Train Runs'!$A$13:$AE$872,22,0)</f>
        <v>https://search-rtdc-monitor-bjffxe2xuh6vdkpspy63sjmuny.us-east-1.es.amazonaws.com/_plugin/kibana/#/discover/Steve-Slow-Train-Analysis-(2080s-and-2083s)?_g=(refreshInterval:(display:Off,section:0,value:0),time:(from:'2016-07-16 12:29:13-0600',mode:absolute,to:'2016-07-16 15:16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25" s="71" t="str">
        <f t="shared" si="0"/>
        <v>"C:\Program Files (x86)\AstroGrep\AstroGrep.exe" /spath="C:\Users\stu\Documents\Analysis\2016-02-23 RTDC Observations" /stypes="*4042*20160716*" /stext=" 19:.+((prompt.+disp)|(slice.+state.+chan)|(ment ac)|(system.+state.+chan)|(\|lc)|(penalty)|(\[timeout))" /e /r /s</v>
      </c>
      <c r="S25" s="9" t="str">
        <f t="shared" si="1"/>
        <v>4042</v>
      </c>
      <c r="T25" s="48">
        <f t="shared" si="2"/>
        <v>42567.825092592589</v>
      </c>
      <c r="U25" s="69" t="str">
        <f t="shared" si="3"/>
        <v>EC</v>
      </c>
      <c r="V25" s="69" t="str">
        <f t="shared" si="4"/>
        <v>KEEP</v>
      </c>
    </row>
    <row r="26" spans="1:22" x14ac:dyDescent="0.25">
      <c r="A26" s="48">
        <v>42567.715381944443</v>
      </c>
      <c r="B26" s="65" t="s">
        <v>75</v>
      </c>
      <c r="C26" s="41" t="s">
        <v>447</v>
      </c>
      <c r="D26" s="41" t="s">
        <v>50</v>
      </c>
      <c r="E26" s="65" t="s">
        <v>55</v>
      </c>
      <c r="F26" s="66">
        <v>0</v>
      </c>
      <c r="G26" s="66">
        <v>105</v>
      </c>
      <c r="H26" s="66">
        <v>76036</v>
      </c>
      <c r="I26" s="65" t="s">
        <v>56</v>
      </c>
      <c r="J26" s="66">
        <v>75579</v>
      </c>
      <c r="K26" s="41" t="s">
        <v>54</v>
      </c>
      <c r="L26" s="93" t="str">
        <f>VLOOKUP(C26,'Trips&amp;Operators'!$C$1:$E$9999,3,0)</f>
        <v>STORY</v>
      </c>
      <c r="M26" s="9" t="s">
        <v>589</v>
      </c>
      <c r="N26" s="10" t="s">
        <v>595</v>
      </c>
      <c r="O26" s="41"/>
      <c r="P26" s="72" t="str">
        <f>VLOOKUP(C26,'Train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6" s="70" t="str">
        <f>VLOOKUP(C26,'Train Runs'!$A$13:$AE$872,22,0)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6" s="71" t="str">
        <f t="shared" si="0"/>
        <v>"C:\Program Files (x86)\AstroGrep\AstroGrep.exe" /spath="C:\Users\stu\Documents\Analysis\2016-02-23 RTDC Observations" /stypes="*4017*20160716*" /stext=" 23:.+((prompt.+disp)|(slice.+state.+chan)|(ment ac)|(system.+state.+chan)|(\|lc)|(penalty)|(\[timeout))" /e /r /s</v>
      </c>
      <c r="S26" s="9" t="str">
        <f t="shared" si="1"/>
        <v>4017</v>
      </c>
      <c r="T26" s="48">
        <f t="shared" si="2"/>
        <v>42567.965381944443</v>
      </c>
      <c r="U26" s="69" t="str">
        <f t="shared" si="3"/>
        <v>EC</v>
      </c>
      <c r="V26" s="69" t="str">
        <f t="shared" si="4"/>
        <v>KEEP</v>
      </c>
    </row>
    <row r="27" spans="1:22" x14ac:dyDescent="0.25">
      <c r="A27" s="48">
        <v>42567.71292824074</v>
      </c>
      <c r="B27" s="41" t="s">
        <v>75</v>
      </c>
      <c r="C27" s="41" t="s">
        <v>447</v>
      </c>
      <c r="D27" s="41" t="s">
        <v>50</v>
      </c>
      <c r="E27" s="41" t="s">
        <v>55</v>
      </c>
      <c r="F27" s="66">
        <v>0</v>
      </c>
      <c r="G27" s="66">
        <v>131</v>
      </c>
      <c r="H27" s="66">
        <v>82382</v>
      </c>
      <c r="I27" s="41" t="s">
        <v>56</v>
      </c>
      <c r="J27" s="66">
        <v>81751</v>
      </c>
      <c r="K27" s="41" t="s">
        <v>54</v>
      </c>
      <c r="L27" s="93" t="str">
        <f>VLOOKUP(C27,'Trips&amp;Operators'!$C$1:$E$9999,3,0)</f>
        <v>STORY</v>
      </c>
      <c r="M27" s="9" t="s">
        <v>589</v>
      </c>
      <c r="N27" s="10" t="s">
        <v>602</v>
      </c>
      <c r="O27" s="41"/>
      <c r="P27" s="72" t="str">
        <f>VLOOKUP(C27,'Train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27" s="70" t="str">
        <f>VLOOKUP(C27,'Train Runs'!$A$13:$AE$872,22,0)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7" s="71" t="str">
        <f t="shared" si="0"/>
        <v>"C:\Program Files (x86)\AstroGrep\AstroGrep.exe" /spath="C:\Users\stu\Documents\Analysis\2016-02-23 RTDC Observations" /stypes="*4017*20160716*" /stext=" 23:.+((prompt.+disp)|(slice.+state.+chan)|(ment ac)|(system.+state.+chan)|(\|lc)|(penalty)|(\[timeout))" /e /r /s</v>
      </c>
      <c r="S27" s="9" t="str">
        <f t="shared" si="1"/>
        <v>4017</v>
      </c>
      <c r="T27" s="48">
        <f t="shared" si="2"/>
        <v>42567.96292824074</v>
      </c>
      <c r="U27" s="69" t="str">
        <f t="shared" si="3"/>
        <v>EC</v>
      </c>
      <c r="V27" s="69" t="str">
        <f t="shared" si="4"/>
        <v>KEEP</v>
      </c>
    </row>
    <row r="28" spans="1:22" x14ac:dyDescent="0.25">
      <c r="A28" s="48">
        <v>42567.728819444441</v>
      </c>
      <c r="B28" s="65" t="s">
        <v>114</v>
      </c>
      <c r="C28" s="41" t="s">
        <v>435</v>
      </c>
      <c r="D28" s="41" t="s">
        <v>50</v>
      </c>
      <c r="E28" s="65" t="s">
        <v>55</v>
      </c>
      <c r="F28" s="66">
        <v>0</v>
      </c>
      <c r="G28" s="66">
        <v>44</v>
      </c>
      <c r="H28" s="66">
        <v>88045</v>
      </c>
      <c r="I28" s="65" t="s">
        <v>56</v>
      </c>
      <c r="J28" s="66">
        <v>87902</v>
      </c>
      <c r="K28" s="41" t="s">
        <v>54</v>
      </c>
      <c r="L28" s="93" t="str">
        <f>VLOOKUP(C28,'Trips&amp;Operators'!$C$1:$E$9999,3,0)</f>
        <v>REBOLETTI</v>
      </c>
      <c r="M28" s="9" t="s">
        <v>589</v>
      </c>
      <c r="N28" s="10" t="s">
        <v>597</v>
      </c>
      <c r="O28" s="69"/>
      <c r="P28" s="72" t="str">
        <f>VLOOKUP(C28,'Train Runs'!$A$13:$AE$872,31,0)</f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Q28" s="70" t="str">
        <f>VLOOKUP(C28,'Train Runs'!$A$13:$AE$872,22,0)</f>
        <v>https://search-rtdc-monitor-bjffxe2xuh6vdkpspy63sjmuny.us-east-1.es.amazonaws.com/_plugin/kibana/#/discover/Steve-Slow-Train-Analysis-(2080s-and-2083s)?_g=(refreshInterval:(display:Off,section:0,value:0),time:(from:'2016-07-16 15:07:57-0600',mode:absolute,to:'2016-07-16 18:29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28" s="71" t="str">
        <f t="shared" si="0"/>
        <v>"C:\Program Files (x86)\AstroGrep\AstroGrep.exe" /spath="C:\Users\stu\Documents\Analysis\2016-02-23 RTDC Observations" /stypes="*4026*20160716*" /stext=" 23:.+((prompt.+disp)|(slice.+state.+chan)|(ment ac)|(system.+state.+chan)|(\|lc)|(penalty)|(\[timeout))" /e /r /s</v>
      </c>
      <c r="S28" s="9" t="str">
        <f t="shared" si="1"/>
        <v>4026</v>
      </c>
      <c r="T28" s="48">
        <f t="shared" si="2"/>
        <v>42567.978819444441</v>
      </c>
      <c r="U28" s="69" t="str">
        <f t="shared" si="3"/>
        <v>EC</v>
      </c>
      <c r="V28" s="69" t="str">
        <f t="shared" si="4"/>
        <v>KEEP</v>
      </c>
    </row>
    <row r="29" spans="1:22" x14ac:dyDescent="0.25">
      <c r="A29" s="48">
        <v>42567.291192129633</v>
      </c>
      <c r="B29" s="65" t="s">
        <v>121</v>
      </c>
      <c r="C29" s="41" t="s">
        <v>471</v>
      </c>
      <c r="D29" s="41" t="s">
        <v>50</v>
      </c>
      <c r="E29" s="65" t="s">
        <v>55</v>
      </c>
      <c r="F29" s="66">
        <v>0</v>
      </c>
      <c r="G29" s="66">
        <v>778</v>
      </c>
      <c r="H29" s="66">
        <v>101834</v>
      </c>
      <c r="I29" s="65" t="s">
        <v>56</v>
      </c>
      <c r="J29" s="66">
        <v>95986</v>
      </c>
      <c r="K29" s="41" t="s">
        <v>54</v>
      </c>
      <c r="L29" s="93" t="str">
        <f>VLOOKUP(C29,'Trips&amp;Operators'!$C$1:$E$9999,3,0)</f>
        <v>MALAVE</v>
      </c>
      <c r="M29" s="9" t="s">
        <v>589</v>
      </c>
      <c r="N29" s="10" t="s">
        <v>603</v>
      </c>
      <c r="O29" s="69"/>
      <c r="P29" s="72" t="str">
        <f>VLOOKUP(C29,'Train Runs'!$A$13:$AE$872,31,0)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29" s="70" t="str">
        <f>VLOOKUP(C29,'Train Runs'!$A$13:$AE$872,22,0)</f>
        <v>https://search-rtdc-monitor-bjffxe2xuh6vdkpspy63sjmuny.us-east-1.es.amazonaws.com/_plugin/kibana/#/discover/Steve-Slow-Train-Analysis-(2080s-and-2083s)?_g=(refreshInterval:(display:Off,section:0,value:0),time:(from:'2016-07-16 05:35:58-0600',mode:absolute,to:'2016-07-16 08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29" s="71" t="str">
        <f t="shared" si="0"/>
        <v>"C:\Program Files (x86)\AstroGrep\AstroGrep.exe" /spath="C:\Users\stu\Documents\Analysis\2016-02-23 RTDC Observations" /stypes="*4030*20160716*" /stext=" 12:.+((prompt.+disp)|(slice.+state.+chan)|(ment ac)|(system.+state.+chan)|(\|lc)|(penalty)|(\[timeout))" /e /r /s</v>
      </c>
      <c r="S29" s="9" t="str">
        <f t="shared" si="1"/>
        <v>4030</v>
      </c>
      <c r="T29" s="48">
        <f t="shared" si="2"/>
        <v>42567.541192129633</v>
      </c>
      <c r="U29" s="69" t="str">
        <f t="shared" si="3"/>
        <v>EC</v>
      </c>
      <c r="V29" s="69" t="str">
        <f t="shared" si="4"/>
        <v>KEEP</v>
      </c>
    </row>
    <row r="30" spans="1:22" x14ac:dyDescent="0.25">
      <c r="A30" s="48">
        <v>42567.764664351853</v>
      </c>
      <c r="B30" s="65" t="s">
        <v>120</v>
      </c>
      <c r="C30" s="41" t="s">
        <v>377</v>
      </c>
      <c r="D30" s="41" t="s">
        <v>50</v>
      </c>
      <c r="E30" s="65" t="s">
        <v>55</v>
      </c>
      <c r="F30" s="66">
        <v>0</v>
      </c>
      <c r="G30" s="66">
        <v>78</v>
      </c>
      <c r="H30" s="66">
        <v>103208</v>
      </c>
      <c r="I30" s="65" t="s">
        <v>56</v>
      </c>
      <c r="J30" s="66">
        <v>103445</v>
      </c>
      <c r="K30" s="41" t="s">
        <v>53</v>
      </c>
      <c r="L30" s="93" t="str">
        <f>VLOOKUP(C30,'Trips&amp;Operators'!$C$1:$E$9999,3,0)</f>
        <v>NEWELL</v>
      </c>
      <c r="M30" s="9" t="s">
        <v>589</v>
      </c>
      <c r="N30" s="10" t="s">
        <v>604</v>
      </c>
      <c r="O30" s="41"/>
      <c r="P30" s="72" t="str">
        <f>VLOOKUP(C30,'Train Runs'!$A$13:$AE$872,31,0)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30" s="70" t="str">
        <f>VLOOKUP(C30,'Train Runs'!$A$13:$AE$872,22,0)</f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30" s="71" t="str">
        <f t="shared" si="0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S30" s="9" t="str">
        <f t="shared" si="1"/>
        <v>4029</v>
      </c>
      <c r="T30" s="48">
        <f t="shared" si="2"/>
        <v>42568.014664351853</v>
      </c>
      <c r="U30" s="69" t="str">
        <f t="shared" si="3"/>
        <v>EC</v>
      </c>
      <c r="V30" s="69" t="str">
        <f t="shared" si="4"/>
        <v>KEEP</v>
      </c>
    </row>
    <row r="31" spans="1:22" x14ac:dyDescent="0.25">
      <c r="A31" s="48">
        <v>42567.804965277777</v>
      </c>
      <c r="B31" s="65" t="s">
        <v>73</v>
      </c>
      <c r="C31" s="41" t="s">
        <v>479</v>
      </c>
      <c r="D31" s="41" t="s">
        <v>50</v>
      </c>
      <c r="E31" s="65" t="s">
        <v>55</v>
      </c>
      <c r="F31" s="66">
        <v>0</v>
      </c>
      <c r="G31" s="66">
        <v>440</v>
      </c>
      <c r="H31" s="66">
        <v>105204</v>
      </c>
      <c r="I31" s="65" t="s">
        <v>56</v>
      </c>
      <c r="J31" s="66">
        <v>107939</v>
      </c>
      <c r="K31" s="41" t="s">
        <v>53</v>
      </c>
      <c r="L31" s="93" t="str">
        <f>VLOOKUP(C31,'Trips&amp;Operators'!$C$1:$E$9999,3,0)</f>
        <v>LEVIN</v>
      </c>
      <c r="M31" s="9" t="s">
        <v>589</v>
      </c>
      <c r="N31" s="10" t="s">
        <v>605</v>
      </c>
      <c r="O31" s="41"/>
      <c r="P31" s="72" t="str">
        <f>VLOOKUP(C31,'Train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31" s="70" t="str">
        <f>VLOOKUP(C31,'Train Runs'!$A$13:$AE$872,22,0)</f>
        <v>https://search-rtdc-monitor-bjffxe2xuh6vdkpspy63sjmuny.us-east-1.es.amazonaws.com/_plugin/kibana/#/discover/Steve-Slow-Train-Analysis-(2080s-and-2083s)?_g=(refreshInterval:(display:Off,section:0,value:0),time:(from:'2016-07-16 17:57:46-0600',mode:absolute,to:'2016-07-16 20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31" s="71" t="str">
        <f t="shared" si="0"/>
        <v>"C:\Program Files (x86)\AstroGrep\AstroGrep.exe" /spath="C:\Users\stu\Documents\Analysis\2016-02-23 RTDC Observations" /stypes="*4020*20160717*" /stext=" 01:.+((prompt.+disp)|(slice.+state.+chan)|(ment ac)|(system.+state.+chan)|(\|lc)|(penalty)|(\[timeout))" /e /r /s</v>
      </c>
      <c r="S31" s="9" t="str">
        <f t="shared" si="1"/>
        <v>4020</v>
      </c>
      <c r="T31" s="48">
        <f t="shared" si="2"/>
        <v>42568.054965277777</v>
      </c>
      <c r="U31" s="69" t="str">
        <f t="shared" si="3"/>
        <v>EC</v>
      </c>
      <c r="V31" s="69" t="str">
        <f t="shared" si="4"/>
        <v>KEEP</v>
      </c>
    </row>
    <row r="32" spans="1:22" x14ac:dyDescent="0.25">
      <c r="A32" s="108">
        <v>42567.604780092595</v>
      </c>
      <c r="B32" s="65" t="s">
        <v>73</v>
      </c>
      <c r="C32" s="41" t="s">
        <v>453</v>
      </c>
      <c r="D32" s="41" t="s">
        <v>50</v>
      </c>
      <c r="E32" s="41" t="s">
        <v>55</v>
      </c>
      <c r="F32" s="66">
        <v>0</v>
      </c>
      <c r="G32" s="66">
        <v>748</v>
      </c>
      <c r="H32" s="66">
        <v>148782</v>
      </c>
      <c r="I32" s="41" t="s">
        <v>56</v>
      </c>
      <c r="J32" s="66">
        <v>155600</v>
      </c>
      <c r="K32" s="41" t="s">
        <v>53</v>
      </c>
      <c r="L32" s="93" t="str">
        <f>VLOOKUP(C32,'Trips&amp;Operators'!$C$1:$E$9999,3,0)</f>
        <v>MAYBERRY</v>
      </c>
      <c r="M32" s="9" t="s">
        <v>589</v>
      </c>
      <c r="N32" s="10" t="s">
        <v>606</v>
      </c>
      <c r="O32" s="41"/>
      <c r="P32" s="72" t="str">
        <f>VLOOKUP(C32,'Train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32" s="70" t="str">
        <f>VLOOKUP(C32,'Train Runs'!$A$13:$AE$872,22,0)</f>
        <v>https://search-rtdc-monitor-bjffxe2xuh6vdkpspy63sjmuny.us-east-1.es.amazonaws.com/_plugin/kibana/#/discover/Steve-Slow-Train-Analysis-(2080s-and-2083s)?_g=(refreshInterval:(display:Off,section:0,value:0),time:(from:'2016-07-16 12:59:54-0600',mode:absolute,to:'2016-07-16 15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32" s="71" t="str">
        <f t="shared" si="0"/>
        <v>"C:\Program Files (x86)\AstroGrep\AstroGrep.exe" /spath="C:\Users\stu\Documents\Analysis\2016-02-23 RTDC Observations" /stypes="*4020*20160716*" /stext=" 20:.+((prompt.+disp)|(slice.+state.+chan)|(ment ac)|(system.+state.+chan)|(\|lc)|(penalty)|(\[timeout))" /e /r /s</v>
      </c>
      <c r="S32" s="9" t="str">
        <f t="shared" si="1"/>
        <v>4020</v>
      </c>
      <c r="T32" s="48">
        <f t="shared" si="2"/>
        <v>42567.854780092595</v>
      </c>
      <c r="U32" s="69" t="str">
        <f t="shared" si="3"/>
        <v>EC</v>
      </c>
      <c r="V32" s="69" t="str">
        <f t="shared" si="4"/>
        <v>KEEP</v>
      </c>
    </row>
    <row r="33" spans="1:22" x14ac:dyDescent="0.25">
      <c r="A33" s="48">
        <v>42567.774791666663</v>
      </c>
      <c r="B33" s="41" t="s">
        <v>120</v>
      </c>
      <c r="C33" s="41" t="s">
        <v>377</v>
      </c>
      <c r="D33" s="41" t="s">
        <v>50</v>
      </c>
      <c r="E33" s="41" t="s">
        <v>55</v>
      </c>
      <c r="F33" s="66">
        <v>0</v>
      </c>
      <c r="G33" s="66">
        <v>526</v>
      </c>
      <c r="H33" s="66">
        <v>152488</v>
      </c>
      <c r="I33" s="41" t="s">
        <v>56</v>
      </c>
      <c r="J33" s="66">
        <v>155600</v>
      </c>
      <c r="K33" s="41" t="s">
        <v>53</v>
      </c>
      <c r="L33" s="93" t="str">
        <f>VLOOKUP(C33,'Trips&amp;Operators'!$C$1:$E$9999,3,0)</f>
        <v>NEWELL</v>
      </c>
      <c r="M33" s="9" t="s">
        <v>589</v>
      </c>
      <c r="N33" s="10" t="s">
        <v>606</v>
      </c>
      <c r="O33" s="41"/>
      <c r="P33" s="72" t="str">
        <f>VLOOKUP(C33,'Train Runs'!$A$13:$AE$872,31,0)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33" s="70" t="str">
        <f>VLOOKUP(C33,'Train Runs'!$A$13:$AE$872,22,0)</f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33" s="71" t="str">
        <f t="shared" si="0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S33" s="9" t="str">
        <f t="shared" si="1"/>
        <v>4029</v>
      </c>
      <c r="T33" s="48">
        <f t="shared" si="2"/>
        <v>42568.024791666663</v>
      </c>
      <c r="U33" s="69" t="str">
        <f t="shared" si="3"/>
        <v>EC</v>
      </c>
      <c r="V33" s="69" t="str">
        <f t="shared" si="4"/>
        <v>KEEP</v>
      </c>
    </row>
    <row r="34" spans="1:22" x14ac:dyDescent="0.25">
      <c r="A34" s="48">
        <v>42568.063125000001</v>
      </c>
      <c r="B34" s="41" t="s">
        <v>74</v>
      </c>
      <c r="C34" s="41" t="s">
        <v>463</v>
      </c>
      <c r="D34" s="41" t="s">
        <v>50</v>
      </c>
      <c r="E34" s="41" t="s">
        <v>55</v>
      </c>
      <c r="F34" s="66">
        <v>0</v>
      </c>
      <c r="G34" s="66">
        <v>480</v>
      </c>
      <c r="H34" s="66">
        <v>152724</v>
      </c>
      <c r="I34" s="41" t="s">
        <v>56</v>
      </c>
      <c r="J34" s="66">
        <v>155600</v>
      </c>
      <c r="K34" s="41" t="s">
        <v>53</v>
      </c>
      <c r="L34" s="93" t="str">
        <f>VLOOKUP(C34,'Trips&amp;Operators'!$C$1:$E$9999,3,0)</f>
        <v>LEVIN</v>
      </c>
      <c r="M34" s="9" t="s">
        <v>589</v>
      </c>
      <c r="N34" s="10" t="s">
        <v>606</v>
      </c>
      <c r="O34" s="41"/>
      <c r="P34" s="72" t="str">
        <f>VLOOKUP(C34,'Train Runs'!$A$13:$AE$872,31,0)</f>
        <v>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 &amp; aws s3 cp s3://rtdc.mdm.uploadarchive/RTDC4018/2016-07-18/ "C:\Users\stu\Documents\Analysis\2016-02-23 RTDC Observations"\RTDC4018\2016-07-18 --recursive &amp; "C:\Users\stu\Documents\GitHub\mrs-test-scripts\Headless Mode &amp; Sideloading\WalkAndUnGZ.bat" "C:\Users\stu\Documents\Analysis\2016-02-23 RTDC Observations"\RTDC4018\2016-07-18</v>
      </c>
      <c r="Q34" s="70" t="str">
        <f>VLOOKUP(C34,'Train Runs'!$A$13:$AE$872,22,0)</f>
        <v>https://search-rtdc-monitor-bjffxe2xuh6vdkpspy63sjmuny.us-east-1.es.amazonaws.com/_plugin/kibana/#/discover/Steve-Slow-Train-Analysis-(2080s-and-2083s)?_g=(refreshInterval:(display:Off,section:0,value:0),time:(from:'2016-07-16 23:45:19-0600',mode:absolute,to:'2016-07-17 02:47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4" s="71" t="str">
        <f t="shared" si="0"/>
        <v>"C:\Program Files (x86)\AstroGrep\AstroGrep.exe" /spath="C:\Users\stu\Documents\Analysis\2016-02-23 RTDC Observations" /stypes="*4018*20160717*" /stext=" 07:.+((prompt.+disp)|(slice.+state.+chan)|(ment ac)|(system.+state.+chan)|(\|lc)|(penalty)|(\[timeout))" /e /r /s</v>
      </c>
      <c r="S34" s="9" t="str">
        <f t="shared" si="1"/>
        <v>4018</v>
      </c>
      <c r="T34" s="48">
        <f t="shared" si="2"/>
        <v>42568.313125000001</v>
      </c>
      <c r="U34" s="69" t="str">
        <f t="shared" si="3"/>
        <v>EC</v>
      </c>
      <c r="V34" s="69" t="str">
        <f t="shared" si="4"/>
        <v>KEEP</v>
      </c>
    </row>
    <row r="35" spans="1:22" x14ac:dyDescent="0.25">
      <c r="A35" s="48">
        <v>42567.668622685182</v>
      </c>
      <c r="B35" s="65" t="s">
        <v>75</v>
      </c>
      <c r="C35" s="41" t="s">
        <v>447</v>
      </c>
      <c r="D35" s="41" t="s">
        <v>50</v>
      </c>
      <c r="E35" s="65" t="s">
        <v>55</v>
      </c>
      <c r="F35" s="66">
        <v>0</v>
      </c>
      <c r="G35" s="66">
        <v>369</v>
      </c>
      <c r="H35" s="66">
        <v>194122</v>
      </c>
      <c r="I35" s="65" t="s">
        <v>56</v>
      </c>
      <c r="J35" s="66">
        <v>191723</v>
      </c>
      <c r="K35" s="41" t="s">
        <v>54</v>
      </c>
      <c r="L35" s="93" t="str">
        <f>VLOOKUP(C35,'Trips&amp;Operators'!$C$1:$E$9999,3,0)</f>
        <v>STORY</v>
      </c>
      <c r="M35" s="9" t="s">
        <v>589</v>
      </c>
      <c r="N35" s="10" t="s">
        <v>607</v>
      </c>
      <c r="O35" s="41"/>
      <c r="P35" s="72" t="str">
        <f>VLOOKUP(C35,'Train Runs'!$A$13:$AE$872,31,0)</f>
        <v>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 &amp; 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</v>
      </c>
      <c r="Q35" s="70" t="str">
        <f>VLOOKUP(C35,'Train Runs'!$A$13:$AE$872,22,0)</f>
        <v>https://search-rtdc-monitor-bjffxe2xuh6vdkpspy63sjmuny.us-east-1.es.amazonaws.com/_plugin/kibana/#/discover/Steve-Slow-Train-Analysis-(2080s-and-2083s)?_g=(refreshInterval:(display:Off,section:0,value:0),time:(from:'2016-07-16 14:54:13-0600',mode:absolute,to:'2016-07-16 18:10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5" s="71" t="str">
        <f t="shared" si="0"/>
        <v>"C:\Program Files (x86)\AstroGrep\AstroGrep.exe" /spath="C:\Users\stu\Documents\Analysis\2016-02-23 RTDC Observations" /stypes="*4017*20160716*" /stext=" 22:.+((prompt.+disp)|(slice.+state.+chan)|(ment ac)|(system.+state.+chan)|(\|lc)|(penalty)|(\[timeout))" /e /r /s</v>
      </c>
      <c r="S35" s="9" t="str">
        <f t="shared" si="1"/>
        <v>4017</v>
      </c>
      <c r="T35" s="48">
        <f t="shared" si="2"/>
        <v>42567.918622685182</v>
      </c>
      <c r="U35" s="69" t="str">
        <f t="shared" si="3"/>
        <v>EC</v>
      </c>
      <c r="V35" s="69" t="str">
        <f t="shared" si="4"/>
        <v>KEEP</v>
      </c>
    </row>
    <row r="36" spans="1:22" ht="15" customHeight="1" x14ac:dyDescent="0.25">
      <c r="A36" s="48">
        <v>42567.784618055557</v>
      </c>
      <c r="B36" s="41" t="s">
        <v>74</v>
      </c>
      <c r="C36" s="41" t="s">
        <v>383</v>
      </c>
      <c r="D36" s="41" t="s">
        <v>50</v>
      </c>
      <c r="E36" s="41" t="s">
        <v>55</v>
      </c>
      <c r="F36" s="66">
        <v>0</v>
      </c>
      <c r="G36" s="66">
        <v>698</v>
      </c>
      <c r="H36" s="66">
        <v>196667</v>
      </c>
      <c r="I36" s="41" t="s">
        <v>56</v>
      </c>
      <c r="J36" s="66">
        <v>198242</v>
      </c>
      <c r="K36" s="41" t="s">
        <v>53</v>
      </c>
      <c r="L36" s="93" t="str">
        <f>VLOOKUP(C36,'Trips&amp;Operators'!$C$1:$E$9999,3,0)</f>
        <v>CHANDLER</v>
      </c>
      <c r="M36" s="9" t="s">
        <v>589</v>
      </c>
      <c r="N36" s="10" t="s">
        <v>608</v>
      </c>
      <c r="O36" s="41"/>
      <c r="P36" s="72" t="str">
        <f>VLOOKUP(C36,'Train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36" s="70" t="str">
        <f>VLOOKUP(C36,'Train Runs'!$A$13:$AE$872,22,0)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6" s="71" t="str">
        <f t="shared" si="0"/>
        <v>"C:\Program Files (x86)\AstroGrep\AstroGrep.exe" /spath="C:\Users\stu\Documents\Analysis\2016-02-23 RTDC Observations" /stypes="*4018*20160717*" /stext=" 00:.+((prompt.+disp)|(slice.+state.+chan)|(ment ac)|(system.+state.+chan)|(\|lc)|(penalty)|(\[timeout))" /e /r /s</v>
      </c>
      <c r="S36" s="9" t="str">
        <f t="shared" si="1"/>
        <v>4018</v>
      </c>
      <c r="T36" s="48">
        <f t="shared" si="2"/>
        <v>42568.034618055557</v>
      </c>
      <c r="U36" s="69" t="str">
        <f t="shared" si="3"/>
        <v>EC</v>
      </c>
      <c r="V36" s="69" t="str">
        <f t="shared" si="4"/>
        <v>KEEP</v>
      </c>
    </row>
    <row r="37" spans="1:22" ht="15" customHeight="1" x14ac:dyDescent="0.25">
      <c r="A37" s="48">
        <v>42567.981493055559</v>
      </c>
      <c r="B37" s="65" t="s">
        <v>74</v>
      </c>
      <c r="C37" s="41" t="s">
        <v>432</v>
      </c>
      <c r="D37" s="41" t="s">
        <v>50</v>
      </c>
      <c r="E37" s="65" t="s">
        <v>55</v>
      </c>
      <c r="F37" s="66">
        <v>0</v>
      </c>
      <c r="G37" s="66">
        <v>527</v>
      </c>
      <c r="H37" s="66">
        <v>221458</v>
      </c>
      <c r="I37" s="65" t="s">
        <v>56</v>
      </c>
      <c r="J37" s="66">
        <v>224231</v>
      </c>
      <c r="K37" s="41" t="s">
        <v>53</v>
      </c>
      <c r="L37" s="93" t="str">
        <f>VLOOKUP(C37,'Trips&amp;Operators'!$C$1:$E$9999,3,0)</f>
        <v>LEVIN</v>
      </c>
      <c r="M37" s="9" t="s">
        <v>589</v>
      </c>
      <c r="N37" s="10" t="s">
        <v>609</v>
      </c>
      <c r="O37" s="41"/>
      <c r="P37" s="72" t="str">
        <f>VLOOKUP(C37,'Train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37" s="70" t="str">
        <f>VLOOKUP(C37,'Train Runs'!$A$13:$AE$872,22,0)</f>
        <v>https://search-rtdc-monitor-bjffxe2xuh6vdkpspy63sjmuny.us-east-1.es.amazonaws.com/_plugin/kibana/#/discover/Steve-Slow-Train-Analysis-(2080s-and-2083s)?_g=(refreshInterval:(display:Off,section:0,value:0),time:(from:'2016-07-16 21:50:52-0600',mode:absolute,to:'2016-07-17 00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7" s="71" t="str">
        <f t="shared" si="0"/>
        <v>"C:\Program Files (x86)\AstroGrep\AstroGrep.exe" /spath="C:\Users\stu\Documents\Analysis\2016-02-23 RTDC Observations" /stypes="*4018*20160717*" /stext=" 05:.+((prompt.+disp)|(slice.+state.+chan)|(ment ac)|(system.+state.+chan)|(\|lc)|(penalty)|(\[timeout))" /e /r /s</v>
      </c>
      <c r="S37" s="9" t="str">
        <f t="shared" si="1"/>
        <v>4018</v>
      </c>
      <c r="T37" s="48">
        <f t="shared" si="2"/>
        <v>42568.231493055559</v>
      </c>
      <c r="U37" s="69" t="str">
        <f t="shared" si="3"/>
        <v>EC</v>
      </c>
      <c r="V37" s="69" t="str">
        <f t="shared" si="4"/>
        <v>KEEP</v>
      </c>
    </row>
    <row r="38" spans="1:22" x14ac:dyDescent="0.25">
      <c r="A38" s="48">
        <v>42567.749189814815</v>
      </c>
      <c r="B38" s="65" t="s">
        <v>72</v>
      </c>
      <c r="C38" s="41" t="s">
        <v>438</v>
      </c>
      <c r="D38" s="41" t="s">
        <v>50</v>
      </c>
      <c r="E38" s="65" t="s">
        <v>55</v>
      </c>
      <c r="F38" s="66">
        <v>0</v>
      </c>
      <c r="G38" s="66">
        <v>357</v>
      </c>
      <c r="H38" s="66">
        <v>224717</v>
      </c>
      <c r="I38" s="65" t="s">
        <v>56</v>
      </c>
      <c r="J38" s="66">
        <v>224244</v>
      </c>
      <c r="K38" s="41" t="s">
        <v>54</v>
      </c>
      <c r="L38" s="93" t="str">
        <f>VLOOKUP(C38,'Trips&amp;Operators'!$C$1:$E$9999,3,0)</f>
        <v>MAYBERRY</v>
      </c>
      <c r="M38" s="9" t="s">
        <v>589</v>
      </c>
      <c r="N38" s="10" t="s">
        <v>608</v>
      </c>
      <c r="O38" s="69"/>
      <c r="P38" s="72" t="str">
        <f>VLOOKUP(C38,'Train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38" s="70" t="str">
        <f>VLOOKUP(C38,'Train Runs'!$A$13:$AE$872,22,0)</f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8" s="71" t="str">
        <f t="shared" si="0"/>
        <v>"C:\Program Files (x86)\AstroGrep\AstroGrep.exe" /spath="C:\Users\stu\Documents\Analysis\2016-02-23 RTDC Observations" /stypes="*4019*20160716*" /stext=" 23:.+((prompt.+disp)|(slice.+state.+chan)|(ment ac)|(system.+state.+chan)|(\|lc)|(penalty)|(\[timeout))" /e /r /s</v>
      </c>
      <c r="S38" s="9" t="str">
        <f t="shared" si="1"/>
        <v>4019</v>
      </c>
      <c r="T38" s="48">
        <f t="shared" si="2"/>
        <v>42567.999189814815</v>
      </c>
      <c r="U38" s="69" t="str">
        <f t="shared" si="3"/>
        <v>EC</v>
      </c>
      <c r="V38" s="69" t="str">
        <f t="shared" si="4"/>
        <v>KEEP</v>
      </c>
    </row>
    <row r="39" spans="1:22" ht="15" customHeight="1" x14ac:dyDescent="0.25">
      <c r="A39" s="48">
        <v>42567.793009259258</v>
      </c>
      <c r="B39" s="65" t="s">
        <v>74</v>
      </c>
      <c r="C39" s="41" t="s">
        <v>383</v>
      </c>
      <c r="D39" s="41" t="s">
        <v>50</v>
      </c>
      <c r="E39" s="65" t="s">
        <v>55</v>
      </c>
      <c r="F39" s="66">
        <v>0</v>
      </c>
      <c r="G39" s="66">
        <v>18</v>
      </c>
      <c r="H39" s="66">
        <v>227831</v>
      </c>
      <c r="I39" s="65" t="s">
        <v>56</v>
      </c>
      <c r="J39" s="66">
        <v>228572</v>
      </c>
      <c r="K39" s="41" t="s">
        <v>53</v>
      </c>
      <c r="L39" s="93" t="str">
        <f>VLOOKUP(C39,'Trips&amp;Operators'!$C$1:$E$9999,3,0)</f>
        <v>CHANDLER</v>
      </c>
      <c r="M39" s="9" t="s">
        <v>589</v>
      </c>
      <c r="N39" s="10" t="s">
        <v>610</v>
      </c>
      <c r="O39" s="41"/>
      <c r="P39" s="72" t="str">
        <f>VLOOKUP(C39,'Train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39" s="70" t="str">
        <f>VLOOKUP(C39,'Train Runs'!$A$13:$AE$872,22,0)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39" s="71" t="str">
        <f t="shared" ref="R39:R70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/stypes="*4018*20160717*" /stext=" 01:.+((prompt.+disp)|(slice.+state.+chan)|(ment ac)|(system.+state.+chan)|(\|lc)|(penalty)|(\[timeout))" /e /r /s</v>
      </c>
      <c r="S39" s="9" t="str">
        <f t="shared" ref="S39:S75" si="6">MID(B39,13,4)</f>
        <v>4018</v>
      </c>
      <c r="T39" s="48">
        <f t="shared" ref="T39:T75" si="7">A39+6/24</f>
        <v>42568.043009259258</v>
      </c>
      <c r="U39" s="69" t="str">
        <f t="shared" ref="U39:U75" si="8">IF(VALUE(LEFT(C39,3))&lt;300,"EC","NWGL")</f>
        <v>EC</v>
      </c>
      <c r="V39" s="69" t="str">
        <f t="shared" ref="V39:V75" si="9">IF(AND(E39="TRACK WARRANT AUTHORITY",G39&lt;10),"OMIT","KEEP")</f>
        <v>KEEP</v>
      </c>
    </row>
    <row r="40" spans="1:22" x14ac:dyDescent="0.25">
      <c r="A40" s="48">
        <v>42567.516365740739</v>
      </c>
      <c r="B40" s="65" t="s">
        <v>73</v>
      </c>
      <c r="C40" s="41" t="s">
        <v>424</v>
      </c>
      <c r="D40" s="41" t="s">
        <v>50</v>
      </c>
      <c r="E40" s="65" t="s">
        <v>514</v>
      </c>
      <c r="F40" s="66">
        <v>230</v>
      </c>
      <c r="G40" s="66">
        <v>215</v>
      </c>
      <c r="H40" s="66">
        <v>30754</v>
      </c>
      <c r="I40" s="65" t="s">
        <v>515</v>
      </c>
      <c r="J40" s="66">
        <v>30830</v>
      </c>
      <c r="K40" s="41" t="s">
        <v>53</v>
      </c>
      <c r="L40" s="93" t="str">
        <f>VLOOKUP(C40,'Trips&amp;Operators'!$C$1:$E$9999,3,0)</f>
        <v>MAYBERRY</v>
      </c>
      <c r="M40" s="9" t="s">
        <v>589</v>
      </c>
      <c r="N40" s="10" t="s">
        <v>608</v>
      </c>
      <c r="O40" s="69"/>
      <c r="P40" s="72" t="str">
        <f>VLOOKUP(C40,'Train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40" s="70" t="str">
        <f>VLOOKUP(C40,'Train Runs'!$A$13:$AE$872,22,0)</f>
        <v>https://search-rtdc-monitor-bjffxe2xuh6vdkpspy63sjmuny.us-east-1.es.amazonaws.com/_plugin/kibana/#/discover/Steve-Slow-Train-Analysis-(2080s-and-2083s)?_g=(refreshInterval:(display:Off,section:0,value:0),time:(from:'2016-07-16 11:10:35-0600',mode:absolute,to:'2016-07-16 13:51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40" s="71" t="str">
        <f t="shared" si="5"/>
        <v>"C:\Program Files (x86)\AstroGrep\AstroGrep.exe" /spath="C:\Users\stu\Documents\Analysis\2016-02-23 RTDC Observations" /stypes="*4020*20160716*" /stext=" 18:.+((prompt.+disp)|(slice.+state.+chan)|(ment ac)|(system.+state.+chan)|(\|lc)|(penalty)|(\[timeout))" /e /r /s</v>
      </c>
      <c r="S40" s="9" t="str">
        <f t="shared" si="6"/>
        <v>4020</v>
      </c>
      <c r="T40" s="48">
        <f t="shared" si="7"/>
        <v>42567.766365740739</v>
      </c>
      <c r="U40" s="69" t="str">
        <f t="shared" si="8"/>
        <v>EC</v>
      </c>
      <c r="V40" s="69" t="str">
        <f t="shared" si="9"/>
        <v>KEEP</v>
      </c>
    </row>
    <row r="41" spans="1:22" ht="15" customHeight="1" x14ac:dyDescent="0.25">
      <c r="A41" s="48">
        <v>42567.20076388889</v>
      </c>
      <c r="B41" s="65" t="s">
        <v>72</v>
      </c>
      <c r="C41" s="41" t="s">
        <v>469</v>
      </c>
      <c r="D41" s="41" t="s">
        <v>50</v>
      </c>
      <c r="E41" s="65" t="s">
        <v>51</v>
      </c>
      <c r="F41" s="66">
        <v>0</v>
      </c>
      <c r="G41" s="66">
        <v>48</v>
      </c>
      <c r="H41" s="66">
        <v>176</v>
      </c>
      <c r="I41" s="65" t="s">
        <v>52</v>
      </c>
      <c r="J41" s="66">
        <v>1</v>
      </c>
      <c r="K41" s="41" t="s">
        <v>54</v>
      </c>
      <c r="L41" s="93" t="str">
        <f>VLOOKUP(C41,'Trips&amp;Operators'!$C$1:$E$9999,3,0)</f>
        <v>SANTIZO</v>
      </c>
      <c r="M41" s="9" t="s">
        <v>105</v>
      </c>
      <c r="N41" s="10"/>
      <c r="O41" s="41"/>
      <c r="P41" s="72" t="str">
        <f>VLOOKUP(C41,'Train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1" s="70" t="str">
        <f>VLOOKUP(C41,'Train Runs'!$A$13:$AE$872,22,0)</f>
        <v>https://search-rtdc-monitor-bjffxe2xuh6vdkpspy63sjmuny.us-east-1.es.amazonaws.com/_plugin/kibana/#/discover/Steve-Slow-Train-Analysis-(2080s-and-2083s)?_g=(refreshInterval:(display:Off,section:0,value:0),time:(from:'2016-07-16 02:56:35-0600',mode:absolute,to:'2016-07-16 05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1" s="71" t="str">
        <f t="shared" si="5"/>
        <v>"C:\Program Files (x86)\AstroGrep\AstroGrep.exe" /spath="C:\Users\stu\Documents\Analysis\2016-02-23 RTDC Observations" /stypes="*4019*20160716*" /stext=" 10:.+((prompt.+disp)|(slice.+state.+chan)|(ment ac)|(system.+state.+chan)|(\|lc)|(penalty)|(\[timeout))" /e /r /s</v>
      </c>
      <c r="S41" s="9" t="str">
        <f t="shared" si="6"/>
        <v>4019</v>
      </c>
      <c r="T41" s="48">
        <f t="shared" si="7"/>
        <v>42567.45076388889</v>
      </c>
      <c r="U41" s="69" t="str">
        <f t="shared" si="8"/>
        <v>EC</v>
      </c>
      <c r="V41" s="69" t="str">
        <f t="shared" si="9"/>
        <v>KEEP</v>
      </c>
    </row>
    <row r="42" spans="1:22" hidden="1" x14ac:dyDescent="0.25">
      <c r="A42" s="48">
        <v>42567.261874999997</v>
      </c>
      <c r="B42" s="65" t="s">
        <v>211</v>
      </c>
      <c r="C42" s="41" t="s">
        <v>395</v>
      </c>
      <c r="D42" s="41" t="s">
        <v>50</v>
      </c>
      <c r="E42" s="65" t="s">
        <v>51</v>
      </c>
      <c r="F42" s="66">
        <v>0</v>
      </c>
      <c r="G42" s="66">
        <v>4</v>
      </c>
      <c r="H42" s="66">
        <v>426</v>
      </c>
      <c r="I42" s="65" t="s">
        <v>52</v>
      </c>
      <c r="J42" s="66">
        <v>1</v>
      </c>
      <c r="K42" s="41" t="s">
        <v>54</v>
      </c>
      <c r="L42" s="93" t="str">
        <f>VLOOKUP(C42,'Trips&amp;Operators'!$C$1:$E$9999,3,0)</f>
        <v>BRANNON</v>
      </c>
      <c r="M42" s="9" t="s">
        <v>105</v>
      </c>
      <c r="N42" s="10"/>
      <c r="O42" s="41"/>
      <c r="P42" s="72" t="str">
        <f>VLOOKUP(C42,'Train Runs'!$A$13:$AE$872,31,0)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42" s="70" t="str">
        <f>VLOOKUP(C42,'Train Runs'!$A$13:$AE$872,22,0)</f>
        <v>https://search-rtdc-monitor-bjffxe2xuh6vdkpspy63sjmuny.us-east-1.es.amazonaws.com/_plugin/kibana/#/discover/Steve-Slow-Train-Analysis-(2080s-and-2083s)?_g=(refreshInterval:(display:Off,section:0,value:0),time:(from:'2016-07-16 04:31:40-0600',mode:absolute,to:'2016-07-16 07:17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2" s="71" t="str">
        <f t="shared" si="5"/>
        <v>"C:\Program Files (x86)\AstroGrep\AstroGrep.exe" /spath="C:\Users\stu\Documents\Analysis\2016-02-23 RTDC Observations" /stypes="*4041*20160716*" /stext=" 12:.+((prompt.+disp)|(slice.+state.+chan)|(ment ac)|(system.+state.+chan)|(\|lc)|(penalty)|(\[timeout))" /e /r /s</v>
      </c>
      <c r="S42" s="9" t="str">
        <f t="shared" si="6"/>
        <v>4041</v>
      </c>
      <c r="T42" s="48">
        <f t="shared" si="7"/>
        <v>42567.511874999997</v>
      </c>
      <c r="U42" s="69" t="str">
        <f t="shared" si="8"/>
        <v>EC</v>
      </c>
      <c r="V42" s="69" t="str">
        <f t="shared" si="9"/>
        <v>OMIT</v>
      </c>
    </row>
    <row r="43" spans="1:22" ht="15" customHeight="1" x14ac:dyDescent="0.25">
      <c r="A43" s="48">
        <v>42567.283368055556</v>
      </c>
      <c r="B43" s="65" t="s">
        <v>72</v>
      </c>
      <c r="C43" s="41" t="s">
        <v>509</v>
      </c>
      <c r="D43" s="41" t="s">
        <v>50</v>
      </c>
      <c r="E43" s="65" t="s">
        <v>51</v>
      </c>
      <c r="F43" s="66">
        <v>0</v>
      </c>
      <c r="G43" s="66">
        <v>51</v>
      </c>
      <c r="H43" s="66">
        <v>176</v>
      </c>
      <c r="I43" s="65" t="s">
        <v>52</v>
      </c>
      <c r="J43" s="66">
        <v>1</v>
      </c>
      <c r="K43" s="41" t="s">
        <v>54</v>
      </c>
      <c r="L43" s="93" t="str">
        <f>VLOOKUP(C43,'Trips&amp;Operators'!$C$1:$E$9999,3,0)</f>
        <v>SANTIZO</v>
      </c>
      <c r="M43" s="9" t="s">
        <v>105</v>
      </c>
      <c r="N43" s="10"/>
      <c r="O43" s="41"/>
      <c r="P43" s="72" t="str">
        <f>VLOOKUP(C43,'Train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3" s="70" t="str">
        <f>VLOOKUP(C43,'Train Runs'!$A$13:$AE$872,22,0)</f>
        <v>https://search-rtdc-monitor-bjffxe2xuh6vdkpspy63sjmuny.us-east-1.es.amazonaws.com/_plugin/kibana/#/discover/Steve-Slow-Train-Analysis-(2080s-and-2083s)?_g=(refreshInterval:(display:Off,section:0,value:0),time:(from:'2016-07-16 04:53:26-0600',mode:absolute,to:'2016-07-16 07:48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3" s="71" t="str">
        <f t="shared" si="5"/>
        <v>"C:\Program Files (x86)\AstroGrep\AstroGrep.exe" /spath="C:\Users\stu\Documents\Analysis\2016-02-23 RTDC Observations" /stypes="*4019*20160716*" /stext=" 12:.+((prompt.+disp)|(slice.+state.+chan)|(ment ac)|(system.+state.+chan)|(\|lc)|(penalty)|(\[timeout))" /e /r /s</v>
      </c>
      <c r="S43" s="9" t="str">
        <f t="shared" si="6"/>
        <v>4019</v>
      </c>
      <c r="T43" s="48">
        <f t="shared" si="7"/>
        <v>42567.533368055556</v>
      </c>
      <c r="U43" s="69" t="str">
        <f t="shared" si="8"/>
        <v>EC</v>
      </c>
      <c r="V43" s="69" t="str">
        <f t="shared" si="9"/>
        <v>KEEP</v>
      </c>
    </row>
    <row r="44" spans="1:22" hidden="1" x14ac:dyDescent="0.25">
      <c r="A44" s="108">
        <v>42567.345104166663</v>
      </c>
      <c r="B44" s="65" t="s">
        <v>116</v>
      </c>
      <c r="C44" s="41" t="s">
        <v>426</v>
      </c>
      <c r="D44" s="41" t="s">
        <v>50</v>
      </c>
      <c r="E44" s="65" t="s">
        <v>51</v>
      </c>
      <c r="F44" s="66">
        <v>0</v>
      </c>
      <c r="G44" s="66">
        <v>8</v>
      </c>
      <c r="H44" s="66">
        <v>119</v>
      </c>
      <c r="I44" s="65" t="s">
        <v>52</v>
      </c>
      <c r="J44" s="66">
        <v>1</v>
      </c>
      <c r="K44" s="41" t="s">
        <v>54</v>
      </c>
      <c r="L44" s="93" t="str">
        <f>VLOOKUP(C44,'Trips&amp;Operators'!$C$1:$E$9999,3,0)</f>
        <v>GEBRETEKLE</v>
      </c>
      <c r="M44" s="9" t="s">
        <v>105</v>
      </c>
      <c r="N44" s="10"/>
      <c r="O44" s="41"/>
      <c r="P44" s="72" t="str">
        <f>VLOOKUP(C44,'Train Runs'!$A$13:$AE$872,31,0)</f>
        <v>aws s3 cp s3://rtdc.mdm.uploadarchive/RTDC4013/2016-07-16/ "C:\Users\stu\Documents\Analysis\2016-02-23 RTDC Observations"\RTDC4013\2016-07-16 --recursive &amp; "C:\Users\stu\Documents\GitHub\mrs-test-scripts\Headless Mode &amp; Sideloading\WalkAndUnGZ.bat" "C:\Users\stu\Documents\Analysis\2016-02-23 RTDC Observations"\RTDC4013\2016-07-16 &amp; 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</v>
      </c>
      <c r="Q44" s="70" t="str">
        <f>VLOOKUP(C44,'Train Runs'!$A$13:$AE$872,22,0)</f>
        <v>https://search-rtdc-monitor-bjffxe2xuh6vdkpspy63sjmuny.us-east-1.es.amazonaws.com/_plugin/kibana/#/discover/Steve-Slow-Train-Analysis-(2080s-and-2083s)?_g=(refreshInterval:(display:Off,section:0,value:0),time:(from:'2016-07-16 06:36:45-0600',mode:absolute,to:'2016-07-16 09:17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4" s="71" t="str">
        <f t="shared" si="5"/>
        <v>"C:\Program Files (x86)\AstroGrep\AstroGrep.exe" /spath="C:\Users\stu\Documents\Analysis\2016-02-23 RTDC Observations" /stypes="*4013*20160716*" /stext=" 14:.+((prompt.+disp)|(slice.+state.+chan)|(ment ac)|(system.+state.+chan)|(\|lc)|(penalty)|(\[timeout))" /e /r /s</v>
      </c>
      <c r="S44" s="9" t="str">
        <f t="shared" si="6"/>
        <v>4013</v>
      </c>
      <c r="T44" s="48">
        <f t="shared" si="7"/>
        <v>42567.595104166663</v>
      </c>
      <c r="U44" s="69" t="str">
        <f t="shared" si="8"/>
        <v>EC</v>
      </c>
      <c r="V44" s="69" t="str">
        <f t="shared" si="9"/>
        <v>OMIT</v>
      </c>
    </row>
    <row r="45" spans="1:22" ht="15" hidden="1" customHeight="1" x14ac:dyDescent="0.25">
      <c r="A45" s="48">
        <v>42567.377291666664</v>
      </c>
      <c r="B45" s="65" t="s">
        <v>121</v>
      </c>
      <c r="C45" s="41" t="s">
        <v>490</v>
      </c>
      <c r="D45" s="41" t="s">
        <v>50</v>
      </c>
      <c r="E45" s="65" t="s">
        <v>51</v>
      </c>
      <c r="F45" s="66">
        <v>0</v>
      </c>
      <c r="G45" s="66">
        <v>8</v>
      </c>
      <c r="H45" s="66">
        <v>130</v>
      </c>
      <c r="I45" s="65" t="s">
        <v>52</v>
      </c>
      <c r="J45" s="66">
        <v>1</v>
      </c>
      <c r="K45" s="41" t="s">
        <v>54</v>
      </c>
      <c r="L45" s="93" t="str">
        <f>VLOOKUP(C45,'Trips&amp;Operators'!$C$1:$E$9999,3,0)</f>
        <v>MALAVE</v>
      </c>
      <c r="M45" s="9" t="s">
        <v>105</v>
      </c>
      <c r="N45" s="10"/>
      <c r="O45" s="41"/>
      <c r="P45" s="72" t="str">
        <f>VLOOKUP(C45,'Train Runs'!$A$13:$AE$872,31,0)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45" s="70" t="str">
        <f>VLOOKUP(C45,'Train Runs'!$A$13:$AE$872,22,0)</f>
        <v>https://search-rtdc-monitor-bjffxe2xuh6vdkpspy63sjmuny.us-east-1.es.amazonaws.com/_plugin/kibana/#/discover/Steve-Slow-Train-Analysis-(2080s-and-2083s)?_g=(refreshInterval:(display:Off,section:0,value:0),time:(from:'2016-07-16 07:21:21-0600',mode:absolute,to:'2016-07-16 10:03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45" s="71" t="str">
        <f t="shared" si="5"/>
        <v>"C:\Program Files (x86)\AstroGrep\AstroGrep.exe" /spath="C:\Users\stu\Documents\Analysis\2016-02-23 RTDC Observations" /stypes="*4030*20160716*" /stext=" 15:.+((prompt.+disp)|(slice.+state.+chan)|(ment ac)|(system.+state.+chan)|(\|lc)|(penalty)|(\[timeout))" /e /r /s</v>
      </c>
      <c r="S45" s="9" t="str">
        <f t="shared" si="6"/>
        <v>4030</v>
      </c>
      <c r="T45" s="48">
        <f t="shared" si="7"/>
        <v>42567.627291666664</v>
      </c>
      <c r="U45" s="69" t="str">
        <f t="shared" si="8"/>
        <v>EC</v>
      </c>
      <c r="V45" s="69" t="str">
        <f t="shared" si="9"/>
        <v>OMIT</v>
      </c>
    </row>
    <row r="46" spans="1:22" hidden="1" x14ac:dyDescent="0.25">
      <c r="A46" s="48">
        <v>42567.407789351855</v>
      </c>
      <c r="B46" s="65" t="s">
        <v>211</v>
      </c>
      <c r="C46" s="41" t="s">
        <v>381</v>
      </c>
      <c r="D46" s="41" t="s">
        <v>50</v>
      </c>
      <c r="E46" s="65" t="s">
        <v>51</v>
      </c>
      <c r="F46" s="66">
        <v>0</v>
      </c>
      <c r="G46" s="66">
        <v>6</v>
      </c>
      <c r="H46" s="66">
        <v>121</v>
      </c>
      <c r="I46" s="65" t="s">
        <v>52</v>
      </c>
      <c r="J46" s="66">
        <v>1</v>
      </c>
      <c r="K46" s="41" t="s">
        <v>54</v>
      </c>
      <c r="L46" s="93" t="str">
        <f>VLOOKUP(C46,'Trips&amp;Operators'!$C$1:$E$9999,3,0)</f>
        <v>BRANNON</v>
      </c>
      <c r="M46" s="9" t="s">
        <v>105</v>
      </c>
      <c r="N46" s="10"/>
      <c r="O46" s="69"/>
      <c r="P46" s="72" t="str">
        <f>VLOOKUP(C46,'Train Runs'!$A$13:$AE$872,31,0)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46" s="70" t="str">
        <f>VLOOKUP(C46,'Train Runs'!$A$13:$AE$872,22,0)</f>
        <v>https://search-rtdc-monitor-bjffxe2xuh6vdkpspy63sjmuny.us-east-1.es.amazonaws.com/_plugin/kibana/#/discover/Steve-Slow-Train-Analysis-(2080s-and-2083s)?_g=(refreshInterval:(display:Off,section:0,value:0),time:(from:'2016-07-16 08:07:56-0600',mode:absolute,to:'2016-07-16 10:47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46" s="71" t="str">
        <f t="shared" si="5"/>
        <v>"C:\Program Files (x86)\AstroGrep\AstroGrep.exe" /spath="C:\Users\stu\Documents\Analysis\2016-02-23 RTDC Observations" /stypes="*4041*20160716*" /stext=" 15:.+((prompt.+disp)|(slice.+state.+chan)|(ment ac)|(system.+state.+chan)|(\|lc)|(penalty)|(\[timeout))" /e /r /s</v>
      </c>
      <c r="S46" s="9" t="str">
        <f t="shared" si="6"/>
        <v>4041</v>
      </c>
      <c r="T46" s="48">
        <f t="shared" si="7"/>
        <v>42567.657789351855</v>
      </c>
      <c r="U46" s="69" t="str">
        <f t="shared" si="8"/>
        <v>EC</v>
      </c>
      <c r="V46" s="69" t="str">
        <f t="shared" si="9"/>
        <v>OMIT</v>
      </c>
    </row>
    <row r="47" spans="1:22" x14ac:dyDescent="0.25">
      <c r="A47" s="48">
        <v>42567.428564814814</v>
      </c>
      <c r="B47" s="65" t="s">
        <v>72</v>
      </c>
      <c r="C47" s="41" t="s">
        <v>476</v>
      </c>
      <c r="D47" s="41" t="s">
        <v>50</v>
      </c>
      <c r="E47" s="65" t="s">
        <v>51</v>
      </c>
      <c r="F47" s="66">
        <v>0</v>
      </c>
      <c r="G47" s="66">
        <v>77</v>
      </c>
      <c r="H47" s="66">
        <v>278</v>
      </c>
      <c r="I47" s="65" t="s">
        <v>52</v>
      </c>
      <c r="J47" s="66">
        <v>1</v>
      </c>
      <c r="K47" s="41" t="s">
        <v>54</v>
      </c>
      <c r="L47" s="93" t="str">
        <f>VLOOKUP(C47,'Trips&amp;Operators'!$C$1:$E$9999,3,0)</f>
        <v>SANTIZO</v>
      </c>
      <c r="M47" s="9" t="s">
        <v>105</v>
      </c>
      <c r="N47" s="10"/>
      <c r="O47" s="41"/>
      <c r="P47" s="72" t="str">
        <f>VLOOKUP(C47,'Train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7" s="70" t="str">
        <f>VLOOKUP(C47,'Train Runs'!$A$13:$AE$872,22,0)</f>
        <v>https://search-rtdc-monitor-bjffxe2xuh6vdkpspy63sjmuny.us-east-1.es.amazonaws.com/_plugin/kibana/#/discover/Steve-Slow-Train-Analysis-(2080s-and-2083s)?_g=(refreshInterval:(display:Off,section:0,value:0),time:(from:'2016-07-16 08:35:43-0600',mode:absolute,to:'2016-07-16 11:17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7" s="71" t="str">
        <f t="shared" si="5"/>
        <v>"C:\Program Files (x86)\AstroGrep\AstroGrep.exe" /spath="C:\Users\stu\Documents\Analysis\2016-02-23 RTDC Observations" /stypes="*4019*20160716*" /stext=" 16:.+((prompt.+disp)|(slice.+state.+chan)|(ment ac)|(system.+state.+chan)|(\|lc)|(penalty)|(\[timeout))" /e /r /s</v>
      </c>
      <c r="S47" s="9" t="str">
        <f t="shared" si="6"/>
        <v>4019</v>
      </c>
      <c r="T47" s="48">
        <f t="shared" si="7"/>
        <v>42567.678564814814</v>
      </c>
      <c r="U47" s="69" t="str">
        <f t="shared" si="8"/>
        <v>EC</v>
      </c>
      <c r="V47" s="69" t="str">
        <f t="shared" si="9"/>
        <v>KEEP</v>
      </c>
    </row>
    <row r="48" spans="1:22" ht="15" hidden="1" customHeight="1" x14ac:dyDescent="0.25">
      <c r="A48" s="48">
        <v>42567.501597222225</v>
      </c>
      <c r="B48" s="65" t="s">
        <v>72</v>
      </c>
      <c r="C48" s="41" t="s">
        <v>484</v>
      </c>
      <c r="D48" s="41" t="s">
        <v>50</v>
      </c>
      <c r="E48" s="65" t="s">
        <v>51</v>
      </c>
      <c r="F48" s="66">
        <v>0</v>
      </c>
      <c r="G48" s="66">
        <v>9</v>
      </c>
      <c r="H48" s="66">
        <v>114</v>
      </c>
      <c r="I48" s="65" t="s">
        <v>52</v>
      </c>
      <c r="J48" s="66">
        <v>1</v>
      </c>
      <c r="K48" s="41" t="s">
        <v>54</v>
      </c>
      <c r="L48" s="93" t="str">
        <f>VLOOKUP(C48,'Trips&amp;Operators'!$C$1:$E$9999,3,0)</f>
        <v>BEAM</v>
      </c>
      <c r="M48" s="9" t="s">
        <v>105</v>
      </c>
      <c r="N48" s="10"/>
      <c r="O48" s="69"/>
      <c r="P48" s="72" t="str">
        <f>VLOOKUP(C48,'Train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8" s="70" t="str">
        <f>VLOOKUP(C48,'Train Runs'!$A$13:$AE$872,22,0)</f>
        <v>https://search-rtdc-monitor-bjffxe2xuh6vdkpspy63sjmuny.us-east-1.es.amazonaws.com/_plugin/kibana/#/discover/Steve-Slow-Train-Analysis-(2080s-and-2083s)?_g=(refreshInterval:(display:Off,section:0,value:0),time:(from:'2016-07-16 10:23:37-0600',mode:absolute,to:'2016-07-16 13:02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8" s="71" t="str">
        <f t="shared" si="5"/>
        <v>"C:\Program Files (x86)\AstroGrep\AstroGrep.exe" /spath="C:\Users\stu\Documents\Analysis\2016-02-23 RTDC Observations" /stypes="*4019*20160716*" /stext=" 18:.+((prompt.+disp)|(slice.+state.+chan)|(ment ac)|(system.+state.+chan)|(\|lc)|(penalty)|(\[timeout))" /e /r /s</v>
      </c>
      <c r="S48" s="9" t="str">
        <f t="shared" si="6"/>
        <v>4019</v>
      </c>
      <c r="T48" s="48">
        <f t="shared" si="7"/>
        <v>42567.751597222225</v>
      </c>
      <c r="U48" s="69" t="str">
        <f t="shared" si="8"/>
        <v>EC</v>
      </c>
      <c r="V48" s="69" t="str">
        <f t="shared" si="9"/>
        <v>OMIT</v>
      </c>
    </row>
    <row r="49" spans="1:22" ht="15" customHeight="1" x14ac:dyDescent="0.25">
      <c r="A49" s="48">
        <v>42567.683206018519</v>
      </c>
      <c r="B49" s="65" t="s">
        <v>72</v>
      </c>
      <c r="C49" s="41" t="s">
        <v>500</v>
      </c>
      <c r="D49" s="41" t="s">
        <v>50</v>
      </c>
      <c r="E49" s="65" t="s">
        <v>51</v>
      </c>
      <c r="F49" s="66">
        <v>0</v>
      </c>
      <c r="G49" s="66">
        <v>57</v>
      </c>
      <c r="H49" s="66">
        <v>194</v>
      </c>
      <c r="I49" s="65" t="s">
        <v>52</v>
      </c>
      <c r="J49" s="66">
        <v>1</v>
      </c>
      <c r="K49" s="41" t="s">
        <v>54</v>
      </c>
      <c r="L49" s="93" t="str">
        <f>VLOOKUP(C49,'Trips&amp;Operators'!$C$1:$E$9999,3,0)</f>
        <v>MAYBERRY</v>
      </c>
      <c r="M49" s="9" t="s">
        <v>105</v>
      </c>
      <c r="N49" s="10"/>
      <c r="O49" s="41"/>
      <c r="P49" s="72" t="str">
        <f>VLOOKUP(C49,'Train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49" s="70" t="str">
        <f>VLOOKUP(C49,'Train Runs'!$A$13:$AE$872,22,0)</f>
        <v>https://search-rtdc-monitor-bjffxe2xuh6vdkpspy63sjmuny.us-east-1.es.amazonaws.com/_plugin/kibana/#/discover/Steve-Slow-Train-Analysis-(2080s-and-2083s)?_g=(refreshInterval:(display:Off,section:0,value:0),time:(from:'2016-07-16 13:52:44-0600',mode:absolute,to:'2016-07-16 16:41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9" s="71" t="str">
        <f t="shared" si="5"/>
        <v>"C:\Program Files (x86)\AstroGrep\AstroGrep.exe" /spath="C:\Users\stu\Documents\Analysis\2016-02-23 RTDC Observations" /stypes="*4019*20160716*" /stext=" 22:.+((prompt.+disp)|(slice.+state.+chan)|(ment ac)|(system.+state.+chan)|(\|lc)|(penalty)|(\[timeout))" /e /r /s</v>
      </c>
      <c r="S49" s="9" t="str">
        <f t="shared" si="6"/>
        <v>4019</v>
      </c>
      <c r="T49" s="48">
        <f t="shared" si="7"/>
        <v>42567.933206018519</v>
      </c>
      <c r="U49" s="69" t="str">
        <f t="shared" si="8"/>
        <v>EC</v>
      </c>
      <c r="V49" s="69" t="str">
        <f t="shared" si="9"/>
        <v>KEEP</v>
      </c>
    </row>
    <row r="50" spans="1:22" ht="15" hidden="1" customHeight="1" x14ac:dyDescent="0.25">
      <c r="A50" s="48">
        <v>42567.688587962963</v>
      </c>
      <c r="B50" s="65" t="s">
        <v>67</v>
      </c>
      <c r="C50" s="41" t="s">
        <v>445</v>
      </c>
      <c r="D50" s="41" t="s">
        <v>50</v>
      </c>
      <c r="E50" s="65" t="s">
        <v>51</v>
      </c>
      <c r="F50" s="66">
        <v>0</v>
      </c>
      <c r="G50" s="66">
        <v>6</v>
      </c>
      <c r="H50" s="66">
        <v>431</v>
      </c>
      <c r="I50" s="65" t="s">
        <v>52</v>
      </c>
      <c r="J50" s="66">
        <v>1</v>
      </c>
      <c r="K50" s="41" t="s">
        <v>54</v>
      </c>
      <c r="L50" s="93" t="str">
        <f>VLOOKUP(C50,'Trips&amp;Operators'!$C$1:$E$9999,3,0)</f>
        <v>WEBSTER</v>
      </c>
      <c r="M50" s="9" t="s">
        <v>105</v>
      </c>
      <c r="N50" s="10"/>
      <c r="O50" s="41"/>
      <c r="P50" s="72" t="str">
        <f>VLOOKUP(C50,'Train Runs'!$A$13:$AE$872,31,0)</f>
        <v>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 &amp; 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</v>
      </c>
      <c r="Q50" s="70" t="str">
        <f>VLOOKUP(C50,'Train Runs'!$A$13:$AE$872,22,0)</f>
        <v>https://search-rtdc-monitor-bjffxe2xuh6vdkpspy63sjmuny.us-east-1.es.amazonaws.com/_plugin/kibana/#/discover/Steve-Slow-Train-Analysis-(2080s-and-2083s)?_g=(refreshInterval:(display:Off,section:0,value:0),time:(from:'2016-07-16 14:08:19-0600',mode:absolute,to:'2016-07-16 17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50" s="71" t="str">
        <f t="shared" si="5"/>
        <v>"C:\Program Files (x86)\AstroGrep\AstroGrep.exe" /spath="C:\Users\stu\Documents\Analysis\2016-02-23 RTDC Observations" /stypes="*4032*20160716*" /stext=" 22:.+((prompt.+disp)|(slice.+state.+chan)|(ment ac)|(system.+state.+chan)|(\|lc)|(penalty)|(\[timeout))" /e /r /s</v>
      </c>
      <c r="S50" s="9" t="str">
        <f t="shared" si="6"/>
        <v>4032</v>
      </c>
      <c r="T50" s="48">
        <f t="shared" si="7"/>
        <v>42567.938587962963</v>
      </c>
      <c r="U50" s="69" t="str">
        <f t="shared" si="8"/>
        <v>EC</v>
      </c>
      <c r="V50" s="69" t="str">
        <f t="shared" si="9"/>
        <v>OMIT</v>
      </c>
    </row>
    <row r="51" spans="1:22" ht="15" customHeight="1" x14ac:dyDescent="0.25">
      <c r="A51" s="48">
        <v>42567.768287037034</v>
      </c>
      <c r="B51" s="65" t="s">
        <v>211</v>
      </c>
      <c r="C51" s="41" t="s">
        <v>434</v>
      </c>
      <c r="D51" s="41" t="s">
        <v>50</v>
      </c>
      <c r="E51" s="65" t="s">
        <v>51</v>
      </c>
      <c r="F51" s="66">
        <v>0</v>
      </c>
      <c r="G51" s="66">
        <v>61</v>
      </c>
      <c r="H51" s="66">
        <v>216</v>
      </c>
      <c r="I51" s="65" t="s">
        <v>52</v>
      </c>
      <c r="J51" s="66">
        <v>1</v>
      </c>
      <c r="K51" s="41" t="s">
        <v>54</v>
      </c>
      <c r="L51" s="93" t="str">
        <f>VLOOKUP(C51,'Trips&amp;Operators'!$C$1:$E$9999,3,0)</f>
        <v>HELVIE</v>
      </c>
      <c r="M51" s="9" t="s">
        <v>105</v>
      </c>
      <c r="N51" s="10"/>
      <c r="O51" s="41"/>
      <c r="P51" s="72" t="str">
        <f>VLOOKUP(C51,'Train Runs'!$A$13:$AE$872,31,0)</f>
        <v>aws s3 cp s3://rtdc.mdm.uploadarchive/RTDC4041/2016-07-16/ "C:\Users\stu\Documents\Analysis\2016-02-23 RTDC Observations"\RTDC4041\2016-07-16 --recursive &amp; "C:\Users\stu\Documents\GitHub\mrs-test-scripts\Headless Mode &amp; Sideloading\WalkAndUnGZ.bat" "C:\Users\stu\Documents\Analysis\2016-02-23 RTDC Observations"\RTDC4041\2016-07-16 &amp; 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</v>
      </c>
      <c r="Q51" s="70" t="str">
        <f>VLOOKUP(C51,'Train Runs'!$A$13:$AE$872,22,0)</f>
        <v>https://search-rtdc-monitor-bjffxe2xuh6vdkpspy63sjmuny.us-east-1.es.amazonaws.com/_plugin/kibana/#/discover/Steve-Slow-Train-Analysis-(2080s-and-2083s)?_g=(refreshInterval:(display:Off,section:0,value:0),time:(from:'2016-07-16 15:48:58-0600',mode:absolute,to:'2016-07-16 18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1" s="71" t="str">
        <f t="shared" si="5"/>
        <v>"C:\Program Files (x86)\AstroGrep\AstroGrep.exe" /spath="C:\Users\stu\Documents\Analysis\2016-02-23 RTDC Observations" /stypes="*4041*20160717*" /stext=" 00:.+((prompt.+disp)|(slice.+state.+chan)|(ment ac)|(system.+state.+chan)|(\|lc)|(penalty)|(\[timeout))" /e /r /s</v>
      </c>
      <c r="S51" s="9" t="str">
        <f t="shared" si="6"/>
        <v>4041</v>
      </c>
      <c r="T51" s="48">
        <f t="shared" si="7"/>
        <v>42568.018287037034</v>
      </c>
      <c r="U51" s="69" t="str">
        <f t="shared" si="8"/>
        <v>EC</v>
      </c>
      <c r="V51" s="69" t="str">
        <f t="shared" si="9"/>
        <v>KEEP</v>
      </c>
    </row>
    <row r="52" spans="1:22" x14ac:dyDescent="0.25">
      <c r="A52" s="48">
        <v>42567.78434027778</v>
      </c>
      <c r="B52" s="65" t="s">
        <v>72</v>
      </c>
      <c r="C52" s="41" t="s">
        <v>438</v>
      </c>
      <c r="D52" s="41" t="s">
        <v>50</v>
      </c>
      <c r="E52" s="65" t="s">
        <v>51</v>
      </c>
      <c r="F52" s="66">
        <v>0</v>
      </c>
      <c r="G52" s="66">
        <v>67</v>
      </c>
      <c r="H52" s="66">
        <v>218</v>
      </c>
      <c r="I52" s="65" t="s">
        <v>52</v>
      </c>
      <c r="J52" s="66">
        <v>1</v>
      </c>
      <c r="K52" s="41" t="s">
        <v>54</v>
      </c>
      <c r="L52" s="93" t="str">
        <f>VLOOKUP(C52,'Trips&amp;Operators'!$C$1:$E$9999,3,0)</f>
        <v>MAYBERRY</v>
      </c>
      <c r="M52" s="9" t="s">
        <v>105</v>
      </c>
      <c r="N52" s="10"/>
      <c r="O52" s="41"/>
      <c r="P52" s="72" t="str">
        <f>VLOOKUP(C52,'Train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52" s="70" t="str">
        <f>VLOOKUP(C52,'Train Runs'!$A$13:$AE$872,22,0)</f>
        <v>https://search-rtdc-monitor-bjffxe2xuh6vdkpspy63sjmuny.us-east-1.es.amazonaws.com/_plugin/kibana/#/discover/Steve-Slow-Train-Analysis-(2080s-and-2083s)?_g=(refreshInterval:(display:Off,section:0,value:0),time:(from:'2016-07-16 16:51:23-0600',mode:absolute,to:'2016-07-16 19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52" s="71" t="str">
        <f t="shared" si="5"/>
        <v>"C:\Program Files (x86)\AstroGrep\AstroGrep.exe" /spath="C:\Users\stu\Documents\Analysis\2016-02-23 RTDC Observations" /stypes="*4019*20160717*" /stext=" 00:.+((prompt.+disp)|(slice.+state.+chan)|(ment ac)|(system.+state.+chan)|(\|lc)|(penalty)|(\[timeout))" /e /r /s</v>
      </c>
      <c r="S52" s="9" t="str">
        <f t="shared" si="6"/>
        <v>4019</v>
      </c>
      <c r="T52" s="48">
        <f t="shared" si="7"/>
        <v>42568.03434027778</v>
      </c>
      <c r="U52" s="69" t="str">
        <f t="shared" si="8"/>
        <v>EC</v>
      </c>
      <c r="V52" s="69" t="str">
        <f t="shared" si="9"/>
        <v>KEEP</v>
      </c>
    </row>
    <row r="53" spans="1:22" hidden="1" x14ac:dyDescent="0.25">
      <c r="A53" s="48">
        <v>42567.825069444443</v>
      </c>
      <c r="B53" s="41" t="s">
        <v>121</v>
      </c>
      <c r="C53" s="41" t="s">
        <v>461</v>
      </c>
      <c r="D53" s="41" t="s">
        <v>50</v>
      </c>
      <c r="E53" s="41" t="s">
        <v>51</v>
      </c>
      <c r="F53" s="66">
        <v>0</v>
      </c>
      <c r="G53" s="66">
        <v>9</v>
      </c>
      <c r="H53" s="66">
        <v>119</v>
      </c>
      <c r="I53" s="41" t="s">
        <v>52</v>
      </c>
      <c r="J53" s="66">
        <v>1</v>
      </c>
      <c r="K53" s="41" t="s">
        <v>54</v>
      </c>
      <c r="L53" s="93" t="str">
        <f>VLOOKUP(C53,'Trips&amp;Operators'!$C$1:$E$9999,3,0)</f>
        <v>NEWELL</v>
      </c>
      <c r="M53" s="9" t="s">
        <v>105</v>
      </c>
      <c r="N53" s="10"/>
      <c r="O53" s="41"/>
      <c r="P53" s="72" t="str">
        <f>VLOOKUP(C53,'Train Runs'!$A$13:$AE$872,31,0)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53" s="70" t="str">
        <f>VLOOKUP(C53,'Train Runs'!$A$13:$AE$872,22,0)</f>
        <v>https://search-rtdc-monitor-bjffxe2xuh6vdkpspy63sjmuny.us-east-1.es.amazonaws.com/_plugin/kibana/#/discover/Steve-Slow-Train-Analysis-(2080s-and-2083s)?_g=(refreshInterval:(display:Off,section:0,value:0),time:(from:'2016-07-16 17:51:11-0600',mode:absolute,to:'2016-07-16 20:48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53" s="71" t="str">
        <f t="shared" si="5"/>
        <v>"C:\Program Files (x86)\AstroGrep\AstroGrep.exe" /spath="C:\Users\stu\Documents\Analysis\2016-02-23 RTDC Observations" /stypes="*4030*20160717*" /stext=" 01:.+((prompt.+disp)|(slice.+state.+chan)|(ment ac)|(system.+state.+chan)|(\|lc)|(penalty)|(\[timeout))" /e /r /s</v>
      </c>
      <c r="S53" s="9" t="str">
        <f t="shared" si="6"/>
        <v>4030</v>
      </c>
      <c r="T53" s="48">
        <f t="shared" si="7"/>
        <v>42568.075069444443</v>
      </c>
      <c r="U53" s="69" t="str">
        <f t="shared" si="8"/>
        <v>EC</v>
      </c>
      <c r="V53" s="69" t="str">
        <f t="shared" si="9"/>
        <v>OMIT</v>
      </c>
    </row>
    <row r="54" spans="1:22" x14ac:dyDescent="0.25">
      <c r="A54" s="48">
        <v>42567.836597222224</v>
      </c>
      <c r="B54" s="65" t="s">
        <v>114</v>
      </c>
      <c r="C54" s="41" t="s">
        <v>439</v>
      </c>
      <c r="D54" s="41" t="s">
        <v>50</v>
      </c>
      <c r="E54" s="65" t="s">
        <v>51</v>
      </c>
      <c r="F54" s="66">
        <v>0</v>
      </c>
      <c r="G54" s="66">
        <v>56</v>
      </c>
      <c r="H54" s="66">
        <v>176</v>
      </c>
      <c r="I54" s="65" t="s">
        <v>52</v>
      </c>
      <c r="J54" s="66">
        <v>1</v>
      </c>
      <c r="K54" s="41" t="s">
        <v>54</v>
      </c>
      <c r="L54" s="93" t="str">
        <f>VLOOKUP(C54,'Trips&amp;Operators'!$C$1:$E$9999,3,0)</f>
        <v>CHANDLER</v>
      </c>
      <c r="M54" s="9" t="s">
        <v>105</v>
      </c>
      <c r="N54" s="10"/>
      <c r="O54" s="41"/>
      <c r="P54" s="72" t="str">
        <f>VLOOKUP(C54,'Train Runs'!$A$13:$AE$872,31,0)</f>
        <v>aws s3 cp s3://rtdc.mdm.uploadarchive/RTDC4026/2016-07-16/ "C:\Users\stu\Documents\Analysis\2016-02-23 RTDC Observations"\RTDC4026\2016-07-16 --recursive &amp; "C:\Users\stu\Documents\GitHub\mrs-test-scripts\Headless Mode &amp; Sideloading\WalkAndUnGZ.bat" "C:\Users\stu\Documents\Analysis\2016-02-23 RTDC Observations"\RTDC4026\2016-07-16 &amp; 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</v>
      </c>
      <c r="Q54" s="70" t="str">
        <f>VLOOKUP(C54,'Train Runs'!$A$13:$AE$872,22,0)</f>
        <v>https://search-rtdc-monitor-bjffxe2xuh6vdkpspy63sjmuny.us-east-1.es.amazonaws.com/_plugin/kibana/#/discover/Steve-Slow-Train-Analysis-(2080s-and-2083s)?_g=(refreshInterval:(display:Off,section:0,value:0),time:(from:'2016-07-16 18:26:07-0600',mode:absolute,to:'2016-07-16 21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4" s="71" t="str">
        <f t="shared" si="5"/>
        <v>"C:\Program Files (x86)\AstroGrep\AstroGrep.exe" /spath="C:\Users\stu\Documents\Analysis\2016-02-23 RTDC Observations" /stypes="*4026*20160717*" /stext=" 02:.+((prompt.+disp)|(slice.+state.+chan)|(ment ac)|(system.+state.+chan)|(\|lc)|(penalty)|(\[timeout))" /e /r /s</v>
      </c>
      <c r="S54" s="9" t="str">
        <f t="shared" si="6"/>
        <v>4026</v>
      </c>
      <c r="T54" s="48">
        <f t="shared" si="7"/>
        <v>42568.086597222224</v>
      </c>
      <c r="U54" s="69" t="str">
        <f t="shared" si="8"/>
        <v>EC</v>
      </c>
      <c r="V54" s="69" t="str">
        <f t="shared" si="9"/>
        <v>KEEP</v>
      </c>
    </row>
    <row r="55" spans="1:22" x14ac:dyDescent="0.25">
      <c r="A55" s="48">
        <v>42567.899062500001</v>
      </c>
      <c r="B55" s="65" t="s">
        <v>121</v>
      </c>
      <c r="C55" s="41" t="s">
        <v>493</v>
      </c>
      <c r="D55" s="41" t="s">
        <v>50</v>
      </c>
      <c r="E55" s="65" t="s">
        <v>51</v>
      </c>
      <c r="F55" s="66">
        <v>0</v>
      </c>
      <c r="G55" s="66">
        <v>54</v>
      </c>
      <c r="H55" s="66">
        <v>194</v>
      </c>
      <c r="I55" s="65" t="s">
        <v>52</v>
      </c>
      <c r="J55" s="66">
        <v>1</v>
      </c>
      <c r="K55" s="41" t="s">
        <v>54</v>
      </c>
      <c r="L55" s="93" t="str">
        <f>VLOOKUP(C55,'Trips&amp;Operators'!$C$1:$E$9999,3,0)</f>
        <v>KILLION</v>
      </c>
      <c r="M55" s="9" t="s">
        <v>105</v>
      </c>
      <c r="N55" s="10"/>
      <c r="O55" s="41"/>
      <c r="P55" s="72" t="str">
        <f>VLOOKUP(C55,'Train Runs'!$A$13:$AE$872,31,0)</f>
        <v>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 &amp; aws s3 cp s3://rtdc.mdm.uploadarchive/RTDC4030/2016-07-17/ "C:\Users\stu\Documents\Analysis\2016-02-23 RTDC Observations"\RTDC4030\2016-07-17 --recursive &amp; "C:\Users\stu\Documents\GitHub\mrs-test-scripts\Headless Mode &amp; Sideloading\WalkAndUnGZ.bat" "C:\Users\stu\Documents\Analysis\2016-02-23 RTDC Observations"\RTDC4030\2016-07-17</v>
      </c>
      <c r="Q55" s="70" t="str">
        <f>VLOOKUP(C55,'Train Runs'!$A$13:$AE$872,22,0)</f>
        <v>https://search-rtdc-monitor-bjffxe2xuh6vdkpspy63sjmuny.us-east-1.es.amazonaws.com/_plugin/kibana/#/discover/Steve-Slow-Train-Analysis-(2080s-and-2083s)?_g=(refreshInterval:(display:Off,section:0,value:0),time:(from:'2016-07-16 19:49:18-0600',mode:absolute,to:'2016-07-16 22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R55" s="71" t="str">
        <f t="shared" si="5"/>
        <v>"C:\Program Files (x86)\AstroGrep\AstroGrep.exe" /spath="C:\Users\stu\Documents\Analysis\2016-02-23 RTDC Observations" /stypes="*4030*20160717*" /stext=" 03:.+((prompt.+disp)|(slice.+state.+chan)|(ment ac)|(system.+state.+chan)|(\|lc)|(penalty)|(\[timeout))" /e /r /s</v>
      </c>
      <c r="S55" s="9" t="str">
        <f t="shared" si="6"/>
        <v>4030</v>
      </c>
      <c r="T55" s="48">
        <f t="shared" si="7"/>
        <v>42568.149062500001</v>
      </c>
      <c r="U55" s="69" t="str">
        <f t="shared" si="8"/>
        <v>EC</v>
      </c>
      <c r="V55" s="69" t="str">
        <f t="shared" si="9"/>
        <v>KEEP</v>
      </c>
    </row>
    <row r="56" spans="1:22" hidden="1" x14ac:dyDescent="0.25">
      <c r="A56" s="48">
        <v>42567.919895833336</v>
      </c>
      <c r="B56" s="41" t="s">
        <v>72</v>
      </c>
      <c r="C56" s="41" t="s">
        <v>441</v>
      </c>
      <c r="D56" s="41" t="s">
        <v>50</v>
      </c>
      <c r="E56" s="41" t="s">
        <v>51</v>
      </c>
      <c r="F56" s="66">
        <v>0</v>
      </c>
      <c r="G56" s="66">
        <v>5</v>
      </c>
      <c r="H56" s="66">
        <v>130</v>
      </c>
      <c r="I56" s="41" t="s">
        <v>52</v>
      </c>
      <c r="J56" s="66">
        <v>1</v>
      </c>
      <c r="K56" s="41" t="s">
        <v>54</v>
      </c>
      <c r="L56" s="93" t="str">
        <f>VLOOKUP(C56,'Trips&amp;Operators'!$C$1:$E$9999,3,0)</f>
        <v>STURGEON</v>
      </c>
      <c r="M56" s="9" t="s">
        <v>105</v>
      </c>
      <c r="N56" s="10"/>
      <c r="O56" s="41"/>
      <c r="P56" s="72" t="str">
        <f>VLOOKUP(C56,'Train Runs'!$A$13:$AE$872,31,0)</f>
        <v>aws s3 cp s3://rtdc.mdm.uploadarchive/RTDC4019/2016-07-16/ "C:\Users\stu\Documents\Analysis\2016-02-23 RTDC Observations"\RTDC4019\2016-07-16 --recursive &amp; "C:\Users\stu\Documents\GitHub\mrs-test-scripts\Headless Mode &amp; Sideloading\WalkAndUnGZ.bat" "C:\Users\stu\Documents\Analysis\2016-02-23 RTDC Observations"\RTDC4019\2016-07-16 &amp; aws s3 cp s3://rtdc.mdm.uploadarchive/RTDC4019/2016-07-17/ "C:\Users\stu\Documents\Analysis\2016-02-23 RTDC Observations"\RTDC4019\2016-07-17 --recursive &amp; "C:\Users\stu\Documents\GitHub\mrs-test-scripts\Headless Mode &amp; Sideloading\WalkAndUnGZ.bat" "C:\Users\stu\Documents\Analysis\2016-02-23 RTDC Observations"\RTDC4019\2016-07-17</v>
      </c>
      <c r="Q56" s="70" t="str">
        <f>VLOOKUP(C56,'Train Runs'!$A$13:$AE$872,22,0)</f>
        <v>https://search-rtdc-monitor-bjffxe2xuh6vdkpspy63sjmuny.us-east-1.es.amazonaws.com/_plugin/kibana/#/discover/Steve-Slow-Train-Analysis-(2080s-and-2083s)?_g=(refreshInterval:(display:Off,section:0,value:0),time:(from:'2016-07-16 20:05:18-0600',mode:absolute,to:'2016-07-16 23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56" s="71" t="str">
        <f t="shared" si="5"/>
        <v>"C:\Program Files (x86)\AstroGrep\AstroGrep.exe" /spath="C:\Users\stu\Documents\Analysis\2016-02-23 RTDC Observations" /stypes="*4019*20160717*" /stext=" 04:.+((prompt.+disp)|(slice.+state.+chan)|(ment ac)|(system.+state.+chan)|(\|lc)|(penalty)|(\[timeout))" /e /r /s</v>
      </c>
      <c r="S56" s="9" t="str">
        <f t="shared" si="6"/>
        <v>4019</v>
      </c>
      <c r="T56" s="48">
        <f t="shared" si="7"/>
        <v>42568.169895833336</v>
      </c>
      <c r="U56" s="69" t="str">
        <f t="shared" si="8"/>
        <v>EC</v>
      </c>
      <c r="V56" s="69" t="str">
        <f t="shared" si="9"/>
        <v>OMIT</v>
      </c>
    </row>
    <row r="57" spans="1:22" hidden="1" x14ac:dyDescent="0.25">
      <c r="A57" s="48">
        <v>42567.960868055554</v>
      </c>
      <c r="B57" s="65" t="s">
        <v>139</v>
      </c>
      <c r="C57" s="41" t="s">
        <v>408</v>
      </c>
      <c r="D57" s="41" t="s">
        <v>50</v>
      </c>
      <c r="E57" s="65" t="s">
        <v>51</v>
      </c>
      <c r="F57" s="66">
        <v>0</v>
      </c>
      <c r="G57" s="66">
        <v>7</v>
      </c>
      <c r="H57" s="66">
        <v>130</v>
      </c>
      <c r="I57" s="65" t="s">
        <v>52</v>
      </c>
      <c r="J57" s="66">
        <v>1</v>
      </c>
      <c r="K57" s="41" t="s">
        <v>54</v>
      </c>
      <c r="L57" s="93" t="str">
        <f>VLOOKUP(C57,'Trips&amp;Operators'!$C$1:$E$9999,3,0)</f>
        <v>NEWELL</v>
      </c>
      <c r="M57" s="9" t="s">
        <v>105</v>
      </c>
      <c r="N57" s="10"/>
      <c r="O57" s="41"/>
      <c r="P57" s="72" t="str">
        <f>VLOOKUP(C57,'Train Runs'!$A$13:$AE$872,31,0)</f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Q57" s="70" t="str">
        <f>VLOOKUP(C57,'Train Runs'!$A$13:$AE$872,22,0)</f>
        <v>https://search-rtdc-monitor-bjffxe2xuh6vdkpspy63sjmuny.us-east-1.es.amazonaws.com/_plugin/kibana/#/discover/Steve-Slow-Train-Analysis-(2080s-and-2083s)?_g=(refreshInterval:(display:Off,section:0,value:0),time:(from:'2016-07-16 21:22:18-0600',mode:absolute,to:'2016-07-17 00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57" s="71" t="str">
        <f t="shared" si="5"/>
        <v>"C:\Program Files (x86)\AstroGrep\AstroGrep.exe" /spath="C:\Users\stu\Documents\Analysis\2016-02-23 RTDC Observations" /stypes="*4039*20160717*" /stext=" 05:.+((prompt.+disp)|(slice.+state.+chan)|(ment ac)|(system.+state.+chan)|(\|lc)|(penalty)|(\[timeout))" /e /r /s</v>
      </c>
      <c r="S57" s="9" t="str">
        <f t="shared" si="6"/>
        <v>4039</v>
      </c>
      <c r="T57" s="48">
        <f t="shared" si="7"/>
        <v>42568.210868055554</v>
      </c>
      <c r="U57" s="69" t="str">
        <f t="shared" si="8"/>
        <v>EC</v>
      </c>
      <c r="V57" s="69" t="str">
        <f t="shared" si="9"/>
        <v>OMIT</v>
      </c>
    </row>
    <row r="58" spans="1:22" hidden="1" x14ac:dyDescent="0.25">
      <c r="A58" s="48">
        <v>42567.962164351855</v>
      </c>
      <c r="B58" s="41" t="s">
        <v>139</v>
      </c>
      <c r="C58" s="41" t="s">
        <v>408</v>
      </c>
      <c r="D58" s="41" t="s">
        <v>50</v>
      </c>
      <c r="E58" s="41" t="s">
        <v>51</v>
      </c>
      <c r="F58" s="66">
        <v>0</v>
      </c>
      <c r="G58" s="66">
        <v>5</v>
      </c>
      <c r="H58" s="66">
        <v>114</v>
      </c>
      <c r="I58" s="41" t="s">
        <v>52</v>
      </c>
      <c r="J58" s="66">
        <v>1</v>
      </c>
      <c r="K58" s="41" t="s">
        <v>54</v>
      </c>
      <c r="L58" s="93" t="str">
        <f>VLOOKUP(C58,'Trips&amp;Operators'!$C$1:$E$9999,3,0)</f>
        <v>NEWELL</v>
      </c>
      <c r="M58" s="9" t="s">
        <v>105</v>
      </c>
      <c r="N58" s="10"/>
      <c r="O58" s="41"/>
      <c r="P58" s="72" t="str">
        <f>VLOOKUP(C58,'Train Runs'!$A$13:$AE$872,31,0)</f>
        <v>aws s3 cp s3://rtdc.mdm.uploadarchive/RTDC4039/2016-07-16/ "C:\Users\stu\Documents\Analysis\2016-02-23 RTDC Observations"\RTDC4039\2016-07-16 --recursive &amp; "C:\Users\stu\Documents\GitHub\mrs-test-scripts\Headless Mode &amp; Sideloading\WalkAndUnGZ.bat" "C:\Users\stu\Documents\Analysis\2016-02-23 RTDC Observations"\RTDC4039\2016-07-16 &amp; aws s3 cp s3://rtdc.mdm.uploadarchive/RTDC4039/2016-07-17/ "C:\Users\stu\Documents\Analysis\2016-02-23 RTDC Observations"\RTDC4039\2016-07-17 --recursive &amp; "C:\Users\stu\Documents\GitHub\mrs-test-scripts\Headless Mode &amp; Sideloading\WalkAndUnGZ.bat" "C:\Users\stu\Documents\Analysis\2016-02-23 RTDC Observations"\RTDC4039\2016-07-17</v>
      </c>
      <c r="Q58" s="70" t="str">
        <f>VLOOKUP(C58,'Train Runs'!$A$13:$AE$872,22,0)</f>
        <v>https://search-rtdc-monitor-bjffxe2xuh6vdkpspy63sjmuny.us-east-1.es.amazonaws.com/_plugin/kibana/#/discover/Steve-Slow-Train-Analysis-(2080s-and-2083s)?_g=(refreshInterval:(display:Off,section:0,value:0),time:(from:'2016-07-16 21:22:18-0600',mode:absolute,to:'2016-07-17 00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58" s="71" t="str">
        <f t="shared" si="5"/>
        <v>"C:\Program Files (x86)\AstroGrep\AstroGrep.exe" /spath="C:\Users\stu\Documents\Analysis\2016-02-23 RTDC Observations" /stypes="*4039*20160717*" /stext=" 05:.+((prompt.+disp)|(slice.+state.+chan)|(ment ac)|(system.+state.+chan)|(\|lc)|(penalty)|(\[timeout))" /e /r /s</v>
      </c>
      <c r="S58" s="9" t="str">
        <f t="shared" si="6"/>
        <v>4039</v>
      </c>
      <c r="T58" s="48">
        <f t="shared" si="7"/>
        <v>42568.212164351855</v>
      </c>
      <c r="U58" s="69" t="str">
        <f t="shared" si="8"/>
        <v>EC</v>
      </c>
      <c r="V58" s="69" t="str">
        <f t="shared" si="9"/>
        <v>OMIT</v>
      </c>
    </row>
    <row r="59" spans="1:22" x14ac:dyDescent="0.25">
      <c r="A59" s="48">
        <v>42568.064467592594</v>
      </c>
      <c r="B59" s="65" t="s">
        <v>114</v>
      </c>
      <c r="C59" s="41" t="s">
        <v>410</v>
      </c>
      <c r="D59" s="41" t="s">
        <v>50</v>
      </c>
      <c r="E59" s="65" t="s">
        <v>51</v>
      </c>
      <c r="F59" s="66">
        <v>0</v>
      </c>
      <c r="G59" s="66">
        <v>80</v>
      </c>
      <c r="H59" s="66">
        <v>276</v>
      </c>
      <c r="I59" s="65" t="s">
        <v>52</v>
      </c>
      <c r="J59" s="66">
        <v>1</v>
      </c>
      <c r="K59" s="41" t="s">
        <v>54</v>
      </c>
      <c r="L59" s="93" t="str">
        <f>VLOOKUP(C59,'Trips&amp;Operators'!$C$1:$E$9999,3,0)</f>
        <v>CHANDLER</v>
      </c>
      <c r="M59" s="9" t="s">
        <v>105</v>
      </c>
      <c r="N59" s="10"/>
      <c r="O59" s="41"/>
      <c r="P59" s="72" t="str">
        <f>VLOOKUP(C59,'Train Runs'!$A$13:$AE$872,31,0)</f>
        <v>aws s3 cp s3://rtdc.mdm.uploadarchive/RTDC4026/2016-07-17/ "C:\Users\stu\Documents\Analysis\2016-02-23 RTDC Observations"\RTDC4026\2016-07-17 --recursive &amp; "C:\Users\stu\Documents\GitHub\mrs-test-scripts\Headless Mode &amp; Sideloading\WalkAndUnGZ.bat" "C:\Users\stu\Documents\Analysis\2016-02-23 RTDC Observations"\RTDC4026\2016-07-17 &amp; aws s3 cp s3://rtdc.mdm.uploadarchive/RTDC4026/2016-07-18/ "C:\Users\stu\Documents\Analysis\2016-02-23 RTDC Observations"\RTDC4026\2016-07-18 --recursive &amp; "C:\Users\stu\Documents\GitHub\mrs-test-scripts\Headless Mode &amp; Sideloading\WalkAndUnGZ.bat" "C:\Users\stu\Documents\Analysis\2016-02-23 RTDC Observations"\RTDC4026\2016-07-18</v>
      </c>
      <c r="Q59" s="70" t="str">
        <f>VLOOKUP(C59,'Train Runs'!$A$13:$AE$872,22,0)</f>
        <v>https://search-rtdc-monitor-bjffxe2xuh6vdkpspy63sjmuny.us-east-1.es.amazonaws.com/_plugin/kibana/#/discover/Steve-Slow-Train-Analysis-(2080s-and-2083s)?_g=(refreshInterval:(display:Off,section:0,value:0),time:(from:'2016-07-16 23:51:15-0600',mode:absolute,to:'2016-07-17 02:32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9" s="71" t="str">
        <f t="shared" si="5"/>
        <v>"C:\Program Files (x86)\AstroGrep\AstroGrep.exe" /spath="C:\Users\stu\Documents\Analysis\2016-02-23 RTDC Observations" /stypes="*4026*20160717*" /stext=" 07:.+((prompt.+disp)|(slice.+state.+chan)|(ment ac)|(system.+state.+chan)|(\|lc)|(penalty)|(\[timeout))" /e /r /s</v>
      </c>
      <c r="S59" s="9" t="str">
        <f t="shared" si="6"/>
        <v>4026</v>
      </c>
      <c r="T59" s="48">
        <f t="shared" si="7"/>
        <v>42568.314467592594</v>
      </c>
      <c r="U59" s="69" t="str">
        <f t="shared" si="8"/>
        <v>EC</v>
      </c>
      <c r="V59" s="69" t="str">
        <f t="shared" si="9"/>
        <v>KEEP</v>
      </c>
    </row>
    <row r="60" spans="1:22" hidden="1" x14ac:dyDescent="0.25">
      <c r="A60" s="48">
        <v>42567.295624999999</v>
      </c>
      <c r="B60" s="65" t="s">
        <v>83</v>
      </c>
      <c r="C60" s="41" t="s">
        <v>508</v>
      </c>
      <c r="D60" s="41" t="s">
        <v>50</v>
      </c>
      <c r="E60" s="65" t="s">
        <v>51</v>
      </c>
      <c r="F60" s="66">
        <v>0</v>
      </c>
      <c r="G60" s="66">
        <v>9</v>
      </c>
      <c r="H60" s="66">
        <v>233161</v>
      </c>
      <c r="I60" s="65" t="s">
        <v>52</v>
      </c>
      <c r="J60" s="66">
        <v>233491</v>
      </c>
      <c r="K60" s="41" t="s">
        <v>53</v>
      </c>
      <c r="L60" s="93" t="str">
        <f>VLOOKUP(C60,'Trips&amp;Operators'!$C$1:$E$9999,3,0)</f>
        <v>BRANNON</v>
      </c>
      <c r="M60" s="9" t="s">
        <v>105</v>
      </c>
      <c r="N60" s="10"/>
      <c r="O60" s="41"/>
      <c r="P60" s="72" t="str">
        <f>VLOOKUP(C60,'Train Runs'!$A$13:$AE$872,31,0)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60" s="70" t="str">
        <f>VLOOKUP(C60,'Train Runs'!$A$13:$AE$872,22,0)</f>
        <v>https://search-rtdc-monitor-bjffxe2xuh6vdkpspy63sjmuny.us-east-1.es.amazonaws.com/_plugin/kibana/#/discover/Steve-Slow-Train-Analysis-(2080s-and-2083s)?_g=(refreshInterval:(display:Off,section:0,value:0),time:(from:'2016-07-16 05:26:45-0600',mode:absolute,to:'2016-07-16 08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60" s="71" t="str">
        <f t="shared" si="5"/>
        <v>"C:\Program Files (x86)\AstroGrep\AstroGrep.exe" /spath="C:\Users\stu\Documents\Analysis\2016-02-23 RTDC Observations" /stypes="*4042*20160716*" /stext=" 13:.+((prompt.+disp)|(slice.+state.+chan)|(ment ac)|(system.+state.+chan)|(\|lc)|(penalty)|(\[timeout))" /e /r /s</v>
      </c>
      <c r="S60" s="9" t="str">
        <f t="shared" si="6"/>
        <v>4042</v>
      </c>
      <c r="T60" s="48">
        <f t="shared" si="7"/>
        <v>42567.545624999999</v>
      </c>
      <c r="U60" s="69" t="str">
        <f t="shared" si="8"/>
        <v>EC</v>
      </c>
      <c r="V60" s="69" t="str">
        <f t="shared" si="9"/>
        <v>OMIT</v>
      </c>
    </row>
    <row r="61" spans="1:22" hidden="1" x14ac:dyDescent="0.25">
      <c r="A61" s="48">
        <v>42567.410798611112</v>
      </c>
      <c r="B61" s="65" t="s">
        <v>120</v>
      </c>
      <c r="C61" s="41" t="s">
        <v>382</v>
      </c>
      <c r="D61" s="41" t="s">
        <v>50</v>
      </c>
      <c r="E61" s="65" t="s">
        <v>51</v>
      </c>
      <c r="F61" s="66">
        <v>0</v>
      </c>
      <c r="G61" s="66">
        <v>9</v>
      </c>
      <c r="H61" s="66">
        <v>233301</v>
      </c>
      <c r="I61" s="65" t="s">
        <v>52</v>
      </c>
      <c r="J61" s="66">
        <v>233491</v>
      </c>
      <c r="K61" s="41" t="s">
        <v>53</v>
      </c>
      <c r="L61" s="93" t="str">
        <f>VLOOKUP(C61,'Trips&amp;Operators'!$C$1:$E$9999,3,0)</f>
        <v>MALAVE</v>
      </c>
      <c r="M61" s="9" t="s">
        <v>105</v>
      </c>
      <c r="N61" s="10"/>
      <c r="O61" s="41"/>
      <c r="P61" s="72" t="str">
        <f>VLOOKUP(C61,'Train Runs'!$A$13:$AE$872,31,0)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61" s="70" t="str">
        <f>VLOOKUP(C61,'Train Runs'!$A$13:$AE$872,22,0)</f>
        <v>https://search-rtdc-monitor-bjffxe2xuh6vdkpspy63sjmuny.us-east-1.es.amazonaws.com/_plugin/kibana/#/discover/Steve-Slow-Train-Analysis-(2080s-and-2083s)?_g=(refreshInterval:(display:Off,section:0,value:0),time:(from:'2016-07-16 08:15:21-0600',mode:absolute,to:'2016-07-16 10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1" s="71" t="str">
        <f t="shared" si="5"/>
        <v>"C:\Program Files (x86)\AstroGrep\AstroGrep.exe" /spath="C:\Users\stu\Documents\Analysis\2016-02-23 RTDC Observations" /stypes="*4029*20160716*" /stext=" 15:.+((prompt.+disp)|(slice.+state.+chan)|(ment ac)|(system.+state.+chan)|(\|lc)|(penalty)|(\[timeout))" /e /r /s</v>
      </c>
      <c r="S61" s="9" t="str">
        <f t="shared" si="6"/>
        <v>4029</v>
      </c>
      <c r="T61" s="48">
        <f t="shared" si="7"/>
        <v>42567.660798611112</v>
      </c>
      <c r="U61" s="69" t="str">
        <f t="shared" si="8"/>
        <v>EC</v>
      </c>
      <c r="V61" s="69" t="str">
        <f t="shared" si="9"/>
        <v>OMIT</v>
      </c>
    </row>
    <row r="62" spans="1:22" x14ac:dyDescent="0.25">
      <c r="A62" s="48">
        <v>42567.420659722222</v>
      </c>
      <c r="B62" s="65" t="s">
        <v>74</v>
      </c>
      <c r="C62" s="41" t="s">
        <v>417</v>
      </c>
      <c r="D62" s="41" t="s">
        <v>50</v>
      </c>
      <c r="E62" s="65" t="s">
        <v>51</v>
      </c>
      <c r="F62" s="66">
        <v>0</v>
      </c>
      <c r="G62" s="66">
        <v>65</v>
      </c>
      <c r="H62" s="66">
        <v>233278</v>
      </c>
      <c r="I62" s="65" t="s">
        <v>52</v>
      </c>
      <c r="J62" s="66">
        <v>233491</v>
      </c>
      <c r="K62" s="41" t="s">
        <v>53</v>
      </c>
      <c r="L62" s="93" t="str">
        <f>VLOOKUP(C62,'Trips&amp;Operators'!$C$1:$E$9999,3,0)</f>
        <v>ACKERMAN</v>
      </c>
      <c r="M62" s="9" t="s">
        <v>105</v>
      </c>
      <c r="N62" s="10"/>
      <c r="O62" s="69"/>
      <c r="P62" s="72" t="str">
        <f>VLOOKUP(C62,'Train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62" s="70" t="str">
        <f>VLOOKUP(C62,'Train Runs'!$A$13:$AE$872,22,0)</f>
        <v>https://search-rtdc-monitor-bjffxe2xuh6vdkpspy63sjmuny.us-east-1.es.amazonaws.com/_plugin/kibana/#/discover/Steve-Slow-Train-Analysis-(2080s-and-2083s)?_g=(refreshInterval:(display:Off,section:0,value:0),time:(from:'2016-07-16 08:24:03-0600',mode:absolute,to:'2016-07-16 11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2" s="71" t="str">
        <f t="shared" si="5"/>
        <v>"C:\Program Files (x86)\AstroGrep\AstroGrep.exe" /spath="C:\Users\stu\Documents\Analysis\2016-02-23 RTDC Observations" /stypes="*4018*20160716*" /stext=" 16:.+((prompt.+disp)|(slice.+state.+chan)|(ment ac)|(system.+state.+chan)|(\|lc)|(penalty)|(\[timeout))" /e /r /s</v>
      </c>
      <c r="S62" s="9" t="str">
        <f t="shared" si="6"/>
        <v>4018</v>
      </c>
      <c r="T62" s="48">
        <f t="shared" si="7"/>
        <v>42567.670659722222</v>
      </c>
      <c r="U62" s="69" t="str">
        <f t="shared" si="8"/>
        <v>EC</v>
      </c>
      <c r="V62" s="69" t="str">
        <f t="shared" si="9"/>
        <v>KEEP</v>
      </c>
    </row>
    <row r="63" spans="1:22" hidden="1" x14ac:dyDescent="0.25">
      <c r="A63" s="48">
        <v>42567.461412037039</v>
      </c>
      <c r="B63" s="65" t="s">
        <v>73</v>
      </c>
      <c r="C63" s="41" t="s">
        <v>456</v>
      </c>
      <c r="D63" s="41" t="s">
        <v>50</v>
      </c>
      <c r="E63" s="65" t="s">
        <v>51</v>
      </c>
      <c r="F63" s="66">
        <v>0</v>
      </c>
      <c r="G63" s="66">
        <v>3</v>
      </c>
      <c r="H63" s="66">
        <v>233338</v>
      </c>
      <c r="I63" s="65" t="s">
        <v>52</v>
      </c>
      <c r="J63" s="66">
        <v>233491</v>
      </c>
      <c r="K63" s="41" t="s">
        <v>53</v>
      </c>
      <c r="L63" s="93" t="str">
        <f>VLOOKUP(C63,'Trips&amp;Operators'!$C$1:$E$9999,3,0)</f>
        <v>BEAM</v>
      </c>
      <c r="M63" s="9" t="s">
        <v>105</v>
      </c>
      <c r="N63" s="10"/>
      <c r="O63" s="41"/>
      <c r="P63" s="72" t="str">
        <f>VLOOKUP(C63,'Train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63" s="70" t="str">
        <f>VLOOKUP(C63,'Train Runs'!$A$13:$AE$872,22,0)</f>
        <v>https://search-rtdc-monitor-bjffxe2xuh6vdkpspy63sjmuny.us-east-1.es.amazonaws.com/_plugin/kibana/#/discover/Steve-Slow-Train-Analysis-(2080s-and-2083s)?_g=(refreshInterval:(display:Off,section:0,value:0),time:(from:'2016-07-16 09:22:10-0600',mode:absolute,to:'2016-07-16 12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3" s="71" t="str">
        <f t="shared" si="5"/>
        <v>"C:\Program Files (x86)\AstroGrep\AstroGrep.exe" /spath="C:\Users\stu\Documents\Analysis\2016-02-23 RTDC Observations" /stypes="*4020*20160716*" /stext=" 17:.+((prompt.+disp)|(slice.+state.+chan)|(ment ac)|(system.+state.+chan)|(\|lc)|(penalty)|(\[timeout))" /e /r /s</v>
      </c>
      <c r="S63" s="9" t="str">
        <f t="shared" si="6"/>
        <v>4020</v>
      </c>
      <c r="T63" s="48">
        <f t="shared" si="7"/>
        <v>42567.711412037039</v>
      </c>
      <c r="U63" s="69" t="str">
        <f t="shared" si="8"/>
        <v>EC</v>
      </c>
      <c r="V63" s="69" t="str">
        <f t="shared" si="9"/>
        <v>OMIT</v>
      </c>
    </row>
    <row r="64" spans="1:22" hidden="1" x14ac:dyDescent="0.25">
      <c r="A64" s="48">
        <v>42567.494479166664</v>
      </c>
      <c r="B64" s="65" t="s">
        <v>74</v>
      </c>
      <c r="C64" s="41" t="s">
        <v>391</v>
      </c>
      <c r="D64" s="41" t="s">
        <v>50</v>
      </c>
      <c r="E64" s="65" t="s">
        <v>51</v>
      </c>
      <c r="F64" s="66">
        <v>0</v>
      </c>
      <c r="G64" s="66">
        <v>9</v>
      </c>
      <c r="H64" s="66">
        <v>233328</v>
      </c>
      <c r="I64" s="65" t="s">
        <v>52</v>
      </c>
      <c r="J64" s="66">
        <v>233491</v>
      </c>
      <c r="K64" s="41" t="s">
        <v>53</v>
      </c>
      <c r="L64" s="93" t="str">
        <f>VLOOKUP(C64,'Trips&amp;Operators'!$C$1:$E$9999,3,0)</f>
        <v>STORY</v>
      </c>
      <c r="M64" s="9" t="s">
        <v>105</v>
      </c>
      <c r="N64" s="10"/>
      <c r="O64" s="41"/>
      <c r="P64" s="72" t="str">
        <f>VLOOKUP(C64,'Train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64" s="70" t="str">
        <f>VLOOKUP(C64,'Train Runs'!$A$13:$AE$872,22,0)</f>
        <v>https://search-rtdc-monitor-bjffxe2xuh6vdkpspy63sjmuny.us-east-1.es.amazonaws.com/_plugin/kibana/#/discover/Steve-Slow-Train-Analysis-(2080s-and-2083s)?_g=(refreshInterval:(display:Off,section:0,value:0),time:(from:'2016-07-16 10:06:55-0600',mode:absolute,to:'2016-07-16 12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4" s="71" t="str">
        <f t="shared" si="5"/>
        <v>"C:\Program Files (x86)\AstroGrep\AstroGrep.exe" /spath="C:\Users\stu\Documents\Analysis\2016-02-23 RTDC Observations" /stypes="*4018*20160716*" /stext=" 17:.+((prompt.+disp)|(slice.+state.+chan)|(ment ac)|(system.+state.+chan)|(\|lc)|(penalty)|(\[timeout))" /e /r /s</v>
      </c>
      <c r="S64" s="9" t="str">
        <f t="shared" si="6"/>
        <v>4018</v>
      </c>
      <c r="T64" s="48">
        <f t="shared" si="7"/>
        <v>42567.744479166664</v>
      </c>
      <c r="U64" s="69" t="str">
        <f t="shared" si="8"/>
        <v>EC</v>
      </c>
      <c r="V64" s="69" t="str">
        <f t="shared" si="9"/>
        <v>OMIT</v>
      </c>
    </row>
    <row r="65" spans="1:22" hidden="1" x14ac:dyDescent="0.25">
      <c r="A65" s="48">
        <v>42567.553356481483</v>
      </c>
      <c r="B65" s="65" t="s">
        <v>133</v>
      </c>
      <c r="C65" s="41" t="s">
        <v>481</v>
      </c>
      <c r="D65" s="41" t="s">
        <v>50</v>
      </c>
      <c r="E65" s="65" t="s">
        <v>51</v>
      </c>
      <c r="F65" s="66">
        <v>0</v>
      </c>
      <c r="G65" s="66">
        <v>8</v>
      </c>
      <c r="H65" s="66">
        <v>233353</v>
      </c>
      <c r="I65" s="65" t="s">
        <v>52</v>
      </c>
      <c r="J65" s="66">
        <v>233491</v>
      </c>
      <c r="K65" s="41" t="s">
        <v>53</v>
      </c>
      <c r="L65" s="93" t="str">
        <f>VLOOKUP(C65,'Trips&amp;Operators'!$C$1:$E$9999,3,0)</f>
        <v>WEBSTER</v>
      </c>
      <c r="M65" s="9" t="s">
        <v>105</v>
      </c>
      <c r="N65" s="10"/>
      <c r="O65" s="69"/>
      <c r="P65" s="72" t="str">
        <f>VLOOKUP(C65,'Train Runs'!$A$13:$AE$872,31,0)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65" s="70" t="str">
        <f>VLOOKUP(C65,'Train Runs'!$A$13:$AE$872,22,0)</f>
        <v>https://search-rtdc-monitor-bjffxe2xuh6vdkpspy63sjmuny.us-east-1.es.amazonaws.com/_plugin/kibana/#/discover/Steve-Slow-Train-Analysis-(2080s-and-2083s)?_g=(refreshInterval:(display:Off,section:0,value:0),time:(from:'2016-07-16 11:22:40-0600',mode:absolute,to:'2016-07-16 14:17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65" s="71" t="str">
        <f t="shared" si="5"/>
        <v>"C:\Program Files (x86)\AstroGrep\AstroGrep.exe" /spath="C:\Users\stu\Documents\Analysis\2016-02-23 RTDC Observations" /stypes="*4040*20160716*" /stext=" 19:.+((prompt.+disp)|(slice.+state.+chan)|(ment ac)|(system.+state.+chan)|(\|lc)|(penalty)|(\[timeout))" /e /r /s</v>
      </c>
      <c r="S65" s="9" t="str">
        <f t="shared" si="6"/>
        <v>4040</v>
      </c>
      <c r="T65" s="48">
        <f t="shared" si="7"/>
        <v>42567.803356481483</v>
      </c>
      <c r="U65" s="69" t="str">
        <f t="shared" si="8"/>
        <v>EC</v>
      </c>
      <c r="V65" s="69" t="str">
        <f t="shared" si="9"/>
        <v>OMIT</v>
      </c>
    </row>
    <row r="66" spans="1:22" hidden="1" x14ac:dyDescent="0.25">
      <c r="A66" s="48">
        <v>42567.579560185186</v>
      </c>
      <c r="B66" s="65" t="s">
        <v>371</v>
      </c>
      <c r="C66" s="41" t="s">
        <v>497</v>
      </c>
      <c r="D66" s="41" t="s">
        <v>50</v>
      </c>
      <c r="E66" s="65" t="s">
        <v>51</v>
      </c>
      <c r="F66" s="66">
        <v>0</v>
      </c>
      <c r="G66" s="66">
        <v>9</v>
      </c>
      <c r="H66" s="66">
        <v>233328</v>
      </c>
      <c r="I66" s="65" t="s">
        <v>52</v>
      </c>
      <c r="J66" s="66">
        <v>233491</v>
      </c>
      <c r="K66" s="41" t="s">
        <v>53</v>
      </c>
      <c r="L66" s="93" t="str">
        <f>VLOOKUP(C66,'Trips&amp;Operators'!$C$1:$E$9999,3,0)</f>
        <v>REBOLETTI</v>
      </c>
      <c r="M66" s="9" t="s">
        <v>105</v>
      </c>
      <c r="N66" s="10"/>
      <c r="O66" s="41"/>
      <c r="P66" s="72" t="str">
        <f>VLOOKUP(C66,'Train Runs'!$A$13:$AE$872,31,0)</f>
        <v>aws s3 cp s3://rtdc.mdm.uploadarchive/RTDC4011/2016-07-16/ "C:\Users\stu\Documents\Analysis\2016-02-23 RTDC Observations"\RTDC4011\2016-07-16 --recursive &amp; "C:\Users\stu\Documents\GitHub\mrs-test-scripts\Headless Mode &amp; Sideloading\WalkAndUnGZ.bat" "C:\Users\stu\Documents\Analysis\2016-02-23 RTDC Observations"\RTDC4011\2016-07-16 &amp; aws s3 cp s3://rtdc.mdm.uploadarchive/RTDC4011/2016-07-17/ "C:\Users\stu\Documents\Analysis\2016-02-23 RTDC Observations"\RTDC4011\2016-07-17 --recursive &amp; "C:\Users\stu\Documents\GitHub\mrs-test-scripts\Headless Mode &amp; Sideloading\WalkAndUnGZ.bat" "C:\Users\stu\Documents\Analysis\2016-02-23 RTDC Observations"\RTDC4011\2016-07-17</v>
      </c>
      <c r="Q66" s="70" t="str">
        <f>VLOOKUP(C66,'Train Runs'!$A$13:$AE$872,22,0)</f>
        <v>https://search-rtdc-monitor-bjffxe2xuh6vdkpspy63sjmuny.us-east-1.es.amazonaws.com/_plugin/kibana/#/discover/Steve-Slow-Train-Analysis-(2080s-and-2083s)?_g=(refreshInterval:(display:Off,section:0,value:0),time:(from:'2016-07-16 12:05:43-0600',mode:absolute,to:'2016-07-16 14:54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66" s="71" t="str">
        <f t="shared" si="5"/>
        <v>"C:\Program Files (x86)\AstroGrep\AstroGrep.exe" /spath="C:\Users\stu\Documents\Analysis\2016-02-23 RTDC Observations" /stypes="*4011*20160716*" /stext=" 19:.+((prompt.+disp)|(slice.+state.+chan)|(ment ac)|(system.+state.+chan)|(\|lc)|(penalty)|(\[timeout))" /e /r /s</v>
      </c>
      <c r="S66" s="9" t="str">
        <f t="shared" si="6"/>
        <v>4011</v>
      </c>
      <c r="T66" s="48">
        <f t="shared" si="7"/>
        <v>42567.829560185186</v>
      </c>
      <c r="U66" s="69" t="str">
        <f t="shared" si="8"/>
        <v>EC</v>
      </c>
      <c r="V66" s="69" t="str">
        <f t="shared" si="9"/>
        <v>OMIT</v>
      </c>
    </row>
    <row r="67" spans="1:22" hidden="1" x14ac:dyDescent="0.25">
      <c r="A67" s="48">
        <v>42567.677407407406</v>
      </c>
      <c r="B67" s="65" t="s">
        <v>83</v>
      </c>
      <c r="C67" s="41" t="s">
        <v>450</v>
      </c>
      <c r="D67" s="41" t="s">
        <v>50</v>
      </c>
      <c r="E67" s="65" t="s">
        <v>51</v>
      </c>
      <c r="F67" s="66">
        <v>0</v>
      </c>
      <c r="G67" s="66">
        <v>9</v>
      </c>
      <c r="H67" s="66">
        <v>233320</v>
      </c>
      <c r="I67" s="65" t="s">
        <v>52</v>
      </c>
      <c r="J67" s="66">
        <v>233491</v>
      </c>
      <c r="K67" s="41" t="s">
        <v>53</v>
      </c>
      <c r="L67" s="93" t="str">
        <f>VLOOKUP(C67,'Trips&amp;Operators'!$C$1:$E$9999,3,0)</f>
        <v>HELVIE</v>
      </c>
      <c r="M67" s="9" t="s">
        <v>105</v>
      </c>
      <c r="N67" s="10"/>
      <c r="O67" s="41"/>
      <c r="P67" s="72" t="str">
        <f>VLOOKUP(C67,'Train Runs'!$A$13:$AE$872,31,0)</f>
        <v>aws s3 cp s3://rtdc.mdm.uploadarchive/RTDC4042/2016-07-16/ "C:\Users\stu\Documents\Analysis\2016-02-23 RTDC Observations"\RTDC4042\2016-07-16 --recursive &amp; "C:\Users\stu\Documents\GitHub\mrs-test-scripts\Headless Mode &amp; Sideloading\WalkAndUnGZ.bat" "C:\Users\stu\Documents\Analysis\2016-02-23 RTDC Observations"\RTDC4042\2016-07-16 &amp; 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</v>
      </c>
      <c r="Q67" s="70" t="str">
        <f>VLOOKUP(C67,'Train Runs'!$A$13:$AE$872,22,0)</f>
        <v>https://search-rtdc-monitor-bjffxe2xuh6vdkpspy63sjmuny.us-east-1.es.amazonaws.com/_plugin/kibana/#/discover/Steve-Slow-Train-Analysis-(2080s-and-2083s)?_g=(refreshInterval:(display:Off,section:0,value:0),time:(from:'2016-07-16 14:25:32-0600',mode:absolute,to:'2016-07-16 17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67" s="71" t="str">
        <f t="shared" si="5"/>
        <v>"C:\Program Files (x86)\AstroGrep\AstroGrep.exe" /spath="C:\Users\stu\Documents\Analysis\2016-02-23 RTDC Observations" /stypes="*4042*20160716*" /stext=" 22:.+((prompt.+disp)|(slice.+state.+chan)|(ment ac)|(system.+state.+chan)|(\|lc)|(penalty)|(\[timeout))" /e /r /s</v>
      </c>
      <c r="S67" s="9" t="str">
        <f t="shared" si="6"/>
        <v>4042</v>
      </c>
      <c r="T67" s="48">
        <f t="shared" si="7"/>
        <v>42567.927407407406</v>
      </c>
      <c r="U67" s="69" t="str">
        <f t="shared" si="8"/>
        <v>EC</v>
      </c>
      <c r="V67" s="69" t="str">
        <f t="shared" si="9"/>
        <v>OMIT</v>
      </c>
    </row>
    <row r="68" spans="1:22" hidden="1" x14ac:dyDescent="0.25">
      <c r="A68" s="48">
        <v>42567.783368055556</v>
      </c>
      <c r="B68" s="65" t="s">
        <v>120</v>
      </c>
      <c r="C68" s="41" t="s">
        <v>377</v>
      </c>
      <c r="D68" s="41" t="s">
        <v>50</v>
      </c>
      <c r="E68" s="65" t="s">
        <v>51</v>
      </c>
      <c r="F68" s="66">
        <v>0</v>
      </c>
      <c r="G68" s="66">
        <v>9</v>
      </c>
      <c r="H68" s="66">
        <v>233340</v>
      </c>
      <c r="I68" s="65" t="s">
        <v>52</v>
      </c>
      <c r="J68" s="66">
        <v>233491</v>
      </c>
      <c r="K68" s="41" t="s">
        <v>53</v>
      </c>
      <c r="L68" s="93" t="str">
        <f>VLOOKUP(C68,'Trips&amp;Operators'!$C$1:$E$9999,3,0)</f>
        <v>NEWELL</v>
      </c>
      <c r="M68" s="9" t="s">
        <v>105</v>
      </c>
      <c r="N68" s="10"/>
      <c r="O68" s="41"/>
      <c r="P68" s="72" t="str">
        <f>VLOOKUP(C68,'Train Runs'!$A$13:$AE$872,31,0)</f>
        <v>aws s3 cp s3://rtdc.mdm.uploadarchive/RTDC4029/2016-07-16/ "C:\Users\stu\Documents\Analysis\2016-02-23 RTDC Observations"\RTDC4029\2016-07-16 --recursive &amp; "C:\Users\stu\Documents\GitHub\mrs-test-scripts\Headless Mode &amp; Sideloading\WalkAndUnGZ.bat" "C:\Users\stu\Documents\Analysis\2016-02-23 RTDC Observations"\RTDC4029\2016-07-16 &amp; aws s3 cp s3://rtdc.mdm.uploadarchive/RTDC4029/2016-07-17/ "C:\Users\stu\Documents\Analysis\2016-02-23 RTDC Observations"\RTDC4029\2016-07-17 --recursive &amp; "C:\Users\stu\Documents\GitHub\mrs-test-scripts\Headless Mode &amp; Sideloading\WalkAndUnGZ.bat" "C:\Users\stu\Documents\Analysis\2016-02-23 RTDC Observations"\RTDC4029\2016-07-17</v>
      </c>
      <c r="Q68" s="70" t="str">
        <f>VLOOKUP(C68,'Train Runs'!$A$13:$AE$872,22,0)</f>
        <v>https://search-rtdc-monitor-bjffxe2xuh6vdkpspy63sjmuny.us-east-1.es.amazonaws.com/_plugin/kibana/#/discover/Steve-Slow-Train-Analysis-(2080s-and-2083s)?_g=(refreshInterval:(display:Off,section:0,value:0),time:(from:'2016-07-16 16:43:26-0600',mode:absolute,to:'2016-07-16 19:01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R68" s="71" t="str">
        <f t="shared" si="5"/>
        <v>"C:\Program Files (x86)\AstroGrep\AstroGrep.exe" /spath="C:\Users\stu\Documents\Analysis\2016-02-23 RTDC Observations" /stypes="*4029*20160717*" /stext=" 00:.+((prompt.+disp)|(slice.+state.+chan)|(ment ac)|(system.+state.+chan)|(\|lc)|(penalty)|(\[timeout))" /e /r /s</v>
      </c>
      <c r="S68" s="9" t="str">
        <f t="shared" si="6"/>
        <v>4029</v>
      </c>
      <c r="T68" s="48">
        <f t="shared" si="7"/>
        <v>42568.033368055556</v>
      </c>
      <c r="U68" s="69" t="str">
        <f t="shared" si="8"/>
        <v>EC</v>
      </c>
      <c r="V68" s="69" t="str">
        <f t="shared" si="9"/>
        <v>OMIT</v>
      </c>
    </row>
    <row r="69" spans="1:22" hidden="1" x14ac:dyDescent="0.25">
      <c r="A69" s="48">
        <v>42567.795555555553</v>
      </c>
      <c r="B69" s="65" t="s">
        <v>74</v>
      </c>
      <c r="C69" s="41" t="s">
        <v>383</v>
      </c>
      <c r="D69" s="41" t="s">
        <v>50</v>
      </c>
      <c r="E69" s="65" t="s">
        <v>51</v>
      </c>
      <c r="F69" s="66">
        <v>0</v>
      </c>
      <c r="G69" s="66">
        <v>9</v>
      </c>
      <c r="H69" s="66">
        <v>233328</v>
      </c>
      <c r="I69" s="65" t="s">
        <v>52</v>
      </c>
      <c r="J69" s="66">
        <v>233491</v>
      </c>
      <c r="K69" s="41" t="s">
        <v>53</v>
      </c>
      <c r="L69" s="93" t="str">
        <f>VLOOKUP(C69,'Trips&amp;Operators'!$C$1:$E$9999,3,0)</f>
        <v>CHANDLER</v>
      </c>
      <c r="M69" s="9" t="s">
        <v>105</v>
      </c>
      <c r="N69" s="10"/>
      <c r="O69" s="41"/>
      <c r="P69" s="72" t="str">
        <f>VLOOKUP(C69,'Train Runs'!$A$13:$AE$872,31,0)</f>
        <v>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 &amp; aws s3 cp s3://rtdc.mdm.uploadarchive/RTDC4018/2016-07-17/ "C:\Users\stu\Documents\Analysis\2016-02-23 RTDC Observations"\RTDC4018\2016-07-17 --recursive &amp; "C:\Users\stu\Documents\GitHub\mrs-test-scripts\Headless Mode &amp; Sideloading\WalkAndUnGZ.bat" "C:\Users\stu\Documents\Analysis\2016-02-23 RTDC Observations"\RTDC4018\2016-07-17</v>
      </c>
      <c r="Q69" s="70" t="str">
        <f>VLOOKUP(C69,'Train Runs'!$A$13:$AE$872,22,0)</f>
        <v>https://search-rtdc-monitor-bjffxe2xuh6vdkpspy63sjmuny.us-east-1.es.amazonaws.com/_plugin/kibana/#/discover/Steve-Slow-Train-Analysis-(2080s-and-2083s)?_g=(refreshInterval:(display:Off,section:0,value:0),time:(from:'2016-07-16 17:15:55-0600',mode:absolute,to:'2016-07-16 20:05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9" s="71" t="str">
        <f t="shared" si="5"/>
        <v>"C:\Program Files (x86)\AstroGrep\AstroGrep.exe" /spath="C:\Users\stu\Documents\Analysis\2016-02-23 RTDC Observations" /stypes="*4018*20160717*" /stext=" 01:.+((prompt.+disp)|(slice.+state.+chan)|(ment ac)|(system.+state.+chan)|(\|lc)|(penalty)|(\[timeout))" /e /r /s</v>
      </c>
      <c r="S69" s="9" t="str">
        <f t="shared" si="6"/>
        <v>4018</v>
      </c>
      <c r="T69" s="48">
        <f t="shared" si="7"/>
        <v>42568.045555555553</v>
      </c>
      <c r="U69" s="69" t="str">
        <f t="shared" si="8"/>
        <v>EC</v>
      </c>
      <c r="V69" s="69" t="str">
        <f t="shared" si="9"/>
        <v>OMIT</v>
      </c>
    </row>
    <row r="70" spans="1:22" hidden="1" x14ac:dyDescent="0.25">
      <c r="A70" s="48">
        <v>42567.837164351855</v>
      </c>
      <c r="B70" s="41" t="s">
        <v>133</v>
      </c>
      <c r="C70" s="41" t="s">
        <v>403</v>
      </c>
      <c r="D70" s="41" t="s">
        <v>50</v>
      </c>
      <c r="E70" s="41" t="s">
        <v>51</v>
      </c>
      <c r="F70" s="66">
        <v>0</v>
      </c>
      <c r="G70" s="66">
        <v>8</v>
      </c>
      <c r="H70" s="66">
        <v>233332</v>
      </c>
      <c r="I70" s="41" t="s">
        <v>52</v>
      </c>
      <c r="J70" s="66">
        <v>233491</v>
      </c>
      <c r="K70" s="41" t="s">
        <v>53</v>
      </c>
      <c r="L70" s="93" t="str">
        <f>VLOOKUP(C70,'Trips&amp;Operators'!$C$1:$E$9999,3,0)</f>
        <v>BRUDER</v>
      </c>
      <c r="M70" s="9" t="s">
        <v>105</v>
      </c>
      <c r="N70" s="10"/>
      <c r="O70" s="41"/>
      <c r="P70" s="72" t="str">
        <f>VLOOKUP(C70,'Train Runs'!$A$13:$AE$872,31,0)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70" s="70" t="str">
        <f>VLOOKUP(C70,'Train Runs'!$A$13:$AE$872,22,0)</f>
        <v>https://search-rtdc-monitor-bjffxe2xuh6vdkpspy63sjmuny.us-east-1.es.amazonaws.com/_plugin/kibana/#/discover/Steve-Slow-Train-Analysis-(2080s-and-2083s)?_g=(refreshInterval:(display:Off,section:0,value:0),time:(from:'2016-07-16 18:24:43-0600',mode:absolute,to:'2016-07-16 21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70" s="71" t="str">
        <f t="shared" si="5"/>
        <v>"C:\Program Files (x86)\AstroGrep\AstroGrep.exe" /spath="C:\Users\stu\Documents\Analysis\2016-02-23 RTDC Observations" /stypes="*4040*20160717*" /stext=" 02:.+((prompt.+disp)|(slice.+state.+chan)|(ment ac)|(system.+state.+chan)|(\|lc)|(penalty)|(\[timeout))" /e /r /s</v>
      </c>
      <c r="S70" s="9" t="str">
        <f t="shared" si="6"/>
        <v>4040</v>
      </c>
      <c r="T70" s="48">
        <f t="shared" si="7"/>
        <v>42568.087164351855</v>
      </c>
      <c r="U70" s="69" t="str">
        <f t="shared" si="8"/>
        <v>EC</v>
      </c>
      <c r="V70" s="69" t="str">
        <f t="shared" si="9"/>
        <v>OMIT</v>
      </c>
    </row>
    <row r="71" spans="1:22" hidden="1" x14ac:dyDescent="0.25">
      <c r="A71" s="48">
        <v>42567.920624999999</v>
      </c>
      <c r="B71" s="65" t="s">
        <v>133</v>
      </c>
      <c r="C71" s="41" t="s">
        <v>379</v>
      </c>
      <c r="D71" s="41" t="s">
        <v>50</v>
      </c>
      <c r="E71" s="65" t="s">
        <v>51</v>
      </c>
      <c r="F71" s="66">
        <v>0</v>
      </c>
      <c r="G71" s="66">
        <v>9</v>
      </c>
      <c r="H71" s="66">
        <v>233344</v>
      </c>
      <c r="I71" s="65" t="s">
        <v>52</v>
      </c>
      <c r="J71" s="66">
        <v>233491</v>
      </c>
      <c r="K71" s="41" t="s">
        <v>53</v>
      </c>
      <c r="L71" s="93" t="str">
        <f>VLOOKUP(C71,'Trips&amp;Operators'!$C$1:$E$9999,3,0)</f>
        <v>NEWELL</v>
      </c>
      <c r="M71" s="9" t="s">
        <v>105</v>
      </c>
      <c r="N71" s="10"/>
      <c r="O71" s="41"/>
      <c r="P71" s="72" t="str">
        <f>VLOOKUP(C71,'Train Runs'!$A$13:$AE$872,31,0)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71" s="70" t="str">
        <f>VLOOKUP(C71,'Train Runs'!$A$13:$AE$872,22,0)</f>
        <v>https://search-rtdc-monitor-bjffxe2xuh6vdkpspy63sjmuny.us-east-1.es.amazonaws.com/_plugin/kibana/#/discover/Steve-Slow-Train-Analysis-(2080s-and-2083s)?_g=(refreshInterval:(display:Off,section:0,value:0),time:(from:'2016-07-16 20:21:02-0600',mode:absolute,to:'2016-07-16 23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71" s="71" t="str">
        <f t="shared" ref="R71:R75" si="10">astrogrep_path&amp;" /spath="&amp;search_path&amp;" /stypes=""*"&amp;S71&amp;"*"&amp;TEXT(A71-utc_offset/24,"YYYYMMDD")&amp;"*"" /stext="" "&amp;TEXT(A71-utc_offset/24,"HH")&amp;search_regexp&amp;""" /e /r /s"</f>
        <v>"C:\Program Files (x86)\AstroGrep\AstroGrep.exe" /spath="C:\Users\stu\Documents\Analysis\2016-02-23 RTDC Observations" /stypes="*4040*20160717*" /stext=" 04:.+((prompt.+disp)|(slice.+state.+chan)|(ment ac)|(system.+state.+chan)|(\|lc)|(penalty)|(\[timeout))" /e /r /s</v>
      </c>
      <c r="S71" s="9" t="str">
        <f t="shared" si="6"/>
        <v>4040</v>
      </c>
      <c r="T71" s="48">
        <f t="shared" si="7"/>
        <v>42568.170624999999</v>
      </c>
      <c r="U71" s="69" t="str">
        <f t="shared" si="8"/>
        <v>EC</v>
      </c>
      <c r="V71" s="69" t="str">
        <f t="shared" si="9"/>
        <v>OMIT</v>
      </c>
    </row>
    <row r="72" spans="1:22" hidden="1" x14ac:dyDescent="0.25">
      <c r="A72" s="48">
        <v>42567.962881944448</v>
      </c>
      <c r="B72" s="65" t="s">
        <v>73</v>
      </c>
      <c r="C72" s="41" t="s">
        <v>407</v>
      </c>
      <c r="D72" s="41" t="s">
        <v>50</v>
      </c>
      <c r="E72" s="65" t="s">
        <v>51</v>
      </c>
      <c r="F72" s="66">
        <v>0</v>
      </c>
      <c r="G72" s="66">
        <v>6</v>
      </c>
      <c r="H72" s="66">
        <v>233312</v>
      </c>
      <c r="I72" s="65" t="s">
        <v>52</v>
      </c>
      <c r="J72" s="66">
        <v>233491</v>
      </c>
      <c r="K72" s="41" t="s">
        <v>53</v>
      </c>
      <c r="L72" s="93" t="str">
        <f>VLOOKUP(C72,'Trips&amp;Operators'!$C$1:$E$9999,3,0)</f>
        <v>STURGEON</v>
      </c>
      <c r="M72" s="9" t="s">
        <v>105</v>
      </c>
      <c r="N72" s="10"/>
      <c r="O72" s="41"/>
      <c r="P72" s="72" t="str">
        <f>VLOOKUP(C72,'Train Runs'!$A$13:$AE$872,31,0)</f>
        <v>aws s3 cp s3://rtdc.mdm.uploadarchive/RTDC4020/2016-07-16/ "C:\Users\stu\Documents\Analysis\2016-02-23 RTDC Observations"\RTDC4020\2016-07-16 --recursive &amp; "C:\Users\stu\Documents\GitHub\mrs-test-scripts\Headless Mode &amp; Sideloading\WalkAndUnGZ.bat" "C:\Users\stu\Documents\Analysis\2016-02-23 RTDC Observations"\RTDC4020\2016-07-16 &amp; 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</v>
      </c>
      <c r="Q72" s="70" t="str">
        <f>VLOOKUP(C72,'Train Runs'!$A$13:$AE$872,22,0)</f>
        <v>https://search-rtdc-monitor-bjffxe2xuh6vdkpspy63sjmuny.us-east-1.es.amazonaws.com/_plugin/kibana/#/discover/Steve-Slow-Train-Analysis-(2080s-and-2083s)?_g=(refreshInterval:(display:Off,section:0,value:0),time:(from:'2016-07-16 21:14:59-0600',mode:absolute,to:'2016-07-17 00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72" s="71" t="str">
        <f t="shared" si="10"/>
        <v>"C:\Program Files (x86)\AstroGrep\AstroGrep.exe" /spath="C:\Users\stu\Documents\Analysis\2016-02-23 RTDC Observations" /stypes="*4020*20160717*" /stext=" 05:.+((prompt.+disp)|(slice.+state.+chan)|(ment ac)|(system.+state.+chan)|(\|lc)|(penalty)|(\[timeout))" /e /r /s</v>
      </c>
      <c r="S72" s="9" t="str">
        <f t="shared" si="6"/>
        <v>4020</v>
      </c>
      <c r="T72" s="48">
        <f t="shared" si="7"/>
        <v>42568.212881944448</v>
      </c>
      <c r="U72" s="69" t="str">
        <f t="shared" si="8"/>
        <v>EC</v>
      </c>
      <c r="V72" s="69" t="str">
        <f t="shared" si="9"/>
        <v>OMIT</v>
      </c>
    </row>
    <row r="73" spans="1:22" hidden="1" x14ac:dyDescent="0.25">
      <c r="A73" s="48">
        <v>42568.004629629628</v>
      </c>
      <c r="B73" s="41" t="s">
        <v>133</v>
      </c>
      <c r="C73" s="41" t="s">
        <v>406</v>
      </c>
      <c r="D73" s="41" t="s">
        <v>50</v>
      </c>
      <c r="E73" s="41" t="s">
        <v>51</v>
      </c>
      <c r="F73" s="66">
        <v>0</v>
      </c>
      <c r="G73" s="66">
        <v>9</v>
      </c>
      <c r="H73" s="66">
        <v>233343</v>
      </c>
      <c r="I73" s="41" t="s">
        <v>52</v>
      </c>
      <c r="J73" s="66">
        <v>233491</v>
      </c>
      <c r="K73" s="41" t="s">
        <v>53</v>
      </c>
      <c r="L73" s="93" t="str">
        <f>VLOOKUP(C73,'Trips&amp;Operators'!$C$1:$E$9999,3,0)</f>
        <v>NEWELL</v>
      </c>
      <c r="M73" s="9" t="s">
        <v>105</v>
      </c>
      <c r="N73" s="10"/>
      <c r="O73" s="41"/>
      <c r="P73" s="72" t="str">
        <f>VLOOKUP(C73,'Train Runs'!$A$13:$AE$872,31,0)</f>
        <v>aws s3 cp s3://rtdc.mdm.uploadarchive/RTDC4040/2016-07-16/ "C:\Users\stu\Documents\Analysis\2016-02-23 RTDC Observations"\RTDC4040\2016-07-16 --recursive &amp; "C:\Users\stu\Documents\GitHub\mrs-test-scripts\Headless Mode &amp; Sideloading\WalkAndUnGZ.bat" "C:\Users\stu\Documents\Analysis\2016-02-23 RTDC Observations"\RTDC4040\2016-07-16 &amp; aws s3 cp s3://rtdc.mdm.uploadarchive/RTDC4040/2016-07-17/ "C:\Users\stu\Documents\Analysis\2016-02-23 RTDC Observations"\RTDC4040\2016-07-17 --recursive &amp; "C:\Users\stu\Documents\GitHub\mrs-test-scripts\Headless Mode &amp; Sideloading\WalkAndUnGZ.bat" "C:\Users\stu\Documents\Analysis\2016-02-23 RTDC Observations"\RTDC4040\2016-07-17</v>
      </c>
      <c r="Q73" s="70" t="str">
        <f>VLOOKUP(C73,'Train Runs'!$A$13:$AE$872,22,0)</f>
        <v>https://search-rtdc-monitor-bjffxe2xuh6vdkpspy63sjmuny.us-east-1.es.amazonaws.com/_plugin/kibana/#/discover/Steve-Slow-Train-Analysis-(2080s-and-2083s)?_g=(refreshInterval:(display:Off,section:0,value:0),time:(from:'2016-07-16 22:23:21-0600',mode:absolute,to:'2016-07-17 01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73" s="71" t="str">
        <f t="shared" si="10"/>
        <v>"C:\Program Files (x86)\AstroGrep\AstroGrep.exe" /spath="C:\Users\stu\Documents\Analysis\2016-02-23 RTDC Observations" /stypes="*4040*20160717*" /stext=" 06:.+((prompt.+disp)|(slice.+state.+chan)|(ment ac)|(system.+state.+chan)|(\|lc)|(penalty)|(\[timeout))" /e /r /s</v>
      </c>
      <c r="S73" s="9" t="str">
        <f t="shared" si="6"/>
        <v>4040</v>
      </c>
      <c r="T73" s="48">
        <f t="shared" si="7"/>
        <v>42568.254629629628</v>
      </c>
      <c r="U73" s="69" t="str">
        <f t="shared" si="8"/>
        <v>EC</v>
      </c>
      <c r="V73" s="69" t="str">
        <f t="shared" si="9"/>
        <v>OMIT</v>
      </c>
    </row>
    <row r="74" spans="1:22" hidden="1" x14ac:dyDescent="0.25">
      <c r="A74" s="48">
        <v>42568.024861111109</v>
      </c>
      <c r="B74" s="65" t="s">
        <v>117</v>
      </c>
      <c r="C74" s="41" t="s">
        <v>365</v>
      </c>
      <c r="D74" s="41" t="s">
        <v>50</v>
      </c>
      <c r="E74" s="65" t="s">
        <v>51</v>
      </c>
      <c r="F74" s="66">
        <v>0</v>
      </c>
      <c r="G74" s="66">
        <v>7</v>
      </c>
      <c r="H74" s="66">
        <v>233318</v>
      </c>
      <c r="I74" s="65" t="s">
        <v>52</v>
      </c>
      <c r="J74" s="66">
        <v>233491</v>
      </c>
      <c r="K74" s="41" t="s">
        <v>53</v>
      </c>
      <c r="L74" s="93" t="str">
        <f>VLOOKUP(C74,'Trips&amp;Operators'!$C$1:$E$9999,3,0)</f>
        <v>CHANDLER</v>
      </c>
      <c r="M74" s="9" t="s">
        <v>105</v>
      </c>
      <c r="N74" s="10"/>
      <c r="O74" s="41"/>
      <c r="P74" s="72" t="str">
        <f>VLOOKUP(C74,'Train Runs'!$A$13:$AE$872,31,0)</f>
        <v>aws s3 cp s3://rtdc.mdm.uploadarchive/RTDC4025/2016-07-16/ "C:\Users\stu\Documents\Analysis\2016-02-23 RTDC Observations"\RTDC4025\2016-07-16 --recursive &amp; "C:\Users\stu\Documents\GitHub\mrs-test-scripts\Headless Mode &amp; Sideloading\WalkAndUnGZ.bat" "C:\Users\stu\Documents\Analysis\2016-02-23 RTDC Observations"\RTDC4025\2016-07-16 &amp; aws s3 cp s3://rtdc.mdm.uploadarchive/RTDC4025/2016-07-17/ "C:\Users\stu\Documents\Analysis\2016-02-23 RTDC Observations"\RTDC4025\2016-07-17 --recursive &amp; "C:\Users\stu\Documents\GitHub\mrs-test-scripts\Headless Mode &amp; Sideloading\WalkAndUnGZ.bat" "C:\Users\stu\Documents\Analysis\2016-02-23 RTDC Observations"\RTDC4025\2016-07-17</v>
      </c>
      <c r="Q74" s="70" t="str">
        <f>VLOOKUP(C74,'Train Runs'!$A$13:$AE$872,22,0)</f>
        <v>https://search-rtdc-monitor-bjffxe2xuh6vdkpspy63sjmuny.us-east-1.es.amazonaws.com/_plugin/kibana/#/discover/Steve-Slow-Train-Analysis-(2080s-and-2083s)?_g=(refreshInterval:(display:Off,section:0,value:0),time:(from:'2016-07-16 22:53:00-0600',mode:absolute,to:'2016-07-17 01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74" s="71" t="str">
        <f t="shared" si="10"/>
        <v>"C:\Program Files (x86)\AstroGrep\AstroGrep.exe" /spath="C:\Users\stu\Documents\Analysis\2016-02-23 RTDC Observations" /stypes="*4025*20160717*" /stext=" 06:.+((prompt.+disp)|(slice.+state.+chan)|(ment ac)|(system.+state.+chan)|(\|lc)|(penalty)|(\[timeout))" /e /r /s</v>
      </c>
      <c r="S74" s="9" t="str">
        <f t="shared" si="6"/>
        <v>4025</v>
      </c>
      <c r="T74" s="48">
        <f t="shared" si="7"/>
        <v>42568.274861111109</v>
      </c>
      <c r="U74" s="69" t="str">
        <f t="shared" si="8"/>
        <v>EC</v>
      </c>
      <c r="V74" s="69" t="str">
        <f t="shared" si="9"/>
        <v>OMIT</v>
      </c>
    </row>
    <row r="75" spans="1:22" hidden="1" x14ac:dyDescent="0.25">
      <c r="A75" s="48">
        <v>42568.046180555553</v>
      </c>
      <c r="B75" s="65" t="s">
        <v>73</v>
      </c>
      <c r="C75" s="41" t="s">
        <v>404</v>
      </c>
      <c r="D75" s="41" t="s">
        <v>50</v>
      </c>
      <c r="E75" s="65" t="s">
        <v>51</v>
      </c>
      <c r="F75" s="66">
        <v>0</v>
      </c>
      <c r="G75" s="66">
        <v>5</v>
      </c>
      <c r="H75" s="66">
        <v>233305</v>
      </c>
      <c r="I75" s="65" t="s">
        <v>52</v>
      </c>
      <c r="J75" s="66">
        <v>233491</v>
      </c>
      <c r="K75" s="41" t="s">
        <v>53</v>
      </c>
      <c r="L75" s="93" t="str">
        <f>VLOOKUP(C75,'Trips&amp;Operators'!$C$1:$E$9999,3,0)</f>
        <v>STURGEON</v>
      </c>
      <c r="M75" s="9" t="s">
        <v>105</v>
      </c>
      <c r="N75" s="10"/>
      <c r="O75" s="41"/>
      <c r="P75" s="72" t="str">
        <f>VLOOKUP(C75,'Train Runs'!$A$13:$AE$872,31,0)</f>
        <v>aws s3 cp s3://rtdc.mdm.uploadarchive/RTDC4020/2016-07-17/ "C:\Users\stu\Documents\Analysis\2016-02-23 RTDC Observations"\RTDC4020\2016-07-17 --recursive &amp; "C:\Users\stu\Documents\GitHub\mrs-test-scripts\Headless Mode &amp; Sideloading\WalkAndUnGZ.bat" "C:\Users\stu\Documents\Analysis\2016-02-23 RTDC Observations"\RTDC4020\2016-07-17 &amp; aws s3 cp s3://rtdc.mdm.uploadarchive/RTDC4020/2016-07-18/ "C:\Users\stu\Documents\Analysis\2016-02-23 RTDC Observations"\RTDC4020\2016-07-18 --recursive &amp; "C:\Users\stu\Documents\GitHub\mrs-test-scripts\Headless Mode &amp; Sideloading\WalkAndUnGZ.bat" "C:\Users\stu\Documents\Analysis\2016-02-23 RTDC Observations"\RTDC4020\2016-07-18</v>
      </c>
      <c r="Q75" s="70" t="str">
        <f>VLOOKUP(C75,'Train Runs'!$A$13:$AE$872,22,0)</f>
        <v>https://search-rtdc-monitor-bjffxe2xuh6vdkpspy63sjmuny.us-east-1.es.amazonaws.com/_plugin/kibana/#/discover/Steve-Slow-Train-Analysis-(2080s-and-2083s)?_g=(refreshInterval:(display:Off,section:0,value:0),time:(from:'2016-07-16 23:22:23-0600',mode:absolute,to:'2016-07-17 02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75" s="71" t="str">
        <f t="shared" si="10"/>
        <v>"C:\Program Files (x86)\AstroGrep\AstroGrep.exe" /spath="C:\Users\stu\Documents\Analysis\2016-02-23 RTDC Observations" /stypes="*4020*20160717*" /stext=" 07:.+((prompt.+disp)|(slice.+state.+chan)|(ment ac)|(system.+state.+chan)|(\|lc)|(penalty)|(\[timeout))" /e /r /s</v>
      </c>
      <c r="S75" s="9" t="str">
        <f t="shared" si="6"/>
        <v>4020</v>
      </c>
      <c r="T75" s="48">
        <f t="shared" si="7"/>
        <v>42568.296180555553</v>
      </c>
      <c r="U75" s="69" t="str">
        <f t="shared" si="8"/>
        <v>EC</v>
      </c>
      <c r="V75" s="69" t="str">
        <f t="shared" si="9"/>
        <v>OMIT</v>
      </c>
    </row>
  </sheetData>
  <autoFilter ref="A6:V75">
    <filterColumn colId="21">
      <filters>
        <filter val="KEEP"/>
      </filters>
    </filterColumn>
  </autoFilter>
  <sortState ref="A7:V76">
    <sortCondition ref="U7:U76"/>
    <sortCondition ref="E7:E76"/>
    <sortCondition ref="J7:J76"/>
    <sortCondition ref="C7:C76"/>
    <sortCondition ref="F7:F7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52:N52 A53:L54 A56:L57 A59:L60 A62:L63 A65:L66 A68:L69 A71:L72 A74:L75 L55 L58 L61 L64 L67 L70 L73 M53:N75 A7:N51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17" t="str">
        <f>"Trips that did not appear in PTC Data "&amp;TEXT(Variables!$A$2,"YYYY-mm-dd")</f>
        <v>Trips that did not appear in PTC Data 2016-07-16</v>
      </c>
      <c r="B1" s="117"/>
      <c r="C1" s="117"/>
      <c r="D1" s="117"/>
      <c r="E1" s="117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84</v>
      </c>
      <c r="G2" s="39" t="s">
        <v>85</v>
      </c>
    </row>
    <row r="3" spans="1:10" x14ac:dyDescent="0.25">
      <c r="A3" s="41" t="s">
        <v>611</v>
      </c>
      <c r="B3" s="41"/>
      <c r="C3" s="41"/>
      <c r="D3" s="41" t="s">
        <v>624</v>
      </c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612</v>
      </c>
      <c r="B4" s="41"/>
      <c r="C4" s="41"/>
      <c r="D4" s="41" t="s">
        <v>624</v>
      </c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 t="s">
        <v>613</v>
      </c>
      <c r="B5" s="41"/>
      <c r="C5" s="41"/>
      <c r="D5" s="41" t="s">
        <v>624</v>
      </c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 t="s">
        <v>614</v>
      </c>
      <c r="B6" s="41"/>
      <c r="C6" s="41"/>
      <c r="D6" s="41" t="s">
        <v>624</v>
      </c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41" t="s">
        <v>615</v>
      </c>
      <c r="B7" s="41"/>
      <c r="C7" s="41"/>
      <c r="D7" s="41" t="s">
        <v>624</v>
      </c>
      <c r="E7" s="26" t="e">
        <f>VLOOKUP(A7,'Trips&amp;Operators'!$C$2:$E$10000,3,FALSE)</f>
        <v>#N/A</v>
      </c>
      <c r="F7" s="26" t="e">
        <f>VLOOKUP(A7,'Trips&amp;Operators'!$C$1:$F$10000,4,FALSE)</f>
        <v>#N/A</v>
      </c>
      <c r="G7" s="40" t="e">
        <f>VLOOKUP(A7,'Trips&amp;Operators'!$C$1:$H$10000,5,FALSE)</f>
        <v>#N/A</v>
      </c>
      <c r="H7" s="25"/>
      <c r="I7" s="25"/>
      <c r="J7" s="25"/>
    </row>
    <row r="8" spans="1:10" x14ac:dyDescent="0.25">
      <c r="A8" s="41" t="s">
        <v>616</v>
      </c>
      <c r="B8" s="41"/>
      <c r="C8" s="41"/>
      <c r="D8" s="41" t="s">
        <v>624</v>
      </c>
      <c r="E8" s="26" t="e">
        <f>VLOOKUP(A8,'Trips&amp;Operators'!$C$2:$E$10000,3,FALSE)</f>
        <v>#N/A</v>
      </c>
      <c r="F8" s="26" t="e">
        <f>VLOOKUP(A8,'Trips&amp;Operators'!$C$1:$F$10000,4,FALSE)</f>
        <v>#N/A</v>
      </c>
      <c r="G8" s="40" t="e">
        <f>VLOOKUP(A8,'Trips&amp;Operators'!$C$1:$H$10000,5,FALSE)</f>
        <v>#N/A</v>
      </c>
      <c r="H8" s="25"/>
      <c r="I8" s="25"/>
      <c r="J8" s="25"/>
    </row>
    <row r="9" spans="1:10" x14ac:dyDescent="0.25">
      <c r="A9" s="41" t="s">
        <v>617</v>
      </c>
      <c r="B9" s="41"/>
      <c r="C9" s="41"/>
      <c r="D9" s="41" t="s">
        <v>624</v>
      </c>
      <c r="E9" s="26" t="e">
        <f>VLOOKUP(A9,'Trips&amp;Operators'!$C$2:$E$10000,3,FALSE)</f>
        <v>#N/A</v>
      </c>
      <c r="F9" s="26" t="e">
        <f>VLOOKUP(A9,'Trips&amp;Operators'!$C$1:$F$10000,4,FALSE)</f>
        <v>#N/A</v>
      </c>
      <c r="G9" s="40" t="e">
        <f>VLOOKUP(A9,'Trips&amp;Operators'!$C$1:$H$10000,5,FALSE)</f>
        <v>#N/A</v>
      </c>
      <c r="H9" s="25"/>
      <c r="I9" s="25"/>
      <c r="J9" s="25"/>
    </row>
    <row r="10" spans="1:10" x14ac:dyDescent="0.25">
      <c r="A10" s="41" t="s">
        <v>618</v>
      </c>
      <c r="B10" s="41"/>
      <c r="C10" s="41"/>
      <c r="D10" s="41" t="s">
        <v>624</v>
      </c>
      <c r="E10" s="26" t="e">
        <f>VLOOKUP(A10,'Trips&amp;Operators'!$C$2:$E$10000,3,FALSE)</f>
        <v>#N/A</v>
      </c>
      <c r="F10" s="26" t="e">
        <f>VLOOKUP(A10,'Trips&amp;Operators'!$C$1:$F$10000,4,FALSE)</f>
        <v>#N/A</v>
      </c>
      <c r="G10" s="40" t="e">
        <f>VLOOKUP(A10,'Trips&amp;Operators'!$C$1:$H$10000,5,FALSE)</f>
        <v>#N/A</v>
      </c>
      <c r="H10" s="25"/>
      <c r="I10" s="25"/>
      <c r="J10" s="25"/>
    </row>
    <row r="11" spans="1:10" x14ac:dyDescent="0.25">
      <c r="A11" s="41" t="s">
        <v>619</v>
      </c>
      <c r="B11" s="41"/>
      <c r="C11" s="41"/>
      <c r="D11" s="41" t="s">
        <v>624</v>
      </c>
      <c r="E11" s="26" t="e">
        <f>VLOOKUP(A11,'Trips&amp;Operators'!$C$2:$E$10000,3,FALSE)</f>
        <v>#N/A</v>
      </c>
      <c r="F11" s="26" t="e">
        <f>VLOOKUP(A11,'Trips&amp;Operators'!$C$1:$F$10000,4,FALSE)</f>
        <v>#N/A</v>
      </c>
      <c r="G11" s="40" t="e">
        <f>VLOOKUP(A11,'Trips&amp;Operators'!$C$1:$H$10000,5,FALSE)</f>
        <v>#N/A</v>
      </c>
      <c r="H11" s="25"/>
      <c r="I11" s="25"/>
      <c r="J11" s="25"/>
    </row>
    <row r="12" spans="1:10" x14ac:dyDescent="0.25">
      <c r="A12" s="41" t="s">
        <v>620</v>
      </c>
      <c r="B12" s="41"/>
      <c r="C12" s="41"/>
      <c r="D12" s="41" t="s">
        <v>624</v>
      </c>
      <c r="E12" s="26" t="e">
        <f>VLOOKUP(A12,'Trips&amp;Operators'!$C$2:$E$10000,3,FALSE)</f>
        <v>#N/A</v>
      </c>
      <c r="F12" s="26" t="e">
        <f>VLOOKUP(A12,'Trips&amp;Operators'!$C$1:$F$10000,4,FALSE)</f>
        <v>#N/A</v>
      </c>
      <c r="G12" s="40" t="e">
        <f>VLOOKUP(A12,'Trips&amp;Operators'!$C$1:$H$10000,5,FALSE)</f>
        <v>#N/A</v>
      </c>
      <c r="H12" s="25"/>
      <c r="I12" s="25"/>
      <c r="J12" s="25"/>
    </row>
    <row r="13" spans="1:10" x14ac:dyDescent="0.25">
      <c r="A13" s="41" t="s">
        <v>621</v>
      </c>
      <c r="B13" s="41"/>
      <c r="C13" s="41"/>
      <c r="D13" s="41" t="s">
        <v>624</v>
      </c>
      <c r="E13" s="26" t="e">
        <f>VLOOKUP(A13,'Trips&amp;Operators'!$C$2:$E$10000,3,FALSE)</f>
        <v>#N/A</v>
      </c>
      <c r="F13" s="26" t="e">
        <f>VLOOKUP(A13,'Trips&amp;Operators'!$C$1:$F$10000,4,FALSE)</f>
        <v>#N/A</v>
      </c>
      <c r="G13" s="40" t="e">
        <f>VLOOKUP(A13,'Trips&amp;Operators'!$C$1:$H$10000,5,FALSE)</f>
        <v>#N/A</v>
      </c>
      <c r="H13" s="25"/>
      <c r="I13" s="25"/>
      <c r="J13" s="25"/>
    </row>
    <row r="14" spans="1:10" x14ac:dyDescent="0.25">
      <c r="A14" s="41" t="s">
        <v>622</v>
      </c>
      <c r="B14" s="41"/>
      <c r="C14" s="41"/>
      <c r="D14" s="41" t="s">
        <v>624</v>
      </c>
      <c r="E14" s="26" t="e">
        <f>VLOOKUP(A14,'Trips&amp;Operators'!$C$2:$E$10000,3,FALSE)</f>
        <v>#N/A</v>
      </c>
      <c r="F14" s="26" t="e">
        <f>VLOOKUP(A14,'Trips&amp;Operators'!$C$1:$F$10000,4,FALSE)</f>
        <v>#N/A</v>
      </c>
      <c r="G14" s="40" t="e">
        <f>VLOOKUP(A14,'Trips&amp;Operators'!$C$1:$H$10000,5,FALSE)</f>
        <v>#N/A</v>
      </c>
      <c r="H14" s="25"/>
      <c r="I14" s="25"/>
      <c r="J14" s="25"/>
    </row>
    <row r="15" spans="1:10" x14ac:dyDescent="0.25">
      <c r="A15" s="41" t="s">
        <v>623</v>
      </c>
      <c r="B15" s="41"/>
      <c r="C15" s="41"/>
      <c r="D15" s="41" t="s">
        <v>624</v>
      </c>
      <c r="E15" s="26" t="e">
        <f>VLOOKUP(A15,'Trips&amp;Operators'!$C$2:$E$10000,3,FALSE)</f>
        <v>#N/A</v>
      </c>
      <c r="F15" s="26" t="e">
        <f>VLOOKUP(A15,'Trips&amp;Operators'!$C$1:$F$10000,4,FALSE)</f>
        <v>#N/A</v>
      </c>
      <c r="G15" s="40" t="e">
        <f>VLOOKUP(A15,'Trips&amp;Operators'!$C$1:$H$10000,5,FALSE)</f>
        <v>#N/A</v>
      </c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8:10" x14ac:dyDescent="0.25">
      <c r="H129" s="25"/>
      <c r="I129" s="25"/>
      <c r="J129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69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279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280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281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282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368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2016-07-16 00:45:50.457 to 2016-07-17 03:00:50.457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283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284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285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286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287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288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289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290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291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292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293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294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295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296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297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298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299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300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301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302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303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304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305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306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307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308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309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310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311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312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313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314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315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316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317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318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319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320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321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322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323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324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369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191 hits</v>
      </c>
    </row>
    <row r="59" spans="1:7" x14ac:dyDescent="0.25">
      <c r="A59" s="8" t="s">
        <v>370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2016-07-16 00:45:50.457 - 2016-07-17 03:00:50.457</v>
      </c>
    </row>
    <row r="60" spans="1:7" x14ac:dyDescent="0.25">
      <c r="A60" s="8" t="s">
        <v>325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8</v>
      </c>
      <c r="B65" s="25"/>
      <c r="C65" s="25"/>
      <c r="D65" s="25"/>
      <c r="E65" s="25"/>
      <c r="F65" s="25">
        <f t="shared" si="0"/>
        <v>0</v>
      </c>
      <c r="G65" s="8">
        <f t="shared" si="1"/>
        <v>8</v>
      </c>
    </row>
    <row r="66" spans="1:7" x14ac:dyDescent="0.25">
      <c r="A66" s="8">
        <v>10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10</v>
      </c>
    </row>
    <row r="67" spans="1:7" x14ac:dyDescent="0.25">
      <c r="A67" s="8">
        <v>0.125</v>
      </c>
      <c r="B67" s="25"/>
      <c r="C67" s="25"/>
      <c r="D67" s="25"/>
      <c r="E67" s="25"/>
      <c r="F67" s="25">
        <f t="shared" si="2"/>
        <v>0</v>
      </c>
      <c r="G67" s="8">
        <f t="shared" si="3"/>
        <v>0.125</v>
      </c>
    </row>
    <row r="68" spans="1:7" x14ac:dyDescent="0.25">
      <c r="A68" s="8">
        <v>0.25</v>
      </c>
      <c r="B68" s="25"/>
      <c r="C68" s="25"/>
      <c r="D68" s="25"/>
      <c r="E68" s="25"/>
      <c r="F68" s="25">
        <f t="shared" si="2"/>
        <v>0</v>
      </c>
      <c r="G68" s="8">
        <f t="shared" si="3"/>
        <v>0.25</v>
      </c>
    </row>
    <row r="69" spans="1:7" x14ac:dyDescent="0.25">
      <c r="A69" s="8">
        <v>0.375</v>
      </c>
      <c r="B69" s="25"/>
      <c r="C69" s="25"/>
      <c r="D69" s="25"/>
      <c r="E69" s="25"/>
      <c r="F69" s="25">
        <f t="shared" si="2"/>
        <v>0</v>
      </c>
      <c r="G69" s="8">
        <f t="shared" si="3"/>
        <v>0.375</v>
      </c>
    </row>
    <row r="70" spans="1:7" x14ac:dyDescent="0.25">
      <c r="A70" s="8">
        <v>0.5</v>
      </c>
      <c r="B70" s="25"/>
      <c r="C70" s="25"/>
      <c r="D70" s="25"/>
      <c r="E70" s="25"/>
      <c r="F70" s="25">
        <f t="shared" si="2"/>
        <v>0</v>
      </c>
      <c r="G70" s="8">
        <f t="shared" si="3"/>
        <v>0.5</v>
      </c>
    </row>
    <row r="71" spans="1:7" x14ac:dyDescent="0.25">
      <c r="A71" s="8">
        <v>0.625</v>
      </c>
      <c r="B71" s="25"/>
      <c r="C71" s="25"/>
      <c r="D71" s="25"/>
      <c r="E71" s="25"/>
      <c r="F71" s="25">
        <f t="shared" si="2"/>
        <v>0</v>
      </c>
      <c r="G71" s="8">
        <f t="shared" si="3"/>
        <v>0.625</v>
      </c>
    </row>
    <row r="72" spans="1:7" x14ac:dyDescent="0.25">
      <c r="A72" s="8">
        <v>0.75</v>
      </c>
      <c r="B72" s="25"/>
      <c r="C72" s="25"/>
      <c r="D72" s="25"/>
      <c r="E72" s="25"/>
      <c r="F72" s="25">
        <f t="shared" si="2"/>
        <v>0</v>
      </c>
      <c r="G72" s="8">
        <f t="shared" si="3"/>
        <v>0.75</v>
      </c>
    </row>
    <row r="73" spans="1:7" x14ac:dyDescent="0.25">
      <c r="A73" s="8">
        <v>0.875</v>
      </c>
      <c r="B73" s="25"/>
      <c r="C73" s="25"/>
      <c r="D73" s="25"/>
      <c r="E73" s="25"/>
      <c r="F73" s="25">
        <f t="shared" si="2"/>
        <v>0</v>
      </c>
      <c r="G73" s="8">
        <f t="shared" si="3"/>
        <v>0.875</v>
      </c>
    </row>
    <row r="74" spans="1:7" x14ac:dyDescent="0.25">
      <c r="A74" s="8">
        <v>0</v>
      </c>
      <c r="B74" s="25"/>
      <c r="C74" s="25"/>
      <c r="D74" s="25"/>
      <c r="E74" s="25"/>
      <c r="F74" s="25">
        <f t="shared" si="2"/>
        <v>0</v>
      </c>
      <c r="G74" s="8">
        <f t="shared" si="3"/>
        <v>0</v>
      </c>
    </row>
    <row r="75" spans="1:7" x14ac:dyDescent="0.25">
      <c r="A75" s="8">
        <v>0.125</v>
      </c>
      <c r="B75" s="25"/>
      <c r="C75" s="25"/>
      <c r="D75" s="25"/>
      <c r="E75" s="25"/>
      <c r="F75" s="25">
        <f t="shared" si="2"/>
        <v>0</v>
      </c>
      <c r="G75" s="8">
        <f t="shared" si="3"/>
        <v>0.125</v>
      </c>
    </row>
    <row r="76" spans="1:7" x14ac:dyDescent="0.25">
      <c r="A76" s="8" t="s">
        <v>326</v>
      </c>
      <c r="B76" s="25"/>
      <c r="C76" s="25"/>
      <c r="D76" s="25"/>
      <c r="E76" s="25"/>
      <c r="F76" s="25">
        <f t="shared" si="2"/>
        <v>0</v>
      </c>
      <c r="G76" s="8" t="str">
        <f t="shared" si="3"/>
        <v>Time per 30 minutes</v>
      </c>
    </row>
    <row r="77" spans="1:7" x14ac:dyDescent="0.25">
      <c r="A77" s="8" t="s">
        <v>38</v>
      </c>
      <c r="B77" s="25" t="s">
        <v>327</v>
      </c>
      <c r="C77" s="25" t="s">
        <v>328</v>
      </c>
      <c r="D77" s="25" t="s">
        <v>329</v>
      </c>
      <c r="E77" s="25" t="s">
        <v>330</v>
      </c>
      <c r="F77" s="25" t="str">
        <f t="shared" si="2"/>
        <v xml:space="preserve">Source  </v>
      </c>
      <c r="G77" s="8" t="str">
        <f t="shared" si="3"/>
        <v xml:space="preserve">Time </v>
      </c>
    </row>
    <row r="78" spans="1:7" x14ac:dyDescent="0.25">
      <c r="A78" s="8">
        <v>42567.182939814818</v>
      </c>
      <c r="B78" s="25" t="s">
        <v>371</v>
      </c>
      <c r="C78" s="25" t="s">
        <v>372</v>
      </c>
      <c r="D78" s="25">
        <v>1460000</v>
      </c>
      <c r="E78" s="25" t="s">
        <v>110</v>
      </c>
      <c r="F78" s="25" t="str">
        <f t="shared" si="2"/>
        <v>rtdc.l.rtdc.4011:itc</v>
      </c>
      <c r="G78" s="8">
        <f t="shared" si="3"/>
        <v>42567.182939814818</v>
      </c>
    </row>
    <row r="79" spans="1:7" x14ac:dyDescent="0.25">
      <c r="A79" s="8">
        <v>42567.767233796294</v>
      </c>
      <c r="B79" s="25" t="s">
        <v>117</v>
      </c>
      <c r="C79" s="25" t="s">
        <v>373</v>
      </c>
      <c r="D79" s="25">
        <v>1480000</v>
      </c>
      <c r="E79" s="25" t="s">
        <v>113</v>
      </c>
      <c r="F79" s="25" t="str">
        <f t="shared" si="2"/>
        <v>rtdc.l.rtdc.4025:itc</v>
      </c>
      <c r="G79" s="8">
        <f t="shared" si="3"/>
        <v>42567.767233796294</v>
      </c>
    </row>
    <row r="80" spans="1:7" x14ac:dyDescent="0.25">
      <c r="A80" s="8">
        <v>42567.777743055558</v>
      </c>
      <c r="B80" s="25" t="s">
        <v>139</v>
      </c>
      <c r="C80" s="25" t="s">
        <v>374</v>
      </c>
      <c r="D80" s="25">
        <v>1770000</v>
      </c>
      <c r="E80" s="25" t="s">
        <v>375</v>
      </c>
      <c r="F80" s="25" t="str">
        <f t="shared" si="2"/>
        <v>rtdc.l.rtdc.4039:itc</v>
      </c>
      <c r="G80" s="8">
        <f t="shared" si="3"/>
        <v>42567.777743055558</v>
      </c>
    </row>
    <row r="81" spans="1:7" x14ac:dyDescent="0.25">
      <c r="A81" s="8">
        <v>42567.848599537036</v>
      </c>
      <c r="B81" s="25" t="s">
        <v>139</v>
      </c>
      <c r="C81" s="25" t="s">
        <v>376</v>
      </c>
      <c r="D81" s="25">
        <v>1770000</v>
      </c>
      <c r="E81" s="25" t="s">
        <v>375</v>
      </c>
      <c r="F81" s="25" t="str">
        <f t="shared" si="2"/>
        <v>rtdc.l.rtdc.4039:itc</v>
      </c>
      <c r="G81" s="8">
        <f t="shared" si="3"/>
        <v>42567.848599537036</v>
      </c>
    </row>
    <row r="82" spans="1:7" x14ac:dyDescent="0.25">
      <c r="A82" s="8">
        <v>42567.762094907404</v>
      </c>
      <c r="B82" s="25" t="s">
        <v>120</v>
      </c>
      <c r="C82" s="25" t="s">
        <v>377</v>
      </c>
      <c r="D82" s="25">
        <v>1810000</v>
      </c>
      <c r="E82" s="25" t="s">
        <v>140</v>
      </c>
      <c r="F82" s="25" t="str">
        <f t="shared" si="2"/>
        <v>rtdc.l.rtdc.4029:itc</v>
      </c>
      <c r="G82" s="8">
        <f t="shared" si="3"/>
        <v>42567.762094907404</v>
      </c>
    </row>
    <row r="83" spans="1:7" x14ac:dyDescent="0.25">
      <c r="A83" s="8">
        <v>42567.865914351853</v>
      </c>
      <c r="B83" s="25" t="s">
        <v>74</v>
      </c>
      <c r="C83" s="25" t="s">
        <v>378</v>
      </c>
      <c r="D83" s="25">
        <v>1300000</v>
      </c>
      <c r="E83" s="25" t="s">
        <v>237</v>
      </c>
      <c r="F83" s="25" t="str">
        <f t="shared" si="2"/>
        <v>rtdc.l.rtdc.4018:itc</v>
      </c>
      <c r="G83" s="8">
        <f t="shared" si="3"/>
        <v>42567.865914351853</v>
      </c>
    </row>
    <row r="84" spans="1:7" x14ac:dyDescent="0.25">
      <c r="A84" s="8">
        <v>42567.890300925923</v>
      </c>
      <c r="B84" s="25" t="s">
        <v>133</v>
      </c>
      <c r="C84" s="25" t="s">
        <v>379</v>
      </c>
      <c r="D84" s="25">
        <v>1810000</v>
      </c>
      <c r="E84" s="25" t="s">
        <v>140</v>
      </c>
      <c r="F84" s="25" t="str">
        <f t="shared" si="2"/>
        <v>rtdc.l.rtdc.4040:itc</v>
      </c>
      <c r="G84" s="8">
        <f t="shared" si="3"/>
        <v>42567.890300925923</v>
      </c>
    </row>
    <row r="85" spans="1:7" x14ac:dyDescent="0.25">
      <c r="A85" s="8">
        <v>42567.946215277778</v>
      </c>
      <c r="B85" s="25" t="s">
        <v>121</v>
      </c>
      <c r="C85" s="25" t="s">
        <v>380</v>
      </c>
      <c r="D85" s="25">
        <v>2030000</v>
      </c>
      <c r="E85" s="25" t="s">
        <v>147</v>
      </c>
      <c r="F85" s="25" t="str">
        <f t="shared" si="2"/>
        <v>rtdc.l.rtdc.4030:itc</v>
      </c>
      <c r="G85" s="8">
        <f t="shared" si="3"/>
        <v>42567.946215277778</v>
      </c>
    </row>
    <row r="86" spans="1:7" x14ac:dyDescent="0.25">
      <c r="A86" s="8">
        <v>42567.380914351852</v>
      </c>
      <c r="B86" s="25" t="s">
        <v>211</v>
      </c>
      <c r="C86" s="25" t="s">
        <v>381</v>
      </c>
      <c r="D86" s="25">
        <v>1190000</v>
      </c>
      <c r="E86" s="25" t="s">
        <v>209</v>
      </c>
      <c r="F86" s="25" t="str">
        <f t="shared" si="2"/>
        <v>rtdc.l.rtdc.4041:itc</v>
      </c>
      <c r="G86" s="8">
        <f t="shared" si="3"/>
        <v>42567.380914351852</v>
      </c>
    </row>
    <row r="87" spans="1:7" x14ac:dyDescent="0.25">
      <c r="A87" s="8">
        <v>42567.38453703704</v>
      </c>
      <c r="B87" s="25" t="s">
        <v>120</v>
      </c>
      <c r="C87" s="25" t="s">
        <v>382</v>
      </c>
      <c r="D87" s="25">
        <v>1310000</v>
      </c>
      <c r="E87" s="25" t="s">
        <v>111</v>
      </c>
      <c r="F87" s="25" t="str">
        <f t="shared" si="2"/>
        <v>rtdc.l.rtdc.4029:itc</v>
      </c>
      <c r="G87" s="8">
        <f t="shared" si="3"/>
        <v>42567.38453703704</v>
      </c>
    </row>
    <row r="88" spans="1:7" x14ac:dyDescent="0.25">
      <c r="A88" s="8">
        <v>42567.759687500002</v>
      </c>
      <c r="B88" s="25" t="s">
        <v>74</v>
      </c>
      <c r="C88" s="25" t="s">
        <v>383</v>
      </c>
      <c r="D88" s="25">
        <v>1800000</v>
      </c>
      <c r="E88" s="25" t="s">
        <v>367</v>
      </c>
      <c r="F88" s="25" t="str">
        <f t="shared" si="2"/>
        <v>rtdc.l.rtdc.4018:itc</v>
      </c>
      <c r="G88" s="8">
        <f t="shared" si="3"/>
        <v>42567.759687500002</v>
      </c>
    </row>
    <row r="89" spans="1:7" x14ac:dyDescent="0.25">
      <c r="A89" s="8">
        <v>42567.413888888892</v>
      </c>
      <c r="B89" s="25" t="s">
        <v>83</v>
      </c>
      <c r="C89" s="25" t="s">
        <v>384</v>
      </c>
      <c r="D89" s="25">
        <v>1190000</v>
      </c>
      <c r="E89" s="25" t="s">
        <v>209</v>
      </c>
      <c r="F89" s="25" t="str">
        <f t="shared" si="2"/>
        <v>rtdc.l.rtdc.4042:itc</v>
      </c>
      <c r="G89" s="8">
        <f t="shared" si="3"/>
        <v>42567.413888888892</v>
      </c>
    </row>
    <row r="90" spans="1:7" x14ac:dyDescent="0.25">
      <c r="A90" s="8">
        <v>42567.589131944442</v>
      </c>
      <c r="B90" s="25" t="s">
        <v>385</v>
      </c>
      <c r="C90" s="25" t="s">
        <v>386</v>
      </c>
      <c r="D90" s="25">
        <v>1750000</v>
      </c>
      <c r="E90" s="25" t="s">
        <v>332</v>
      </c>
      <c r="F90" s="25" t="str">
        <f t="shared" si="2"/>
        <v>rtdc.l.rtdc.4012:itc</v>
      </c>
      <c r="G90" s="8">
        <f t="shared" si="3"/>
        <v>42567.589131944442</v>
      </c>
    </row>
    <row r="91" spans="1:7" x14ac:dyDescent="0.25">
      <c r="A91" s="8">
        <v>42567.440578703703</v>
      </c>
      <c r="B91" s="25" t="s">
        <v>133</v>
      </c>
      <c r="C91" s="25" t="s">
        <v>387</v>
      </c>
      <c r="D91" s="25">
        <v>1830000</v>
      </c>
      <c r="E91" s="25" t="s">
        <v>124</v>
      </c>
      <c r="F91" s="25" t="str">
        <f t="shared" si="2"/>
        <v>rtdc.l.rtdc.4040:itc</v>
      </c>
      <c r="G91" s="8">
        <f t="shared" si="3"/>
        <v>42567.440578703703</v>
      </c>
    </row>
    <row r="92" spans="1:7" x14ac:dyDescent="0.25">
      <c r="A92" s="8">
        <v>42567.327696759261</v>
      </c>
      <c r="B92" s="25" t="s">
        <v>371</v>
      </c>
      <c r="C92" s="25" t="s">
        <v>388</v>
      </c>
      <c r="D92" s="25">
        <v>1460000</v>
      </c>
      <c r="E92" s="25" t="s">
        <v>110</v>
      </c>
      <c r="F92" s="25" t="str">
        <f t="shared" si="2"/>
        <v>rtdc.l.rtdc.4011:itc</v>
      </c>
      <c r="G92" s="8">
        <f t="shared" si="3"/>
        <v>42567.327696759261</v>
      </c>
    </row>
    <row r="93" spans="1:7" x14ac:dyDescent="0.25">
      <c r="A93" s="8">
        <v>42567.455347222225</v>
      </c>
      <c r="B93" s="25" t="s">
        <v>120</v>
      </c>
      <c r="C93" s="25" t="s">
        <v>389</v>
      </c>
      <c r="D93" s="25">
        <v>880000</v>
      </c>
      <c r="E93" s="25" t="s">
        <v>366</v>
      </c>
      <c r="F93" s="25" t="str">
        <f t="shared" si="2"/>
        <v>rtdc.l.rtdc.4029:itc</v>
      </c>
      <c r="G93" s="8">
        <f t="shared" si="3"/>
        <v>42567.455347222225</v>
      </c>
    </row>
    <row r="94" spans="1:7" x14ac:dyDescent="0.25">
      <c r="A94" s="8">
        <v>42567.318819444445</v>
      </c>
      <c r="B94" s="25" t="s">
        <v>72</v>
      </c>
      <c r="C94" s="25" t="s">
        <v>390</v>
      </c>
      <c r="D94" s="25">
        <v>1360000</v>
      </c>
      <c r="E94" s="25" t="s">
        <v>194</v>
      </c>
      <c r="F94" s="25" t="str">
        <f t="shared" si="2"/>
        <v>rtdc.l.rtdc.4019:itc</v>
      </c>
      <c r="G94" s="8">
        <f t="shared" si="3"/>
        <v>42567.318819444445</v>
      </c>
    </row>
    <row r="95" spans="1:7" x14ac:dyDescent="0.25">
      <c r="A95" s="8">
        <v>42567.463865740741</v>
      </c>
      <c r="B95" s="25" t="s">
        <v>74</v>
      </c>
      <c r="C95" s="25" t="s">
        <v>391</v>
      </c>
      <c r="D95" s="25">
        <v>1740000</v>
      </c>
      <c r="E95" s="25" t="s">
        <v>392</v>
      </c>
      <c r="F95" s="25" t="str">
        <f t="shared" si="2"/>
        <v>rtdc.l.rtdc.4018:itc</v>
      </c>
      <c r="G95" s="8">
        <f t="shared" si="3"/>
        <v>42567.463865740741</v>
      </c>
    </row>
    <row r="96" spans="1:7" x14ac:dyDescent="0.25">
      <c r="A96" s="8">
        <v>42567.310960648145</v>
      </c>
      <c r="B96" s="25" t="s">
        <v>120</v>
      </c>
      <c r="C96" s="25" t="s">
        <v>393</v>
      </c>
      <c r="D96" s="25">
        <v>1310000</v>
      </c>
      <c r="E96" s="25" t="s">
        <v>111</v>
      </c>
      <c r="F96" s="25" t="str">
        <f t="shared" si="2"/>
        <v>rtdc.l.rtdc.4029:itc</v>
      </c>
      <c r="G96" s="8">
        <f t="shared" si="3"/>
        <v>42567.310960648145</v>
      </c>
    </row>
    <row r="97" spans="1:7" x14ac:dyDescent="0.25">
      <c r="A97" s="8">
        <v>42567.511747685188</v>
      </c>
      <c r="B97" s="25" t="s">
        <v>385</v>
      </c>
      <c r="C97" s="25" t="s">
        <v>394</v>
      </c>
      <c r="D97" s="25">
        <v>1750000</v>
      </c>
      <c r="E97" s="25" t="s">
        <v>332</v>
      </c>
      <c r="F97" s="25" t="str">
        <f t="shared" si="2"/>
        <v>rtdc.l.rtdc.4012:itc</v>
      </c>
      <c r="G97" s="8">
        <f t="shared" si="3"/>
        <v>42567.511747685188</v>
      </c>
    </row>
    <row r="98" spans="1:7" x14ac:dyDescent="0.25">
      <c r="A98" s="8">
        <v>42567.231180555558</v>
      </c>
      <c r="B98" s="25" t="s">
        <v>211</v>
      </c>
      <c r="C98" s="25" t="s">
        <v>395</v>
      </c>
      <c r="D98" s="25">
        <v>1190000</v>
      </c>
      <c r="E98" s="25" t="s">
        <v>209</v>
      </c>
      <c r="F98" s="25" t="str">
        <f t="shared" si="2"/>
        <v>rtdc.l.rtdc.4041:itc</v>
      </c>
      <c r="G98" s="8">
        <f t="shared" si="3"/>
        <v>42567.231180555558</v>
      </c>
    </row>
    <row r="99" spans="1:7" x14ac:dyDescent="0.25">
      <c r="A99" s="8">
        <v>42567.537361111114</v>
      </c>
      <c r="B99" s="25" t="s">
        <v>116</v>
      </c>
      <c r="C99" s="25" t="s">
        <v>396</v>
      </c>
      <c r="D99" s="25">
        <v>1770000</v>
      </c>
      <c r="E99" s="25" t="s">
        <v>375</v>
      </c>
      <c r="F99" s="25" t="str">
        <f t="shared" si="2"/>
        <v>rtdc.l.rtdc.4013:itc</v>
      </c>
      <c r="G99" s="8">
        <f t="shared" si="3"/>
        <v>42567.537361111114</v>
      </c>
    </row>
    <row r="100" spans="1:7" x14ac:dyDescent="0.25">
      <c r="A100" s="8">
        <v>42567.210347222222</v>
      </c>
      <c r="B100" s="25" t="s">
        <v>67</v>
      </c>
      <c r="C100" s="25" t="s">
        <v>397</v>
      </c>
      <c r="D100" s="25">
        <v>1260000</v>
      </c>
      <c r="E100" s="25" t="s">
        <v>398</v>
      </c>
      <c r="F100" s="25" t="str">
        <f t="shared" si="2"/>
        <v>rtdc.l.rtdc.4032:itc</v>
      </c>
      <c r="G100" s="8">
        <f t="shared" si="3"/>
        <v>42567.210347222222</v>
      </c>
    </row>
    <row r="101" spans="1:7" x14ac:dyDescent="0.25">
      <c r="A101" s="8">
        <v>42567.557175925926</v>
      </c>
      <c r="B101" s="25" t="s">
        <v>139</v>
      </c>
      <c r="C101" s="25" t="s">
        <v>399</v>
      </c>
      <c r="D101" s="25">
        <v>950000</v>
      </c>
      <c r="E101" s="25" t="s">
        <v>400</v>
      </c>
      <c r="F101" s="25" t="str">
        <f t="shared" si="2"/>
        <v>rtdc.l.rtdc.4039:itc</v>
      </c>
      <c r="G101" s="8">
        <f t="shared" si="3"/>
        <v>42567.557175925926</v>
      </c>
    </row>
    <row r="102" spans="1:7" x14ac:dyDescent="0.25">
      <c r="A102" s="8">
        <v>42567.05064814815</v>
      </c>
      <c r="B102" s="25" t="s">
        <v>171</v>
      </c>
      <c r="C102" s="25" t="s">
        <v>360</v>
      </c>
      <c r="D102" s="25">
        <v>1480000</v>
      </c>
      <c r="E102" s="25" t="s">
        <v>113</v>
      </c>
      <c r="F102" s="25" t="str">
        <f t="shared" si="2"/>
        <v>rtdc.l.rtdc.4015:itc</v>
      </c>
      <c r="G102" s="8">
        <f t="shared" si="3"/>
        <v>42567.05064814815</v>
      </c>
    </row>
    <row r="103" spans="1:7" x14ac:dyDescent="0.25">
      <c r="A103" s="8">
        <v>42567.569131944445</v>
      </c>
      <c r="B103" s="25" t="s">
        <v>121</v>
      </c>
      <c r="C103" s="25" t="s">
        <v>401</v>
      </c>
      <c r="D103" s="25">
        <v>880000</v>
      </c>
      <c r="E103" s="25" t="s">
        <v>366</v>
      </c>
      <c r="F103" s="25" t="str">
        <f t="shared" si="2"/>
        <v>rtdc.l.rtdc.4030:itc</v>
      </c>
      <c r="G103" s="8">
        <f t="shared" si="3"/>
        <v>42567.569131944445</v>
      </c>
    </row>
    <row r="104" spans="1:7" x14ac:dyDescent="0.25">
      <c r="A104" s="8">
        <v>42568.017395833333</v>
      </c>
      <c r="B104" s="25" t="s">
        <v>139</v>
      </c>
      <c r="C104" s="25" t="s">
        <v>402</v>
      </c>
      <c r="D104" s="25">
        <v>1810000</v>
      </c>
      <c r="E104" s="25" t="s">
        <v>140</v>
      </c>
      <c r="F104" s="25" t="str">
        <f t="shared" si="2"/>
        <v>rtdc.l.rtdc.4039:itc</v>
      </c>
      <c r="G104" s="8">
        <f t="shared" si="3"/>
        <v>42568.017395833333</v>
      </c>
    </row>
    <row r="105" spans="1:7" x14ac:dyDescent="0.25">
      <c r="A105" s="8">
        <v>42567.809942129628</v>
      </c>
      <c r="B105" s="25" t="s">
        <v>133</v>
      </c>
      <c r="C105" s="25" t="s">
        <v>403</v>
      </c>
      <c r="D105" s="25">
        <v>1770000</v>
      </c>
      <c r="E105" s="25" t="s">
        <v>375</v>
      </c>
      <c r="F105" s="25" t="str">
        <f t="shared" si="2"/>
        <v>rtdc.l.rtdc.4040:itc</v>
      </c>
      <c r="G105" s="8">
        <f t="shared" si="3"/>
        <v>42567.809942129628</v>
      </c>
    </row>
    <row r="106" spans="1:7" x14ac:dyDescent="0.25">
      <c r="A106" s="8">
        <v>42568.016168981485</v>
      </c>
      <c r="B106" s="25" t="s">
        <v>139</v>
      </c>
      <c r="C106" s="25" t="s">
        <v>402</v>
      </c>
      <c r="D106" s="25">
        <v>1810000</v>
      </c>
      <c r="E106" s="25" t="s">
        <v>140</v>
      </c>
      <c r="F106" s="25" t="str">
        <f t="shared" si="2"/>
        <v>rtdc.l.rtdc.4039:itc</v>
      </c>
      <c r="G106" s="8">
        <f t="shared" si="3"/>
        <v>42568.016168981485</v>
      </c>
    </row>
    <row r="107" spans="1:7" x14ac:dyDescent="0.25">
      <c r="A107" s="8">
        <v>42567.866724537038</v>
      </c>
      <c r="B107" s="25" t="s">
        <v>74</v>
      </c>
      <c r="C107" s="25" t="s">
        <v>378</v>
      </c>
      <c r="D107" s="25">
        <v>1300000</v>
      </c>
      <c r="E107" s="25" t="s">
        <v>237</v>
      </c>
      <c r="F107" s="25" t="str">
        <f t="shared" si="2"/>
        <v>rtdc.l.rtdc.4018:itc</v>
      </c>
      <c r="G107" s="8">
        <f t="shared" si="3"/>
        <v>42567.866724537038</v>
      </c>
    </row>
    <row r="108" spans="1:7" x14ac:dyDescent="0.25">
      <c r="A108" s="8">
        <v>42568.015983796293</v>
      </c>
      <c r="B108" s="25" t="s">
        <v>73</v>
      </c>
      <c r="C108" s="25" t="s">
        <v>404</v>
      </c>
      <c r="D108" s="25">
        <v>1480000</v>
      </c>
      <c r="E108" s="25" t="s">
        <v>113</v>
      </c>
      <c r="F108" s="25" t="str">
        <f t="shared" si="2"/>
        <v>rtdc.l.rtdc.4020:itc</v>
      </c>
      <c r="G108" s="8">
        <f t="shared" si="3"/>
        <v>42568.015983796293</v>
      </c>
    </row>
    <row r="109" spans="1:7" x14ac:dyDescent="0.25">
      <c r="A109" s="8">
        <v>42567.907777777778</v>
      </c>
      <c r="B109" s="25" t="s">
        <v>75</v>
      </c>
      <c r="C109" s="25" t="s">
        <v>405</v>
      </c>
      <c r="D109" s="25">
        <v>1300000</v>
      </c>
      <c r="E109" s="25" t="s">
        <v>237</v>
      </c>
      <c r="F109" s="25" t="str">
        <f t="shared" si="2"/>
        <v>rtdc.l.rtdc.4017:itc</v>
      </c>
      <c r="G109" s="8">
        <f t="shared" si="3"/>
        <v>42567.907777777778</v>
      </c>
    </row>
    <row r="110" spans="1:7" x14ac:dyDescent="0.25">
      <c r="A110" s="8">
        <v>42567.975104166668</v>
      </c>
      <c r="B110" s="25" t="s">
        <v>133</v>
      </c>
      <c r="C110" s="25" t="s">
        <v>406</v>
      </c>
      <c r="D110" s="25">
        <v>1810000</v>
      </c>
      <c r="E110" s="25" t="s">
        <v>140</v>
      </c>
      <c r="F110" s="25" t="str">
        <f t="shared" si="2"/>
        <v>rtdc.l.rtdc.4040:itc</v>
      </c>
      <c r="G110" s="8">
        <f t="shared" si="3"/>
        <v>42567.975104166668</v>
      </c>
    </row>
    <row r="111" spans="1:7" x14ac:dyDescent="0.25">
      <c r="A111" s="8">
        <v>42567.927453703705</v>
      </c>
      <c r="B111" s="25" t="s">
        <v>73</v>
      </c>
      <c r="C111" s="25" t="s">
        <v>407</v>
      </c>
      <c r="D111" s="25">
        <v>1480000</v>
      </c>
      <c r="E111" s="25" t="s">
        <v>113</v>
      </c>
      <c r="F111" s="25" t="str">
        <f t="shared" si="2"/>
        <v>rtdc.l.rtdc.4020:itc</v>
      </c>
      <c r="G111" s="8">
        <f t="shared" si="3"/>
        <v>42567.927453703705</v>
      </c>
    </row>
    <row r="112" spans="1:7" x14ac:dyDescent="0.25">
      <c r="A112" s="8">
        <v>42567.931446759256</v>
      </c>
      <c r="B112" s="25" t="s">
        <v>139</v>
      </c>
      <c r="C112" s="25" t="s">
        <v>408</v>
      </c>
      <c r="D112" s="25">
        <v>1810000</v>
      </c>
      <c r="E112" s="25" t="s">
        <v>140</v>
      </c>
      <c r="F112" s="25" t="str">
        <f t="shared" si="2"/>
        <v>rtdc.l.rtdc.4039:itc</v>
      </c>
      <c r="G112" s="8">
        <f t="shared" si="3"/>
        <v>42567.931446759256</v>
      </c>
    </row>
    <row r="113" spans="1:7" x14ac:dyDescent="0.25">
      <c r="A113" s="8">
        <v>42568.014120370368</v>
      </c>
      <c r="B113" s="25" t="s">
        <v>73</v>
      </c>
      <c r="C113" s="25" t="s">
        <v>404</v>
      </c>
      <c r="D113" s="25">
        <v>1480000</v>
      </c>
      <c r="E113" s="25" t="s">
        <v>113</v>
      </c>
      <c r="F113" s="25" t="str">
        <f t="shared" si="2"/>
        <v>rtdc.l.rtdc.4020:itc</v>
      </c>
      <c r="G113" s="8">
        <f t="shared" si="3"/>
        <v>42568.014120370368</v>
      </c>
    </row>
    <row r="114" spans="1:7" x14ac:dyDescent="0.25">
      <c r="A114" s="8">
        <v>42567.474120370367</v>
      </c>
      <c r="B114" s="25" t="s">
        <v>139</v>
      </c>
      <c r="C114" s="25" t="s">
        <v>409</v>
      </c>
      <c r="D114" s="25">
        <v>1830000</v>
      </c>
      <c r="E114" s="25" t="s">
        <v>124</v>
      </c>
      <c r="F114" s="25" t="str">
        <f t="shared" si="2"/>
        <v>rtdc.l.rtdc.4039:itc</v>
      </c>
      <c r="G114" s="8">
        <f t="shared" si="3"/>
        <v>42567.474120370367</v>
      </c>
    </row>
    <row r="115" spans="1:7" x14ac:dyDescent="0.25">
      <c r="A115" s="8">
        <v>42568.03597222222</v>
      </c>
      <c r="B115" s="25" t="s">
        <v>114</v>
      </c>
      <c r="C115" s="25" t="s">
        <v>410</v>
      </c>
      <c r="D115" s="25">
        <v>1800000</v>
      </c>
      <c r="E115" s="25" t="s">
        <v>367</v>
      </c>
      <c r="F115" s="25" t="str">
        <f t="shared" si="2"/>
        <v>rtdc.l.rtdc.4026:itc</v>
      </c>
      <c r="G115" s="8">
        <f t="shared" si="3"/>
        <v>42568.03597222222</v>
      </c>
    </row>
    <row r="116" spans="1:7" x14ac:dyDescent="0.25">
      <c r="A116" s="8">
        <v>42567.454351851855</v>
      </c>
      <c r="B116" s="25" t="s">
        <v>120</v>
      </c>
      <c r="C116" s="25" t="s">
        <v>389</v>
      </c>
      <c r="D116" s="25">
        <v>880000</v>
      </c>
      <c r="E116" s="25" t="s">
        <v>366</v>
      </c>
      <c r="F116" s="25" t="str">
        <f t="shared" si="2"/>
        <v>rtdc.l.rtdc.4029:itc</v>
      </c>
      <c r="G116" s="8">
        <f t="shared" si="3"/>
        <v>42567.454351851855</v>
      </c>
    </row>
    <row r="117" spans="1:7" x14ac:dyDescent="0.25">
      <c r="A117" s="8">
        <v>42567.077418981484</v>
      </c>
      <c r="B117" s="25" t="s">
        <v>204</v>
      </c>
      <c r="C117" s="25" t="s">
        <v>363</v>
      </c>
      <c r="D117" s="25">
        <v>2040000</v>
      </c>
      <c r="E117" s="25" t="s">
        <v>150</v>
      </c>
      <c r="F117" s="25" t="str">
        <f t="shared" si="2"/>
        <v>rtdc.l.rtdc.4010:itc</v>
      </c>
      <c r="G117" s="8">
        <f t="shared" si="3"/>
        <v>42567.077418981484</v>
      </c>
    </row>
    <row r="118" spans="1:7" x14ac:dyDescent="0.25">
      <c r="A118" s="8">
        <v>42567.448796296296</v>
      </c>
      <c r="B118" s="25" t="s">
        <v>211</v>
      </c>
      <c r="C118" s="25" t="s">
        <v>411</v>
      </c>
      <c r="D118" s="25">
        <v>1190000</v>
      </c>
      <c r="E118" s="25" t="s">
        <v>209</v>
      </c>
      <c r="F118" s="25" t="str">
        <f t="shared" si="2"/>
        <v>rtdc.l.rtdc.4041:itc</v>
      </c>
      <c r="G118" s="8">
        <f t="shared" si="3"/>
        <v>42567.448796296296</v>
      </c>
    </row>
    <row r="119" spans="1:7" x14ac:dyDescent="0.25">
      <c r="A119" s="8">
        <v>42567.155462962961</v>
      </c>
      <c r="B119" s="25" t="s">
        <v>133</v>
      </c>
      <c r="C119" s="25" t="s">
        <v>412</v>
      </c>
      <c r="D119" s="25">
        <v>1310000</v>
      </c>
      <c r="E119" s="25" t="s">
        <v>111</v>
      </c>
      <c r="F119" s="25" t="str">
        <f t="shared" si="2"/>
        <v>rtdc.l.rtdc.4040:itc</v>
      </c>
      <c r="G119" s="8">
        <f t="shared" si="3"/>
        <v>42567.155462962961</v>
      </c>
    </row>
    <row r="120" spans="1:7" x14ac:dyDescent="0.25">
      <c r="A120" s="8">
        <v>42567.441122685188</v>
      </c>
      <c r="B120" s="25" t="s">
        <v>133</v>
      </c>
      <c r="C120" s="25" t="s">
        <v>387</v>
      </c>
      <c r="D120" s="25">
        <v>1830000</v>
      </c>
      <c r="E120" s="25" t="s">
        <v>124</v>
      </c>
      <c r="F120" s="25" t="str">
        <f t="shared" si="2"/>
        <v>rtdc.l.rtdc.4040:itc</v>
      </c>
      <c r="G120" s="8">
        <f t="shared" si="3"/>
        <v>42567.441122685188</v>
      </c>
    </row>
    <row r="121" spans="1:7" x14ac:dyDescent="0.25">
      <c r="A121" s="8">
        <v>42567.235347222224</v>
      </c>
      <c r="B121" s="25" t="s">
        <v>120</v>
      </c>
      <c r="C121" s="25" t="s">
        <v>413</v>
      </c>
      <c r="D121" s="25">
        <v>1310000</v>
      </c>
      <c r="E121" s="25" t="s">
        <v>111</v>
      </c>
      <c r="F121" s="25" t="str">
        <f t="shared" si="2"/>
        <v>rtdc.l.rtdc.4029:itc</v>
      </c>
      <c r="G121" s="8">
        <f t="shared" si="3"/>
        <v>42567.235347222224</v>
      </c>
    </row>
    <row r="122" spans="1:7" x14ac:dyDescent="0.25">
      <c r="A122" s="8">
        <v>42567.429108796299</v>
      </c>
      <c r="B122" s="33" t="s">
        <v>75</v>
      </c>
      <c r="C122" s="25" t="s">
        <v>414</v>
      </c>
      <c r="D122" s="25">
        <v>1260000</v>
      </c>
      <c r="E122" s="25" t="s">
        <v>398</v>
      </c>
      <c r="F122" s="25" t="str">
        <f t="shared" si="2"/>
        <v>rtdc.l.rtdc.4017:itc</v>
      </c>
      <c r="G122" s="8">
        <f t="shared" si="3"/>
        <v>42567.429108796299</v>
      </c>
    </row>
    <row r="123" spans="1:7" x14ac:dyDescent="0.25">
      <c r="A123" s="8">
        <v>42567.240173611113</v>
      </c>
      <c r="B123" s="25" t="s">
        <v>67</v>
      </c>
      <c r="C123" s="25" t="s">
        <v>397</v>
      </c>
      <c r="D123" s="25">
        <v>1260000</v>
      </c>
      <c r="E123" s="25" t="s">
        <v>398</v>
      </c>
      <c r="F123" s="25" t="str">
        <f t="shared" si="2"/>
        <v>rtdc.l.rtdc.4032:itc</v>
      </c>
      <c r="G123" s="8">
        <f t="shared" si="3"/>
        <v>42567.240173611113</v>
      </c>
    </row>
    <row r="124" spans="1:7" x14ac:dyDescent="0.25">
      <c r="A124" s="8">
        <v>42567.400752314818</v>
      </c>
      <c r="B124" s="25" t="s">
        <v>139</v>
      </c>
      <c r="C124" s="25" t="s">
        <v>415</v>
      </c>
      <c r="D124" s="25">
        <v>1830000</v>
      </c>
      <c r="E124" s="25" t="s">
        <v>124</v>
      </c>
      <c r="F124" s="25" t="str">
        <f t="shared" si="2"/>
        <v>rtdc.l.rtdc.4039:itc</v>
      </c>
      <c r="G124" s="8">
        <f t="shared" si="3"/>
        <v>42567.400752314818</v>
      </c>
    </row>
    <row r="125" spans="1:7" x14ac:dyDescent="0.25">
      <c r="A125" s="8">
        <v>42567.253599537034</v>
      </c>
      <c r="B125" s="25" t="s">
        <v>74</v>
      </c>
      <c r="C125" s="25" t="s">
        <v>416</v>
      </c>
      <c r="D125" s="25">
        <v>1260000</v>
      </c>
      <c r="E125" s="25" t="s">
        <v>398</v>
      </c>
      <c r="F125" s="25" t="str">
        <f t="shared" si="2"/>
        <v>rtdc.l.rtdc.4018:itc</v>
      </c>
      <c r="G125" s="8">
        <f t="shared" si="3"/>
        <v>42567.253599537034</v>
      </c>
    </row>
    <row r="126" spans="1:7" x14ac:dyDescent="0.25">
      <c r="A126" s="8">
        <v>42567.390763888892</v>
      </c>
      <c r="B126" s="25" t="s">
        <v>74</v>
      </c>
      <c r="C126" s="25" t="s">
        <v>417</v>
      </c>
      <c r="D126" s="25">
        <v>1260000</v>
      </c>
      <c r="E126" s="25" t="s">
        <v>398</v>
      </c>
      <c r="F126" s="25" t="str">
        <f t="shared" si="2"/>
        <v>rtdc.l.rtdc.4018:itc</v>
      </c>
      <c r="G126" s="8">
        <f t="shared" si="3"/>
        <v>42567.390763888892</v>
      </c>
    </row>
    <row r="127" spans="1:7" x14ac:dyDescent="0.25">
      <c r="A127" s="8">
        <v>42567.256157407406</v>
      </c>
      <c r="B127" s="25" t="s">
        <v>139</v>
      </c>
      <c r="C127" s="25" t="s">
        <v>418</v>
      </c>
      <c r="D127" s="25">
        <v>1830000</v>
      </c>
      <c r="E127" s="25" t="s">
        <v>124</v>
      </c>
      <c r="F127" s="25" t="str">
        <f t="shared" si="2"/>
        <v>rtdc.l.rtdc.4039:itc</v>
      </c>
      <c r="G127" s="8">
        <f t="shared" si="3"/>
        <v>42567.256157407406</v>
      </c>
    </row>
    <row r="128" spans="1:7" x14ac:dyDescent="0.25">
      <c r="A128" s="8">
        <v>42567.385937500003</v>
      </c>
      <c r="B128" s="25" t="s">
        <v>120</v>
      </c>
      <c r="C128" s="25" t="s">
        <v>382</v>
      </c>
      <c r="D128" s="25">
        <v>1310000</v>
      </c>
      <c r="E128" s="25" t="s">
        <v>111</v>
      </c>
      <c r="F128" s="25" t="str">
        <f t="shared" si="2"/>
        <v>rtdc.l.rtdc.4029:itc</v>
      </c>
      <c r="G128" s="8">
        <f t="shared" si="3"/>
        <v>42567.385937500003</v>
      </c>
    </row>
    <row r="129" spans="1:7" x14ac:dyDescent="0.25">
      <c r="A129" s="8">
        <v>42567.257245370369</v>
      </c>
      <c r="B129" s="25" t="s">
        <v>371</v>
      </c>
      <c r="C129" s="25" t="s">
        <v>419</v>
      </c>
      <c r="D129" s="25">
        <v>1460000</v>
      </c>
      <c r="E129" s="25" t="s">
        <v>110</v>
      </c>
      <c r="F129" s="25" t="str">
        <f t="shared" si="2"/>
        <v>rtdc.l.rtdc.4011:itc</v>
      </c>
      <c r="G129" s="8">
        <f t="shared" si="3"/>
        <v>42567.257245370369</v>
      </c>
    </row>
    <row r="130" spans="1:7" x14ac:dyDescent="0.25">
      <c r="A130" s="8">
        <v>42567.370405092595</v>
      </c>
      <c r="B130" s="25" t="s">
        <v>133</v>
      </c>
      <c r="C130" s="25" t="s">
        <v>420</v>
      </c>
      <c r="D130" s="25">
        <v>1830000</v>
      </c>
      <c r="E130" s="25" t="s">
        <v>124</v>
      </c>
      <c r="F130" s="25" t="str">
        <f t="shared" ref="F130:F193" si="4">B130</f>
        <v>rtdc.l.rtdc.4040:itc</v>
      </c>
      <c r="G130" s="8">
        <f t="shared" ref="G130:G193" si="5">A130</f>
        <v>42567.370405092595</v>
      </c>
    </row>
    <row r="131" spans="1:7" x14ac:dyDescent="0.25">
      <c r="A131" s="8">
        <v>42567.277395833335</v>
      </c>
      <c r="B131" s="25" t="s">
        <v>115</v>
      </c>
      <c r="C131" s="25" t="s">
        <v>421</v>
      </c>
      <c r="D131" s="25">
        <v>1100000</v>
      </c>
      <c r="E131" s="25" t="s">
        <v>422</v>
      </c>
      <c r="F131" s="25" t="str">
        <f t="shared" si="4"/>
        <v>rtdc.l.rtdc.4014:itc</v>
      </c>
      <c r="G131" s="8">
        <f t="shared" si="5"/>
        <v>42567.277395833335</v>
      </c>
    </row>
    <row r="132" spans="1:7" x14ac:dyDescent="0.25">
      <c r="A132" s="8">
        <v>42567.339074074072</v>
      </c>
      <c r="B132" s="25" t="s">
        <v>83</v>
      </c>
      <c r="C132" s="25" t="s">
        <v>423</v>
      </c>
      <c r="D132" s="25">
        <v>1190000</v>
      </c>
      <c r="E132" s="25" t="s">
        <v>209</v>
      </c>
      <c r="F132" s="25" t="str">
        <f t="shared" si="4"/>
        <v>rtdc.l.rtdc.4042:itc</v>
      </c>
      <c r="G132" s="8">
        <f t="shared" si="5"/>
        <v>42567.339074074072</v>
      </c>
    </row>
    <row r="133" spans="1:7" x14ac:dyDescent="0.25">
      <c r="A133" s="8">
        <v>42567.508449074077</v>
      </c>
      <c r="B133" s="25" t="s">
        <v>73</v>
      </c>
      <c r="C133" s="25" t="s">
        <v>424</v>
      </c>
      <c r="D133" s="25">
        <v>1520000</v>
      </c>
      <c r="E133" s="25" t="s">
        <v>425</v>
      </c>
      <c r="F133" s="25" t="str">
        <f t="shared" si="4"/>
        <v>rtdc.l.rtdc.4020:itc</v>
      </c>
      <c r="G133" s="8">
        <f t="shared" si="5"/>
        <v>42567.508449074077</v>
      </c>
    </row>
    <row r="134" spans="1:7" x14ac:dyDescent="0.25">
      <c r="A134" s="8">
        <v>42567.31763888889</v>
      </c>
      <c r="B134" s="25" t="s">
        <v>116</v>
      </c>
      <c r="C134" s="25" t="s">
        <v>426</v>
      </c>
      <c r="D134" s="25">
        <v>1100000</v>
      </c>
      <c r="E134" s="25" t="s">
        <v>422</v>
      </c>
      <c r="F134" s="25" t="str">
        <f t="shared" si="4"/>
        <v>rtdc.l.rtdc.4013:itc</v>
      </c>
      <c r="G134" s="8">
        <f t="shared" si="5"/>
        <v>42567.31763888889</v>
      </c>
    </row>
    <row r="135" spans="1:7" x14ac:dyDescent="0.25">
      <c r="A135" s="8">
        <v>42567.527314814812</v>
      </c>
      <c r="B135" s="25" t="s">
        <v>120</v>
      </c>
      <c r="C135" s="25" t="s">
        <v>427</v>
      </c>
      <c r="D135" s="25">
        <v>880000</v>
      </c>
      <c r="E135" s="25" t="s">
        <v>366</v>
      </c>
      <c r="F135" s="25" t="str">
        <f t="shared" si="4"/>
        <v>rtdc.l.rtdc.4029:itc</v>
      </c>
      <c r="G135" s="8">
        <f t="shared" si="5"/>
        <v>42567.527314814812</v>
      </c>
    </row>
    <row r="136" spans="1:7" x14ac:dyDescent="0.25">
      <c r="A136" s="8">
        <v>42567.309918981482</v>
      </c>
      <c r="B136" s="25" t="s">
        <v>120</v>
      </c>
      <c r="C136" s="25" t="s">
        <v>393</v>
      </c>
      <c r="D136" s="25">
        <v>1310000</v>
      </c>
      <c r="E136" s="25" t="s">
        <v>111</v>
      </c>
      <c r="F136" s="25" t="str">
        <f t="shared" si="4"/>
        <v>rtdc.l.rtdc.4029:itc</v>
      </c>
      <c r="G136" s="8">
        <f t="shared" si="5"/>
        <v>42567.309918981482</v>
      </c>
    </row>
    <row r="137" spans="1:7" x14ac:dyDescent="0.25">
      <c r="A137" s="8">
        <v>42567.537349537037</v>
      </c>
      <c r="B137" s="25" t="s">
        <v>74</v>
      </c>
      <c r="C137" s="25" t="s">
        <v>428</v>
      </c>
      <c r="D137" s="25">
        <v>1740000</v>
      </c>
      <c r="E137" s="25" t="s">
        <v>392</v>
      </c>
      <c r="F137" s="25" t="str">
        <f t="shared" si="4"/>
        <v>rtdc.l.rtdc.4018:itc</v>
      </c>
      <c r="G137" s="8">
        <f t="shared" si="5"/>
        <v>42567.537349537037</v>
      </c>
    </row>
    <row r="138" spans="1:7" x14ac:dyDescent="0.25">
      <c r="A138" s="8">
        <v>42567.30363425926</v>
      </c>
      <c r="B138" s="25" t="s">
        <v>211</v>
      </c>
      <c r="C138" s="25" t="s">
        <v>429</v>
      </c>
      <c r="D138" s="25">
        <v>1190000</v>
      </c>
      <c r="E138" s="25" t="s">
        <v>209</v>
      </c>
      <c r="F138" s="25" t="str">
        <f t="shared" si="4"/>
        <v>rtdc.l.rtdc.4041:itc</v>
      </c>
      <c r="G138" s="8">
        <f t="shared" si="5"/>
        <v>42567.30363425926</v>
      </c>
    </row>
    <row r="139" spans="1:7" x14ac:dyDescent="0.25">
      <c r="A139" s="8">
        <v>42567.609236111108</v>
      </c>
      <c r="B139" s="25" t="s">
        <v>116</v>
      </c>
      <c r="C139" s="25" t="s">
        <v>430</v>
      </c>
      <c r="D139" s="25">
        <v>1770000</v>
      </c>
      <c r="E139" s="25" t="s">
        <v>375</v>
      </c>
      <c r="F139" s="25" t="str">
        <f t="shared" si="4"/>
        <v>rtdc.l.rtdc.4013:itc</v>
      </c>
      <c r="G139" s="8">
        <f t="shared" si="5"/>
        <v>42567.609236111108</v>
      </c>
    </row>
    <row r="140" spans="1:7" x14ac:dyDescent="0.25">
      <c r="A140" s="8">
        <v>42567.995740740742</v>
      </c>
      <c r="B140" s="25" t="s">
        <v>117</v>
      </c>
      <c r="C140" s="25" t="s">
        <v>365</v>
      </c>
      <c r="D140" s="25">
        <v>1800000</v>
      </c>
      <c r="E140" s="25" t="s">
        <v>367</v>
      </c>
      <c r="F140" s="25" t="str">
        <f t="shared" si="4"/>
        <v>rtdc.l.rtdc.4025:itc</v>
      </c>
      <c r="G140" s="8">
        <f t="shared" si="5"/>
        <v>42567.995740740742</v>
      </c>
    </row>
    <row r="141" spans="1:7" x14ac:dyDescent="0.25">
      <c r="A141" s="8">
        <v>42567.611307870371</v>
      </c>
      <c r="B141" s="25" t="s">
        <v>120</v>
      </c>
      <c r="C141" s="25" t="s">
        <v>431</v>
      </c>
      <c r="D141" s="25">
        <v>880000</v>
      </c>
      <c r="E141" s="25" t="s">
        <v>366</v>
      </c>
      <c r="F141" s="25" t="str">
        <f t="shared" si="4"/>
        <v>rtdc.l.rtdc.4029:itc</v>
      </c>
      <c r="G141" s="8">
        <f t="shared" si="5"/>
        <v>42567.611307870371</v>
      </c>
    </row>
    <row r="142" spans="1:7" x14ac:dyDescent="0.25">
      <c r="A142" s="8">
        <v>42567.952719907407</v>
      </c>
      <c r="B142" s="25" t="s">
        <v>74</v>
      </c>
      <c r="C142" s="25" t="s">
        <v>432</v>
      </c>
      <c r="D142" s="25">
        <v>1300000</v>
      </c>
      <c r="E142" s="25" t="s">
        <v>237</v>
      </c>
      <c r="F142" s="25" t="str">
        <f t="shared" si="4"/>
        <v>rtdc.l.rtdc.4018:itc</v>
      </c>
      <c r="G142" s="8">
        <f t="shared" si="5"/>
        <v>42567.952719907407</v>
      </c>
    </row>
    <row r="143" spans="1:7" x14ac:dyDescent="0.25">
      <c r="A143" s="8">
        <v>42567.612303240741</v>
      </c>
      <c r="B143" s="25" t="s">
        <v>120</v>
      </c>
      <c r="C143" s="25" t="s">
        <v>431</v>
      </c>
      <c r="D143" s="25">
        <v>880000</v>
      </c>
      <c r="E143" s="25" t="s">
        <v>366</v>
      </c>
      <c r="F143" s="25" t="str">
        <f t="shared" si="4"/>
        <v>rtdc.l.rtdc.4029:itc</v>
      </c>
      <c r="G143" s="8">
        <f t="shared" si="5"/>
        <v>42567.612303240741</v>
      </c>
    </row>
    <row r="144" spans="1:7" x14ac:dyDescent="0.25">
      <c r="A144" s="8">
        <v>42567.7659375</v>
      </c>
      <c r="B144" s="25" t="s">
        <v>67</v>
      </c>
      <c r="C144" s="25" t="s">
        <v>433</v>
      </c>
      <c r="D144" s="25">
        <v>950000</v>
      </c>
      <c r="E144" s="25" t="s">
        <v>400</v>
      </c>
      <c r="F144" s="25" t="str">
        <f t="shared" si="4"/>
        <v>rtdc.l.rtdc.4032:itc</v>
      </c>
      <c r="G144" s="8">
        <f t="shared" si="5"/>
        <v>42567.7659375</v>
      </c>
    </row>
    <row r="145" spans="1:7" x14ac:dyDescent="0.25">
      <c r="A145" s="8">
        <v>42567.70107638889</v>
      </c>
      <c r="B145" s="25" t="s">
        <v>211</v>
      </c>
      <c r="C145" s="25" t="s">
        <v>434</v>
      </c>
      <c r="D145" s="25">
        <v>1540000</v>
      </c>
      <c r="E145" s="25" t="s">
        <v>127</v>
      </c>
      <c r="F145" s="25" t="str">
        <f t="shared" si="4"/>
        <v>rtdc.l.rtdc.4041:itc</v>
      </c>
      <c r="G145" s="8">
        <f t="shared" si="5"/>
        <v>42567.70107638889</v>
      </c>
    </row>
    <row r="146" spans="1:7" x14ac:dyDescent="0.25">
      <c r="A146" s="8">
        <v>42567.750625000001</v>
      </c>
      <c r="B146" s="25" t="s">
        <v>114</v>
      </c>
      <c r="C146" s="25" t="s">
        <v>435</v>
      </c>
      <c r="D146" s="25">
        <v>1750000</v>
      </c>
      <c r="E146" s="25" t="s">
        <v>332</v>
      </c>
      <c r="F146" s="25" t="str">
        <f t="shared" si="4"/>
        <v>rtdc.l.rtdc.4026:itc</v>
      </c>
      <c r="G146" s="8">
        <f t="shared" si="5"/>
        <v>42567.750625000001</v>
      </c>
    </row>
    <row r="147" spans="1:7" x14ac:dyDescent="0.25">
      <c r="A147" s="8">
        <v>42567.710648148146</v>
      </c>
      <c r="B147" s="25" t="s">
        <v>133</v>
      </c>
      <c r="C147" s="25" t="s">
        <v>436</v>
      </c>
      <c r="D147" s="25">
        <v>1770000</v>
      </c>
      <c r="E147" s="25" t="s">
        <v>375</v>
      </c>
      <c r="F147" s="25" t="str">
        <f t="shared" si="4"/>
        <v>rtdc.l.rtdc.4040:itc</v>
      </c>
      <c r="G147" s="8">
        <f t="shared" si="5"/>
        <v>42567.710648148146</v>
      </c>
    </row>
    <row r="148" spans="1:7" x14ac:dyDescent="0.25">
      <c r="A148" s="8">
        <v>42567.748819444445</v>
      </c>
      <c r="B148" s="25" t="s">
        <v>76</v>
      </c>
      <c r="C148" s="25" t="s">
        <v>437</v>
      </c>
      <c r="D148" s="25">
        <v>950000</v>
      </c>
      <c r="E148" s="25" t="s">
        <v>400</v>
      </c>
      <c r="F148" s="25" t="str">
        <f t="shared" si="4"/>
        <v>rtdc.l.rtdc.4031:itc</v>
      </c>
      <c r="G148" s="8">
        <f t="shared" si="5"/>
        <v>42567.748819444445</v>
      </c>
    </row>
    <row r="149" spans="1:7" x14ac:dyDescent="0.25">
      <c r="A149" s="8">
        <v>42567.713402777779</v>
      </c>
      <c r="B149" s="25" t="s">
        <v>133</v>
      </c>
      <c r="C149" s="25" t="s">
        <v>436</v>
      </c>
      <c r="D149" s="25">
        <v>1770000</v>
      </c>
      <c r="E149" s="25" t="s">
        <v>375</v>
      </c>
      <c r="F149" s="25" t="str">
        <f t="shared" si="4"/>
        <v>rtdc.l.rtdc.4040:itc</v>
      </c>
      <c r="G149" s="8">
        <f t="shared" si="5"/>
        <v>42567.713402777779</v>
      </c>
    </row>
    <row r="150" spans="1:7" x14ac:dyDescent="0.25">
      <c r="A150" s="8">
        <v>42567.738854166666</v>
      </c>
      <c r="B150" s="25" t="s">
        <v>120</v>
      </c>
      <c r="C150" s="25" t="s">
        <v>377</v>
      </c>
      <c r="D150" s="25">
        <v>1810000</v>
      </c>
      <c r="E150" s="25" t="s">
        <v>140</v>
      </c>
      <c r="F150" s="25" t="str">
        <f t="shared" si="4"/>
        <v>rtdc.l.rtdc.4029:itc</v>
      </c>
      <c r="G150" s="8">
        <f t="shared" si="5"/>
        <v>42567.738854166666</v>
      </c>
    </row>
    <row r="151" spans="1:7" x14ac:dyDescent="0.25">
      <c r="A151" s="8">
        <v>42567.744398148148</v>
      </c>
      <c r="B151" s="25" t="s">
        <v>72</v>
      </c>
      <c r="C151" s="25" t="s">
        <v>438</v>
      </c>
      <c r="D151" s="25">
        <v>1520000</v>
      </c>
      <c r="E151" s="25" t="s">
        <v>425</v>
      </c>
      <c r="F151" s="25" t="str">
        <f t="shared" si="4"/>
        <v>rtdc.l.rtdc.4019:itc</v>
      </c>
      <c r="G151" s="8">
        <f t="shared" si="5"/>
        <v>42567.744398148148</v>
      </c>
    </row>
    <row r="152" spans="1:7" x14ac:dyDescent="0.25">
      <c r="A152" s="8">
        <v>42567.735185185185</v>
      </c>
      <c r="B152" s="25" t="s">
        <v>120</v>
      </c>
      <c r="C152" s="25" t="s">
        <v>377</v>
      </c>
      <c r="D152" s="25">
        <v>1810000</v>
      </c>
      <c r="E152" s="25" t="s">
        <v>140</v>
      </c>
      <c r="F152" s="25" t="str">
        <f t="shared" si="4"/>
        <v>rtdc.l.rtdc.4029:itc</v>
      </c>
      <c r="G152" s="8">
        <f t="shared" si="5"/>
        <v>42567.735185185185</v>
      </c>
    </row>
    <row r="153" spans="1:7" x14ac:dyDescent="0.25">
      <c r="A153" s="8">
        <v>42567.810416666667</v>
      </c>
      <c r="B153" s="25" t="s">
        <v>114</v>
      </c>
      <c r="C153" s="25" t="s">
        <v>439</v>
      </c>
      <c r="D153" s="25">
        <v>1800000</v>
      </c>
      <c r="E153" s="25" t="s">
        <v>367</v>
      </c>
      <c r="F153" s="25" t="str">
        <f t="shared" si="4"/>
        <v>rtdc.l.rtdc.4026:itc</v>
      </c>
      <c r="G153" s="8">
        <f t="shared" si="5"/>
        <v>42567.810416666667</v>
      </c>
    </row>
    <row r="154" spans="1:7" x14ac:dyDescent="0.25">
      <c r="A154" s="8">
        <v>42567.717569444445</v>
      </c>
      <c r="B154" s="25" t="s">
        <v>109</v>
      </c>
      <c r="C154" s="25" t="s">
        <v>440</v>
      </c>
      <c r="D154" s="25">
        <v>2030000</v>
      </c>
      <c r="E154" s="25" t="s">
        <v>147</v>
      </c>
      <c r="F154" s="25" t="str">
        <f t="shared" si="4"/>
        <v>rtdc.l.rtdc.4038:itc</v>
      </c>
      <c r="G154" s="8">
        <f t="shared" si="5"/>
        <v>42567.717569444445</v>
      </c>
    </row>
    <row r="155" spans="1:7" x14ac:dyDescent="0.25">
      <c r="A155" s="8">
        <v>42567.879282407404</v>
      </c>
      <c r="B155" s="25" t="s">
        <v>72</v>
      </c>
      <c r="C155" s="25" t="s">
        <v>441</v>
      </c>
      <c r="D155" s="25">
        <v>1480000</v>
      </c>
      <c r="E155" s="25" t="s">
        <v>113</v>
      </c>
      <c r="F155" s="25" t="str">
        <f t="shared" si="4"/>
        <v>rtdc.l.rtdc.4019:itc</v>
      </c>
      <c r="G155" s="8">
        <f t="shared" si="5"/>
        <v>42567.879282407404</v>
      </c>
    </row>
    <row r="156" spans="1:7" x14ac:dyDescent="0.25">
      <c r="A156" s="8">
        <v>42567.694606481484</v>
      </c>
      <c r="B156" s="25" t="s">
        <v>76</v>
      </c>
      <c r="C156" s="25" t="s">
        <v>437</v>
      </c>
      <c r="D156" s="25">
        <v>950000</v>
      </c>
      <c r="E156" s="25" t="s">
        <v>400</v>
      </c>
      <c r="F156" s="25" t="str">
        <f t="shared" si="4"/>
        <v>rtdc.l.rtdc.4031:itc</v>
      </c>
      <c r="G156" s="8">
        <f t="shared" si="5"/>
        <v>42567.694606481484</v>
      </c>
    </row>
    <row r="157" spans="1:7" x14ac:dyDescent="0.25">
      <c r="A157" s="8">
        <v>42567.937013888892</v>
      </c>
      <c r="B157" s="25" t="s">
        <v>114</v>
      </c>
      <c r="C157" s="25" t="s">
        <v>442</v>
      </c>
      <c r="D157" s="25">
        <v>1800000</v>
      </c>
      <c r="E157" s="25" t="s">
        <v>367</v>
      </c>
      <c r="F157" s="25" t="str">
        <f t="shared" si="4"/>
        <v>rtdc.l.rtdc.4026:itc</v>
      </c>
      <c r="G157" s="8">
        <f t="shared" si="5"/>
        <v>42567.937013888892</v>
      </c>
    </row>
    <row r="158" spans="1:7" x14ac:dyDescent="0.25">
      <c r="A158" s="8">
        <v>42567.68677083333</v>
      </c>
      <c r="B158" s="25" t="s">
        <v>73</v>
      </c>
      <c r="C158" s="25" t="s">
        <v>443</v>
      </c>
      <c r="D158" s="25">
        <v>1520000</v>
      </c>
      <c r="E158" s="25" t="s">
        <v>425</v>
      </c>
      <c r="F158" s="25" t="str">
        <f t="shared" si="4"/>
        <v>rtdc.l.rtdc.4020:itc</v>
      </c>
      <c r="G158" s="8">
        <f t="shared" si="5"/>
        <v>42567.68677083333</v>
      </c>
    </row>
    <row r="159" spans="1:7" x14ac:dyDescent="0.25">
      <c r="A159" s="8">
        <v>42567.293113425927</v>
      </c>
      <c r="B159" s="25" t="s">
        <v>385</v>
      </c>
      <c r="C159" s="25" t="s">
        <v>444</v>
      </c>
      <c r="D159" s="25">
        <v>1460000</v>
      </c>
      <c r="E159" s="25" t="s">
        <v>110</v>
      </c>
      <c r="F159" s="25" t="str">
        <f t="shared" si="4"/>
        <v>rtdc.l.rtdc.4012:itc</v>
      </c>
      <c r="G159" s="8">
        <f t="shared" si="5"/>
        <v>42567.293113425927</v>
      </c>
    </row>
    <row r="160" spans="1:7" x14ac:dyDescent="0.25">
      <c r="A160" s="8">
        <v>42567.673634259256</v>
      </c>
      <c r="B160" s="25" t="s">
        <v>67</v>
      </c>
      <c r="C160" s="25" t="s">
        <v>445</v>
      </c>
      <c r="D160" s="25">
        <v>950000</v>
      </c>
      <c r="E160" s="25" t="s">
        <v>400</v>
      </c>
      <c r="F160" s="25" t="str">
        <f t="shared" si="4"/>
        <v>rtdc.l.rtdc.4032:itc</v>
      </c>
      <c r="G160" s="8">
        <f t="shared" si="5"/>
        <v>42567.673634259256</v>
      </c>
    </row>
    <row r="161" spans="1:7" x14ac:dyDescent="0.25">
      <c r="A161" s="8">
        <v>42567.295405092591</v>
      </c>
      <c r="B161" s="25" t="s">
        <v>133</v>
      </c>
      <c r="C161" s="25" t="s">
        <v>446</v>
      </c>
      <c r="D161" s="25">
        <v>1830000</v>
      </c>
      <c r="E161" s="25" t="s">
        <v>124</v>
      </c>
      <c r="F161" s="25" t="str">
        <f t="shared" si="4"/>
        <v>rtdc.l.rtdc.4040:itc</v>
      </c>
      <c r="G161" s="8">
        <f t="shared" si="5"/>
        <v>42567.295405092591</v>
      </c>
    </row>
    <row r="162" spans="1:7" x14ac:dyDescent="0.25">
      <c r="A162" s="8">
        <v>42567.663055555553</v>
      </c>
      <c r="B162" s="25" t="s">
        <v>75</v>
      </c>
      <c r="C162" s="25" t="s">
        <v>447</v>
      </c>
      <c r="D162" s="25">
        <v>1740000</v>
      </c>
      <c r="E162" s="25" t="s">
        <v>392</v>
      </c>
      <c r="F162" s="25" t="str">
        <f t="shared" si="4"/>
        <v>rtdc.l.rtdc.4017:itc</v>
      </c>
      <c r="G162" s="8">
        <f t="shared" si="5"/>
        <v>42567.663055555553</v>
      </c>
    </row>
    <row r="163" spans="1:7" x14ac:dyDescent="0.25">
      <c r="A163" s="8">
        <v>42567.318460648145</v>
      </c>
      <c r="B163" s="25" t="s">
        <v>74</v>
      </c>
      <c r="C163" s="25" t="s">
        <v>448</v>
      </c>
      <c r="D163" s="25">
        <v>1260000</v>
      </c>
      <c r="E163" s="25" t="s">
        <v>398</v>
      </c>
      <c r="F163" s="25" t="str">
        <f t="shared" si="4"/>
        <v>rtdc.l.rtdc.4018:itc</v>
      </c>
      <c r="G163" s="8">
        <f t="shared" si="5"/>
        <v>42567.318460648145</v>
      </c>
    </row>
    <row r="164" spans="1:7" x14ac:dyDescent="0.25">
      <c r="A164" s="8">
        <v>42567.65179398148</v>
      </c>
      <c r="B164" s="25" t="s">
        <v>121</v>
      </c>
      <c r="C164" s="25" t="s">
        <v>449</v>
      </c>
      <c r="D164" s="25">
        <v>880000</v>
      </c>
      <c r="E164" s="25" t="s">
        <v>366</v>
      </c>
      <c r="F164" s="25" t="str">
        <f t="shared" si="4"/>
        <v>rtdc.l.rtdc.4030:itc</v>
      </c>
      <c r="G164" s="8">
        <f t="shared" si="5"/>
        <v>42567.65179398148</v>
      </c>
    </row>
    <row r="165" spans="1:7" x14ac:dyDescent="0.25">
      <c r="A165" s="8">
        <v>42567.31994212963</v>
      </c>
      <c r="B165" s="25" t="s">
        <v>74</v>
      </c>
      <c r="C165" s="25" t="s">
        <v>448</v>
      </c>
      <c r="D165" s="25">
        <v>1260000</v>
      </c>
      <c r="E165" s="25" t="s">
        <v>398</v>
      </c>
      <c r="F165" s="25" t="str">
        <f t="shared" si="4"/>
        <v>rtdc.l.rtdc.4018:itc</v>
      </c>
      <c r="G165" s="8">
        <f t="shared" si="5"/>
        <v>42567.31994212963</v>
      </c>
    </row>
    <row r="166" spans="1:7" x14ac:dyDescent="0.25">
      <c r="A166" s="8">
        <v>42567.643078703702</v>
      </c>
      <c r="B166" s="25" t="s">
        <v>83</v>
      </c>
      <c r="C166" s="25" t="s">
        <v>450</v>
      </c>
      <c r="D166" s="25">
        <v>1540000</v>
      </c>
      <c r="E166" s="25" t="s">
        <v>127</v>
      </c>
      <c r="F166" s="25" t="str">
        <f t="shared" si="4"/>
        <v>rtdc.l.rtdc.4042:itc</v>
      </c>
      <c r="G166" s="8">
        <f t="shared" si="5"/>
        <v>42567.643078703702</v>
      </c>
    </row>
    <row r="167" spans="1:7" x14ac:dyDescent="0.25">
      <c r="A167" s="8">
        <v>42567.361539351848</v>
      </c>
      <c r="B167" s="25" t="s">
        <v>73</v>
      </c>
      <c r="C167" s="25" t="s">
        <v>451</v>
      </c>
      <c r="D167" s="25">
        <v>1360000</v>
      </c>
      <c r="E167" s="25" t="s">
        <v>194</v>
      </c>
      <c r="F167" s="25" t="str">
        <f t="shared" si="4"/>
        <v>rtdc.l.rtdc.4020:itc</v>
      </c>
      <c r="G167" s="8">
        <f t="shared" si="5"/>
        <v>42567.361539351848</v>
      </c>
    </row>
    <row r="168" spans="1:7" x14ac:dyDescent="0.25">
      <c r="A168" s="8">
        <v>42567.614583333336</v>
      </c>
      <c r="B168" s="25" t="s">
        <v>120</v>
      </c>
      <c r="C168" s="25" t="s">
        <v>431</v>
      </c>
      <c r="D168" s="25">
        <v>880000</v>
      </c>
      <c r="E168" s="25" t="s">
        <v>366</v>
      </c>
      <c r="F168" s="25" t="str">
        <f t="shared" si="4"/>
        <v>rtdc.l.rtdc.4029:itc</v>
      </c>
      <c r="G168" s="8">
        <f t="shared" si="5"/>
        <v>42567.614583333336</v>
      </c>
    </row>
    <row r="169" spans="1:7" x14ac:dyDescent="0.25">
      <c r="A169" s="8">
        <v>42567.399942129632</v>
      </c>
      <c r="B169" s="25" t="s">
        <v>371</v>
      </c>
      <c r="C169" s="25" t="s">
        <v>452</v>
      </c>
      <c r="D169" s="25">
        <v>1460000</v>
      </c>
      <c r="E169" s="25" t="s">
        <v>110</v>
      </c>
      <c r="F169" s="25" t="str">
        <f t="shared" si="4"/>
        <v>rtdc.l.rtdc.4011:itc</v>
      </c>
      <c r="G169" s="8">
        <f t="shared" si="5"/>
        <v>42567.399942129632</v>
      </c>
    </row>
    <row r="170" spans="1:7" x14ac:dyDescent="0.25">
      <c r="A170" s="8">
        <v>42567.599282407406</v>
      </c>
      <c r="B170" s="25" t="s">
        <v>121</v>
      </c>
      <c r="C170" s="25" t="s">
        <v>401</v>
      </c>
      <c r="D170" s="25">
        <v>880000</v>
      </c>
      <c r="E170" s="25" t="s">
        <v>366</v>
      </c>
      <c r="F170" s="25" t="str">
        <f t="shared" si="4"/>
        <v>rtdc.l.rtdc.4030:itc</v>
      </c>
      <c r="G170" s="8">
        <f t="shared" si="5"/>
        <v>42567.599282407406</v>
      </c>
    </row>
    <row r="171" spans="1:7" x14ac:dyDescent="0.25">
      <c r="A171" s="8">
        <v>42567.401458333334</v>
      </c>
      <c r="B171" s="25" t="s">
        <v>139</v>
      </c>
      <c r="C171" s="25" t="s">
        <v>415</v>
      </c>
      <c r="D171" s="25">
        <v>1830000</v>
      </c>
      <c r="E171" s="25" t="s">
        <v>124</v>
      </c>
      <c r="F171" s="25" t="str">
        <f t="shared" si="4"/>
        <v>rtdc.l.rtdc.4039:itc</v>
      </c>
      <c r="G171" s="8">
        <f t="shared" si="5"/>
        <v>42567.401458333334</v>
      </c>
    </row>
    <row r="172" spans="1:7" x14ac:dyDescent="0.25">
      <c r="A172" s="8">
        <v>42567.583715277775</v>
      </c>
      <c r="B172" s="25" t="s">
        <v>73</v>
      </c>
      <c r="C172" s="25" t="s">
        <v>453</v>
      </c>
      <c r="D172" s="25">
        <v>1520000</v>
      </c>
      <c r="E172" s="25" t="s">
        <v>425</v>
      </c>
      <c r="F172" s="25" t="str">
        <f t="shared" si="4"/>
        <v>rtdc.l.rtdc.4020:itc</v>
      </c>
      <c r="G172" s="8">
        <f t="shared" si="5"/>
        <v>42567.583715277775</v>
      </c>
    </row>
    <row r="173" spans="1:7" x14ac:dyDescent="0.25">
      <c r="A173" s="8">
        <v>42567.403495370374</v>
      </c>
      <c r="B173" s="25" t="s">
        <v>116</v>
      </c>
      <c r="C173" s="25" t="s">
        <v>454</v>
      </c>
      <c r="D173" s="25">
        <v>1100000</v>
      </c>
      <c r="E173" s="25" t="s">
        <v>422</v>
      </c>
      <c r="F173" s="25" t="str">
        <f t="shared" si="4"/>
        <v>rtdc.l.rtdc.4013:itc</v>
      </c>
      <c r="G173" s="8">
        <f t="shared" si="5"/>
        <v>42567.403495370374</v>
      </c>
    </row>
    <row r="174" spans="1:7" x14ac:dyDescent="0.25">
      <c r="A174" s="8">
        <v>42567.571215277778</v>
      </c>
      <c r="B174" s="25" t="s">
        <v>115</v>
      </c>
      <c r="C174" s="25" t="s">
        <v>455</v>
      </c>
      <c r="D174" s="25">
        <v>1770000</v>
      </c>
      <c r="E174" s="25" t="s">
        <v>375</v>
      </c>
      <c r="F174" s="25" t="str">
        <f t="shared" si="4"/>
        <v>rtdc.l.rtdc.4014:itc</v>
      </c>
      <c r="G174" s="8">
        <f t="shared" si="5"/>
        <v>42567.571215277778</v>
      </c>
    </row>
    <row r="175" spans="1:7" x14ac:dyDescent="0.25">
      <c r="A175" s="8">
        <v>42567.432743055557</v>
      </c>
      <c r="B175" s="25" t="s">
        <v>73</v>
      </c>
      <c r="C175" s="25" t="s">
        <v>456</v>
      </c>
      <c r="D175" s="25">
        <v>1340000</v>
      </c>
      <c r="E175" s="25" t="s">
        <v>125</v>
      </c>
      <c r="F175" s="25" t="str">
        <f t="shared" si="4"/>
        <v>rtdc.l.rtdc.4020:itc</v>
      </c>
      <c r="G175" s="8">
        <f t="shared" si="5"/>
        <v>42567.432743055557</v>
      </c>
    </row>
    <row r="176" spans="1:7" x14ac:dyDescent="0.25">
      <c r="A176" s="8">
        <v>42567.547106481485</v>
      </c>
      <c r="B176" s="25" t="s">
        <v>74</v>
      </c>
      <c r="C176" s="25" t="s">
        <v>428</v>
      </c>
      <c r="D176" s="25">
        <v>1740000</v>
      </c>
      <c r="E176" s="25" t="s">
        <v>392</v>
      </c>
      <c r="F176" s="25" t="str">
        <f t="shared" si="4"/>
        <v>rtdc.l.rtdc.4018:itc</v>
      </c>
      <c r="G176" s="8">
        <f t="shared" si="5"/>
        <v>42567.547106481485</v>
      </c>
    </row>
    <row r="177" spans="1:7" x14ac:dyDescent="0.25">
      <c r="A177" s="8">
        <v>42567.463773148149</v>
      </c>
      <c r="B177" s="25" t="s">
        <v>116</v>
      </c>
      <c r="C177" s="25" t="s">
        <v>457</v>
      </c>
      <c r="D177" s="25">
        <v>1100000</v>
      </c>
      <c r="E177" s="25" t="s">
        <v>422</v>
      </c>
      <c r="F177" s="25" t="str">
        <f t="shared" si="4"/>
        <v>rtdc.l.rtdc.4013:itc</v>
      </c>
      <c r="G177" s="8">
        <f t="shared" si="5"/>
        <v>42567.463773148149</v>
      </c>
    </row>
    <row r="178" spans="1:7" x14ac:dyDescent="0.25">
      <c r="A178" s="8">
        <v>42567.285138888888</v>
      </c>
      <c r="B178" s="25" t="s">
        <v>75</v>
      </c>
      <c r="C178" s="25" t="s">
        <v>458</v>
      </c>
      <c r="D178" s="25">
        <v>1260000</v>
      </c>
      <c r="E178" s="25" t="s">
        <v>398</v>
      </c>
      <c r="F178" s="25" t="str">
        <f t="shared" si="4"/>
        <v>rtdc.l.rtdc.4017:itc</v>
      </c>
      <c r="G178" s="8">
        <f t="shared" si="5"/>
        <v>42567.285138888888</v>
      </c>
    </row>
    <row r="179" spans="1:7" x14ac:dyDescent="0.25">
      <c r="A179" s="8">
        <v>42567.473194444443</v>
      </c>
      <c r="B179" s="25" t="s">
        <v>371</v>
      </c>
      <c r="C179" s="25" t="s">
        <v>459</v>
      </c>
      <c r="D179" s="25">
        <v>1750000</v>
      </c>
      <c r="E179" s="25" t="s">
        <v>332</v>
      </c>
      <c r="F179" s="25" t="str">
        <f t="shared" si="4"/>
        <v>rtdc.l.rtdc.4011:itc</v>
      </c>
      <c r="G179" s="8">
        <f t="shared" si="5"/>
        <v>42567.473194444443</v>
      </c>
    </row>
    <row r="180" spans="1:7" x14ac:dyDescent="0.25">
      <c r="A180" s="8">
        <v>42567.226273148146</v>
      </c>
      <c r="B180" s="25" t="s">
        <v>133</v>
      </c>
      <c r="C180" s="25" t="s">
        <v>460</v>
      </c>
      <c r="D180" s="25">
        <v>1830000</v>
      </c>
      <c r="E180" s="25" t="s">
        <v>124</v>
      </c>
      <c r="F180" s="25" t="str">
        <f t="shared" si="4"/>
        <v>rtdc.l.rtdc.4040:itc</v>
      </c>
      <c r="G180" s="8">
        <f t="shared" si="5"/>
        <v>42567.226273148146</v>
      </c>
    </row>
    <row r="181" spans="1:7" x14ac:dyDescent="0.25">
      <c r="A181" s="8">
        <v>42567.79519675926</v>
      </c>
      <c r="B181" s="25" t="s">
        <v>121</v>
      </c>
      <c r="C181" s="25" t="s">
        <v>461</v>
      </c>
      <c r="D181" s="25">
        <v>1810000</v>
      </c>
      <c r="E181" s="25" t="s">
        <v>140</v>
      </c>
      <c r="F181" s="25" t="str">
        <f t="shared" si="4"/>
        <v>rtdc.l.rtdc.4030:itc</v>
      </c>
      <c r="G181" s="8">
        <f t="shared" si="5"/>
        <v>42567.79519675926</v>
      </c>
    </row>
    <row r="182" spans="1:7" x14ac:dyDescent="0.25">
      <c r="A182" s="8">
        <v>42567.220960648148</v>
      </c>
      <c r="B182" s="25" t="s">
        <v>385</v>
      </c>
      <c r="C182" s="25" t="s">
        <v>462</v>
      </c>
      <c r="D182" s="25">
        <v>1460000</v>
      </c>
      <c r="E182" s="25" t="s">
        <v>110</v>
      </c>
      <c r="F182" s="25" t="str">
        <f t="shared" si="4"/>
        <v>rtdc.l.rtdc.4012:itc</v>
      </c>
      <c r="G182" s="8">
        <f t="shared" si="5"/>
        <v>42567.220960648148</v>
      </c>
    </row>
    <row r="183" spans="1:7" x14ac:dyDescent="0.25">
      <c r="A183" s="8">
        <v>42567.90865740741</v>
      </c>
      <c r="B183" s="25" t="s">
        <v>75</v>
      </c>
      <c r="C183" s="25" t="s">
        <v>405</v>
      </c>
      <c r="D183" s="25">
        <v>1300000</v>
      </c>
      <c r="E183" s="25" t="s">
        <v>237</v>
      </c>
      <c r="F183" s="25" t="str">
        <f t="shared" si="4"/>
        <v>rtdc.l.rtdc.4017:itc</v>
      </c>
      <c r="G183" s="8">
        <f t="shared" si="5"/>
        <v>42567.90865740741</v>
      </c>
    </row>
    <row r="184" spans="1:7" x14ac:dyDescent="0.25">
      <c r="A184" s="8">
        <v>42567.211782407408</v>
      </c>
      <c r="B184" s="25" t="s">
        <v>67</v>
      </c>
      <c r="C184" s="25" t="s">
        <v>397</v>
      </c>
      <c r="D184" s="25">
        <v>1260000</v>
      </c>
      <c r="E184" s="25" t="s">
        <v>398</v>
      </c>
      <c r="F184" s="25" t="str">
        <f t="shared" si="4"/>
        <v>rtdc.l.rtdc.4032:itc</v>
      </c>
      <c r="G184" s="8">
        <f t="shared" si="5"/>
        <v>42567.211782407408</v>
      </c>
    </row>
    <row r="185" spans="1:7" x14ac:dyDescent="0.25">
      <c r="A185" s="8">
        <v>42568.031736111108</v>
      </c>
      <c r="B185" s="25" t="s">
        <v>74</v>
      </c>
      <c r="C185" s="25" t="s">
        <v>463</v>
      </c>
      <c r="D185" s="25">
        <v>1300000</v>
      </c>
      <c r="E185" s="25" t="s">
        <v>237</v>
      </c>
      <c r="F185" s="25" t="str">
        <f t="shared" si="4"/>
        <v>rtdc.l.rtdc.4018:itc</v>
      </c>
      <c r="G185" s="8">
        <f t="shared" si="5"/>
        <v>42568.031736111108</v>
      </c>
    </row>
    <row r="186" spans="1:7" x14ac:dyDescent="0.25">
      <c r="A186" s="8">
        <v>42567.194594907407</v>
      </c>
      <c r="B186" s="25" t="s">
        <v>121</v>
      </c>
      <c r="C186" s="25" t="s">
        <v>464</v>
      </c>
      <c r="D186" s="25">
        <v>1310000</v>
      </c>
      <c r="E186" s="25" t="s">
        <v>111</v>
      </c>
      <c r="F186" s="25" t="str">
        <f t="shared" si="4"/>
        <v>rtdc.l.rtdc.4030:itc</v>
      </c>
      <c r="G186" s="8">
        <f t="shared" si="5"/>
        <v>42567.194594907407</v>
      </c>
    </row>
    <row r="187" spans="1:7" x14ac:dyDescent="0.25">
      <c r="A187" s="8">
        <v>42568.051828703705</v>
      </c>
      <c r="B187" s="25" t="s">
        <v>72</v>
      </c>
      <c r="C187" s="25" t="s">
        <v>465</v>
      </c>
      <c r="D187" s="25">
        <v>1480000</v>
      </c>
      <c r="E187" s="25" t="s">
        <v>113</v>
      </c>
      <c r="F187" s="25" t="str">
        <f t="shared" si="4"/>
        <v>rtdc.l.rtdc.4019:itc</v>
      </c>
      <c r="G187" s="8">
        <f t="shared" si="5"/>
        <v>42568.051828703705</v>
      </c>
    </row>
    <row r="188" spans="1:7" x14ac:dyDescent="0.25">
      <c r="A188" s="8">
        <v>42567.190520833334</v>
      </c>
      <c r="B188" s="25" t="s">
        <v>83</v>
      </c>
      <c r="C188" s="25" t="s">
        <v>466</v>
      </c>
      <c r="D188" s="25">
        <v>1190000</v>
      </c>
      <c r="E188" s="25" t="s">
        <v>209</v>
      </c>
      <c r="F188" s="25" t="str">
        <f t="shared" si="4"/>
        <v>rtdc.l.rtdc.4042:itc</v>
      </c>
      <c r="G188" s="8">
        <f t="shared" si="5"/>
        <v>42567.190520833334</v>
      </c>
    </row>
    <row r="189" spans="1:7" x14ac:dyDescent="0.25">
      <c r="A189" s="8">
        <v>42567.131412037037</v>
      </c>
      <c r="B189" s="25" t="s">
        <v>115</v>
      </c>
      <c r="C189" s="25" t="s">
        <v>467</v>
      </c>
      <c r="D189" s="25">
        <v>1360000</v>
      </c>
      <c r="E189" s="25" t="s">
        <v>194</v>
      </c>
      <c r="F189" s="25" t="str">
        <f t="shared" si="4"/>
        <v>rtdc.l.rtdc.4014:itc</v>
      </c>
      <c r="G189" s="8">
        <f t="shared" si="5"/>
        <v>42567.131412037037</v>
      </c>
    </row>
    <row r="190" spans="1:7" x14ac:dyDescent="0.25">
      <c r="A190" s="8">
        <v>42567.174224537041</v>
      </c>
      <c r="B190" s="25" t="s">
        <v>74</v>
      </c>
      <c r="C190" s="25" t="s">
        <v>468</v>
      </c>
      <c r="D190" s="25">
        <v>1260000</v>
      </c>
      <c r="E190" s="25" t="s">
        <v>398</v>
      </c>
      <c r="F190" s="25" t="str">
        <f t="shared" si="4"/>
        <v>rtdc.l.rtdc.4018:itc</v>
      </c>
      <c r="G190" s="8">
        <f t="shared" si="5"/>
        <v>42567.174224537041</v>
      </c>
    </row>
    <row r="191" spans="1:7" x14ac:dyDescent="0.25">
      <c r="A191" s="8">
        <v>42567.23642361111</v>
      </c>
      <c r="B191" s="25" t="s">
        <v>120</v>
      </c>
      <c r="C191" s="25" t="s">
        <v>413</v>
      </c>
      <c r="D191" s="25">
        <v>1310000</v>
      </c>
      <c r="E191" s="25" t="s">
        <v>111</v>
      </c>
      <c r="F191" s="25" t="str">
        <f t="shared" si="4"/>
        <v>rtdc.l.rtdc.4029:itc</v>
      </c>
      <c r="G191" s="8">
        <f t="shared" si="5"/>
        <v>42567.23642361111</v>
      </c>
    </row>
    <row r="192" spans="1:7" x14ac:dyDescent="0.25">
      <c r="A192" s="8">
        <v>42567.164988425924</v>
      </c>
      <c r="B192" s="25" t="s">
        <v>72</v>
      </c>
      <c r="C192" s="25" t="s">
        <v>469</v>
      </c>
      <c r="D192" s="25">
        <v>1360000</v>
      </c>
      <c r="E192" s="25" t="s">
        <v>194</v>
      </c>
      <c r="F192" s="25" t="str">
        <f t="shared" si="4"/>
        <v>rtdc.l.rtdc.4019:itc</v>
      </c>
      <c r="G192" s="8">
        <f t="shared" si="5"/>
        <v>42567.164988425924</v>
      </c>
    </row>
    <row r="193" spans="1:7" x14ac:dyDescent="0.25">
      <c r="A193" s="8">
        <v>42567.246192129627</v>
      </c>
      <c r="B193" s="25" t="s">
        <v>116</v>
      </c>
      <c r="C193" s="25" t="s">
        <v>470</v>
      </c>
      <c r="D193" s="25">
        <v>1100000</v>
      </c>
      <c r="E193" s="25" t="s">
        <v>422</v>
      </c>
      <c r="F193" s="25" t="str">
        <f t="shared" si="4"/>
        <v>rtdc.l.rtdc.4013:itc</v>
      </c>
      <c r="G193" s="8">
        <f t="shared" si="5"/>
        <v>42567.246192129627</v>
      </c>
    </row>
    <row r="194" spans="1:7" x14ac:dyDescent="0.25">
      <c r="A194" s="8">
        <v>42567.156030092592</v>
      </c>
      <c r="B194" s="25" t="s">
        <v>133</v>
      </c>
      <c r="C194" s="25" t="s">
        <v>412</v>
      </c>
      <c r="D194" s="25">
        <v>1310000</v>
      </c>
      <c r="E194" s="25" t="s">
        <v>111</v>
      </c>
      <c r="F194" s="25" t="str">
        <f t="shared" ref="F194:F235" si="6">B194</f>
        <v>rtdc.l.rtdc.4040:itc</v>
      </c>
      <c r="G194" s="8">
        <f t="shared" ref="G194:G235" si="7">A194</f>
        <v>42567.156030092592</v>
      </c>
    </row>
    <row r="195" spans="1:7" x14ac:dyDescent="0.25">
      <c r="A195" s="8">
        <v>42567.275324074071</v>
      </c>
      <c r="B195" s="25" t="s">
        <v>121</v>
      </c>
      <c r="C195" s="25" t="s">
        <v>471</v>
      </c>
      <c r="D195" s="25">
        <v>1310000</v>
      </c>
      <c r="E195" s="25" t="s">
        <v>111</v>
      </c>
      <c r="F195" s="25" t="str">
        <f t="shared" si="6"/>
        <v>rtdc.l.rtdc.4030:itc</v>
      </c>
      <c r="G195" s="8">
        <f t="shared" si="7"/>
        <v>42567.275324074071</v>
      </c>
    </row>
    <row r="196" spans="1:7" x14ac:dyDescent="0.25">
      <c r="A196" s="8">
        <v>42567.154236111113</v>
      </c>
      <c r="B196" s="25" t="s">
        <v>133</v>
      </c>
      <c r="C196" s="25" t="s">
        <v>412</v>
      </c>
      <c r="D196" s="25">
        <v>1310000</v>
      </c>
      <c r="E196" s="25" t="s">
        <v>111</v>
      </c>
      <c r="F196" s="25" t="str">
        <f t="shared" si="6"/>
        <v>rtdc.l.rtdc.4040:itc</v>
      </c>
      <c r="G196" s="8">
        <f t="shared" si="7"/>
        <v>42567.154236111113</v>
      </c>
    </row>
    <row r="197" spans="1:7" x14ac:dyDescent="0.25">
      <c r="A197" s="8">
        <v>42567.327986111108</v>
      </c>
      <c r="B197" s="25" t="s">
        <v>139</v>
      </c>
      <c r="C197" s="25" t="s">
        <v>472</v>
      </c>
      <c r="D197" s="25">
        <v>1830000</v>
      </c>
      <c r="E197" s="25" t="s">
        <v>124</v>
      </c>
      <c r="F197" s="25" t="str">
        <f t="shared" si="6"/>
        <v>rtdc.l.rtdc.4039:itc</v>
      </c>
      <c r="G197" s="8">
        <f t="shared" si="7"/>
        <v>42567.327986111108</v>
      </c>
    </row>
    <row r="198" spans="1:7" x14ac:dyDescent="0.25">
      <c r="A198" s="8">
        <v>42567.037303240744</v>
      </c>
      <c r="B198" s="25" t="s">
        <v>203</v>
      </c>
      <c r="C198" s="25" t="s">
        <v>361</v>
      </c>
      <c r="D198" s="25">
        <v>2040000</v>
      </c>
      <c r="E198" s="25" t="s">
        <v>150</v>
      </c>
      <c r="F198" s="25" t="str">
        <f t="shared" si="6"/>
        <v>rtdc.l.rtdc.4009:itc</v>
      </c>
      <c r="G198" s="8">
        <f t="shared" si="7"/>
        <v>42567.037303240744</v>
      </c>
    </row>
    <row r="199" spans="1:7" x14ac:dyDescent="0.25">
      <c r="A199" s="8">
        <v>42567.348275462966</v>
      </c>
      <c r="B199" s="25" t="s">
        <v>115</v>
      </c>
      <c r="C199" s="25" t="s">
        <v>473</v>
      </c>
      <c r="D199" s="25">
        <v>1100000</v>
      </c>
      <c r="E199" s="25" t="s">
        <v>422</v>
      </c>
      <c r="F199" s="25" t="str">
        <f t="shared" si="6"/>
        <v>rtdc.l.rtdc.4014:itc</v>
      </c>
      <c r="G199" s="8">
        <f t="shared" si="7"/>
        <v>42567.348275462966</v>
      </c>
    </row>
    <row r="200" spans="1:7" x14ac:dyDescent="0.25">
      <c r="A200" s="8">
        <v>42567.035868055558</v>
      </c>
      <c r="B200" s="25" t="s">
        <v>118</v>
      </c>
      <c r="C200" s="25" t="s">
        <v>359</v>
      </c>
      <c r="D200" s="25">
        <v>1800000</v>
      </c>
      <c r="E200" s="25" t="s">
        <v>367</v>
      </c>
      <c r="F200" s="25" t="str">
        <f t="shared" si="6"/>
        <v>rtdc.l.rtdc.4028:itc</v>
      </c>
      <c r="G200" s="8">
        <f t="shared" si="7"/>
        <v>42567.035868055558</v>
      </c>
    </row>
    <row r="201" spans="1:7" x14ac:dyDescent="0.25">
      <c r="A201" s="8">
        <v>42567.367349537039</v>
      </c>
      <c r="B201" s="25" t="s">
        <v>385</v>
      </c>
      <c r="C201" s="25" t="s">
        <v>474</v>
      </c>
      <c r="D201" s="25">
        <v>1460000</v>
      </c>
      <c r="E201" s="25" t="s">
        <v>110</v>
      </c>
      <c r="F201" s="25" t="str">
        <f t="shared" si="6"/>
        <v>rtdc.l.rtdc.4012:itc</v>
      </c>
      <c r="G201" s="8">
        <f t="shared" si="7"/>
        <v>42567.367349537039</v>
      </c>
    </row>
    <row r="202" spans="1:7" x14ac:dyDescent="0.25">
      <c r="A202" s="34">
        <v>42567.850925925923</v>
      </c>
      <c r="B202" s="25" t="s">
        <v>117</v>
      </c>
      <c r="C202" s="25" t="s">
        <v>475</v>
      </c>
      <c r="D202" s="25">
        <v>1800000</v>
      </c>
      <c r="E202" s="25" t="s">
        <v>367</v>
      </c>
      <c r="F202" s="25" t="str">
        <f t="shared" si="6"/>
        <v>rtdc.l.rtdc.4025:itc</v>
      </c>
      <c r="G202" s="8">
        <f t="shared" si="7"/>
        <v>42567.850925925923</v>
      </c>
    </row>
    <row r="203" spans="1:7" x14ac:dyDescent="0.25">
      <c r="A203" s="8">
        <v>42567.400381944448</v>
      </c>
      <c r="B203" s="25" t="s">
        <v>72</v>
      </c>
      <c r="C203" s="25" t="s">
        <v>476</v>
      </c>
      <c r="D203" s="25">
        <v>1360000</v>
      </c>
      <c r="E203" s="25" t="s">
        <v>194</v>
      </c>
      <c r="F203" s="25" t="str">
        <f t="shared" si="6"/>
        <v>rtdc.l.rtdc.4019:itc</v>
      </c>
      <c r="G203" s="8">
        <f t="shared" si="7"/>
        <v>42567.400381944448</v>
      </c>
    </row>
    <row r="204" spans="1:7" x14ac:dyDescent="0.25">
      <c r="A204" s="8">
        <v>42567.830578703702</v>
      </c>
      <c r="B204" s="25" t="s">
        <v>120</v>
      </c>
      <c r="C204" s="25" t="s">
        <v>477</v>
      </c>
      <c r="D204" s="25">
        <v>2030000</v>
      </c>
      <c r="E204" s="25" t="s">
        <v>147</v>
      </c>
      <c r="F204" s="25" t="str">
        <f t="shared" si="6"/>
        <v>rtdc.l.rtdc.4029:itc</v>
      </c>
      <c r="G204" s="8">
        <f t="shared" si="7"/>
        <v>42567.830578703702</v>
      </c>
    </row>
    <row r="205" spans="1:7" x14ac:dyDescent="0.25">
      <c r="A205" s="8">
        <v>42567.42082175926</v>
      </c>
      <c r="B205" s="25" t="s">
        <v>121</v>
      </c>
      <c r="C205" s="25" t="s">
        <v>478</v>
      </c>
      <c r="D205" s="25">
        <v>1310000</v>
      </c>
      <c r="E205" s="25" t="s">
        <v>111</v>
      </c>
      <c r="F205" s="25" t="str">
        <f t="shared" si="6"/>
        <v>rtdc.l.rtdc.4030:itc</v>
      </c>
      <c r="G205" s="8">
        <f t="shared" si="7"/>
        <v>42567.42082175926</v>
      </c>
    </row>
    <row r="206" spans="1:7" x14ac:dyDescent="0.25">
      <c r="A206" s="8">
        <v>42567.787766203706</v>
      </c>
      <c r="B206" s="25" t="s">
        <v>73</v>
      </c>
      <c r="C206" s="25" t="s">
        <v>479</v>
      </c>
      <c r="D206" s="25">
        <v>1300000</v>
      </c>
      <c r="E206" s="25" t="s">
        <v>237</v>
      </c>
      <c r="F206" s="25" t="str">
        <f t="shared" si="6"/>
        <v>rtdc.l.rtdc.4020:itc</v>
      </c>
      <c r="G206" s="8">
        <f t="shared" si="7"/>
        <v>42567.787766203706</v>
      </c>
    </row>
    <row r="207" spans="1:7" x14ac:dyDescent="0.25">
      <c r="A207" s="8">
        <v>42567.424050925925</v>
      </c>
      <c r="B207" s="25" t="s">
        <v>115</v>
      </c>
      <c r="C207" s="25" t="s">
        <v>480</v>
      </c>
      <c r="D207" s="25">
        <v>1100000</v>
      </c>
      <c r="E207" s="25" t="s">
        <v>422</v>
      </c>
      <c r="F207" s="25" t="str">
        <f t="shared" si="6"/>
        <v>rtdc.l.rtdc.4014:itc</v>
      </c>
      <c r="G207" s="8">
        <f t="shared" si="7"/>
        <v>42567.424050925925</v>
      </c>
    </row>
    <row r="208" spans="1:7" x14ac:dyDescent="0.25">
      <c r="A208" s="8">
        <v>42567.514999999999</v>
      </c>
      <c r="B208" s="25" t="s">
        <v>133</v>
      </c>
      <c r="C208" s="25" t="s">
        <v>481</v>
      </c>
      <c r="D208" s="25">
        <v>950000</v>
      </c>
      <c r="E208" s="25" t="s">
        <v>400</v>
      </c>
      <c r="F208" s="25" t="str">
        <f t="shared" si="6"/>
        <v>rtdc.l.rtdc.4040:itc</v>
      </c>
      <c r="G208" s="8">
        <f t="shared" si="7"/>
        <v>42567.514999999999</v>
      </c>
    </row>
    <row r="209" spans="1:7" x14ac:dyDescent="0.25">
      <c r="A209" s="8">
        <v>42567.441377314812</v>
      </c>
      <c r="B209" s="25" t="s">
        <v>385</v>
      </c>
      <c r="C209" s="25" t="s">
        <v>482</v>
      </c>
      <c r="D209" s="25">
        <v>1460000</v>
      </c>
      <c r="E209" s="25" t="s">
        <v>110</v>
      </c>
      <c r="F209" s="25" t="str">
        <f t="shared" si="6"/>
        <v>rtdc.l.rtdc.4012:itc</v>
      </c>
      <c r="G209" s="8">
        <f t="shared" si="7"/>
        <v>42567.441377314812</v>
      </c>
    </row>
    <row r="210" spans="1:7" x14ac:dyDescent="0.25">
      <c r="A210" s="8">
        <v>42567.4846875</v>
      </c>
      <c r="B210" s="25" t="s">
        <v>83</v>
      </c>
      <c r="C210" s="25" t="s">
        <v>483</v>
      </c>
      <c r="D210" s="25">
        <v>1540000</v>
      </c>
      <c r="E210" s="25" t="s">
        <v>127</v>
      </c>
      <c r="F210" s="25" t="str">
        <f t="shared" si="6"/>
        <v>rtdc.l.rtdc.4042:itc</v>
      </c>
      <c r="G210" s="8">
        <f t="shared" si="7"/>
        <v>42567.4846875</v>
      </c>
    </row>
    <row r="211" spans="1:7" x14ac:dyDescent="0.25">
      <c r="A211" s="8">
        <v>42567.473483796297</v>
      </c>
      <c r="B211" s="25" t="s">
        <v>139</v>
      </c>
      <c r="C211" s="25" t="s">
        <v>409</v>
      </c>
      <c r="D211" s="25">
        <v>1830000</v>
      </c>
      <c r="E211" s="25" t="s">
        <v>124</v>
      </c>
      <c r="F211" s="25" t="str">
        <f t="shared" si="6"/>
        <v>rtdc.l.rtdc.4039:itc</v>
      </c>
      <c r="G211" s="8">
        <f t="shared" si="7"/>
        <v>42567.473483796297</v>
      </c>
    </row>
    <row r="212" spans="1:7" x14ac:dyDescent="0.25">
      <c r="A212" s="8">
        <v>42567.392071759263</v>
      </c>
      <c r="B212" s="25" t="s">
        <v>74</v>
      </c>
      <c r="C212" s="25" t="s">
        <v>417</v>
      </c>
      <c r="D212" s="25">
        <v>1260000</v>
      </c>
      <c r="E212" s="25" t="s">
        <v>398</v>
      </c>
      <c r="F212" s="25" t="str">
        <f t="shared" si="6"/>
        <v>rtdc.l.rtdc.4018:itc</v>
      </c>
      <c r="G212" s="8">
        <f t="shared" si="7"/>
        <v>42567.392071759263</v>
      </c>
    </row>
    <row r="213" spans="1:7" x14ac:dyDescent="0.25">
      <c r="A213" s="8">
        <v>42567.475104166668</v>
      </c>
      <c r="B213" s="25" t="s">
        <v>72</v>
      </c>
      <c r="C213" s="25" t="s">
        <v>484</v>
      </c>
      <c r="D213" s="25">
        <v>1340000</v>
      </c>
      <c r="E213" s="25" t="s">
        <v>125</v>
      </c>
      <c r="F213" s="25" t="str">
        <f t="shared" si="6"/>
        <v>rtdc.l.rtdc.4019:itc</v>
      </c>
      <c r="G213" s="8">
        <f t="shared" si="7"/>
        <v>42567.475104166668</v>
      </c>
    </row>
    <row r="214" spans="1:7" x14ac:dyDescent="0.25">
      <c r="A214" s="8">
        <v>42567.385046296295</v>
      </c>
      <c r="B214" s="25" t="s">
        <v>120</v>
      </c>
      <c r="C214" s="25" t="s">
        <v>382</v>
      </c>
      <c r="D214" s="25">
        <v>1310000</v>
      </c>
      <c r="E214" s="25" t="s">
        <v>111</v>
      </c>
      <c r="F214" s="25" t="str">
        <f t="shared" si="6"/>
        <v>rtdc.l.rtdc.4029:itc</v>
      </c>
      <c r="G214" s="8">
        <f t="shared" si="7"/>
        <v>42567.385046296295</v>
      </c>
    </row>
    <row r="215" spans="1:7" x14ac:dyDescent="0.25">
      <c r="A215" s="8">
        <v>42567.494293981479</v>
      </c>
      <c r="B215" s="25" t="s">
        <v>121</v>
      </c>
      <c r="C215" s="25" t="s">
        <v>485</v>
      </c>
      <c r="D215" s="25">
        <v>880000</v>
      </c>
      <c r="E215" s="25" t="s">
        <v>366</v>
      </c>
      <c r="F215" s="25" t="str">
        <f t="shared" si="6"/>
        <v>rtdc.l.rtdc.4030:itc</v>
      </c>
      <c r="G215" s="8">
        <f t="shared" si="7"/>
        <v>42567.494293981479</v>
      </c>
    </row>
    <row r="216" spans="1:7" x14ac:dyDescent="0.25">
      <c r="A216" s="8">
        <v>42567.369652777779</v>
      </c>
      <c r="B216" s="25" t="s">
        <v>133</v>
      </c>
      <c r="C216" s="25" t="s">
        <v>420</v>
      </c>
      <c r="D216" s="25">
        <v>1830000</v>
      </c>
      <c r="E216" s="25" t="s">
        <v>124</v>
      </c>
      <c r="F216" s="25" t="str">
        <f t="shared" si="6"/>
        <v>rtdc.l.rtdc.4040:itc</v>
      </c>
      <c r="G216" s="8">
        <f t="shared" si="7"/>
        <v>42567.369652777779</v>
      </c>
    </row>
    <row r="217" spans="1:7" x14ac:dyDescent="0.25">
      <c r="A217" s="8">
        <v>42567.496620370373</v>
      </c>
      <c r="B217" s="25" t="s">
        <v>115</v>
      </c>
      <c r="C217" s="25" t="s">
        <v>486</v>
      </c>
      <c r="D217" s="25">
        <v>1770000</v>
      </c>
      <c r="E217" s="25" t="s">
        <v>375</v>
      </c>
      <c r="F217" s="25" t="str">
        <f t="shared" si="6"/>
        <v>rtdc.l.rtdc.4014:itc</v>
      </c>
      <c r="G217" s="8">
        <f t="shared" si="7"/>
        <v>42567.496620370373</v>
      </c>
    </row>
    <row r="218" spans="1:7" x14ac:dyDescent="0.25">
      <c r="A218" s="8">
        <v>42567.356319444443</v>
      </c>
      <c r="B218" s="25" t="s">
        <v>75</v>
      </c>
      <c r="C218" s="25" t="s">
        <v>487</v>
      </c>
      <c r="D218" s="25">
        <v>1260000</v>
      </c>
      <c r="E218" s="25" t="s">
        <v>398</v>
      </c>
      <c r="F218" s="25" t="str">
        <f t="shared" si="6"/>
        <v>rtdc.l.rtdc.4017:itc</v>
      </c>
      <c r="G218" s="8">
        <f t="shared" si="7"/>
        <v>42567.356319444443</v>
      </c>
    </row>
    <row r="219" spans="1:7" x14ac:dyDescent="0.25">
      <c r="A219" s="8">
        <v>42567.504548611112</v>
      </c>
      <c r="B219" s="25" t="s">
        <v>75</v>
      </c>
      <c r="C219" s="25" t="s">
        <v>488</v>
      </c>
      <c r="D219" s="25">
        <v>0</v>
      </c>
      <c r="E219" s="25" t="s">
        <v>489</v>
      </c>
      <c r="F219" s="25" t="str">
        <f t="shared" si="6"/>
        <v>rtdc.l.rtdc.4017:itc</v>
      </c>
      <c r="G219" s="8">
        <f t="shared" si="7"/>
        <v>42567.504548611112</v>
      </c>
    </row>
    <row r="220" spans="1:7" x14ac:dyDescent="0.25">
      <c r="A220" s="8">
        <v>42567.348668981482</v>
      </c>
      <c r="B220" s="25" t="s">
        <v>121</v>
      </c>
      <c r="C220" s="25" t="s">
        <v>490</v>
      </c>
      <c r="D220" s="25">
        <v>1310000</v>
      </c>
      <c r="E220" s="25" t="s">
        <v>111</v>
      </c>
      <c r="F220" s="25" t="str">
        <f t="shared" si="6"/>
        <v>rtdc.l.rtdc.4030:itc</v>
      </c>
      <c r="G220" s="8">
        <f t="shared" si="7"/>
        <v>42567.348668981482</v>
      </c>
    </row>
    <row r="221" spans="1:7" x14ac:dyDescent="0.25">
      <c r="A221" s="8">
        <v>42567.51635416667</v>
      </c>
      <c r="B221" s="25" t="s">
        <v>133</v>
      </c>
      <c r="C221" s="25" t="s">
        <v>481</v>
      </c>
      <c r="D221" s="25">
        <v>950000</v>
      </c>
      <c r="E221" s="25" t="s">
        <v>400</v>
      </c>
      <c r="F221" s="25" t="str">
        <f t="shared" si="6"/>
        <v>rtdc.l.rtdc.4040:itc</v>
      </c>
      <c r="G221" s="8">
        <f t="shared" si="7"/>
        <v>42567.51635416667</v>
      </c>
    </row>
    <row r="222" spans="1:7" x14ac:dyDescent="0.25">
      <c r="A222" s="8">
        <v>42567.950057870374</v>
      </c>
      <c r="B222" s="25" t="s">
        <v>74</v>
      </c>
      <c r="C222" s="25" t="s">
        <v>432</v>
      </c>
      <c r="D222" s="25">
        <v>1300000</v>
      </c>
      <c r="E222" s="25" t="s">
        <v>237</v>
      </c>
      <c r="F222" s="25" t="str">
        <f t="shared" si="6"/>
        <v>rtdc.l.rtdc.4018:itc</v>
      </c>
      <c r="G222" s="8">
        <f t="shared" si="7"/>
        <v>42567.950057870374</v>
      </c>
    </row>
    <row r="223" spans="1:7" x14ac:dyDescent="0.25">
      <c r="A223" s="8">
        <v>42567.524641203701</v>
      </c>
      <c r="B223" s="25" t="s">
        <v>211</v>
      </c>
      <c r="C223" s="25" t="s">
        <v>491</v>
      </c>
      <c r="D223" s="25">
        <v>1540000</v>
      </c>
      <c r="E223" s="25" t="s">
        <v>127</v>
      </c>
      <c r="F223" s="25" t="str">
        <f t="shared" si="6"/>
        <v>rtdc.l.rtdc.4041:itc</v>
      </c>
      <c r="G223" s="8">
        <f t="shared" si="7"/>
        <v>42567.524641203701</v>
      </c>
    </row>
    <row r="224" spans="1:7" x14ac:dyDescent="0.25">
      <c r="A224" s="8">
        <v>42567.932511574072</v>
      </c>
      <c r="B224" t="s">
        <v>139</v>
      </c>
      <c r="C224" t="s">
        <v>408</v>
      </c>
      <c r="D224">
        <v>1810000</v>
      </c>
      <c r="E224" t="s">
        <v>140</v>
      </c>
      <c r="F224" s="25" t="str">
        <f t="shared" si="6"/>
        <v>rtdc.l.rtdc.4039:itc</v>
      </c>
      <c r="G224" s="8">
        <f t="shared" si="7"/>
        <v>42567.932511574072</v>
      </c>
    </row>
    <row r="225" spans="1:7" x14ac:dyDescent="0.25">
      <c r="A225" s="8">
        <v>42567.79047453704</v>
      </c>
      <c r="B225" t="s">
        <v>73</v>
      </c>
      <c r="C225" t="s">
        <v>479</v>
      </c>
      <c r="D225">
        <v>1300000</v>
      </c>
      <c r="E225" t="s">
        <v>237</v>
      </c>
      <c r="F225" s="25" t="str">
        <f t="shared" si="6"/>
        <v>rtdc.l.rtdc.4020:itc</v>
      </c>
      <c r="G225" s="8">
        <f t="shared" si="7"/>
        <v>42567.79047453704</v>
      </c>
    </row>
    <row r="226" spans="1:7" x14ac:dyDescent="0.25">
      <c r="A226" s="8">
        <v>42567.92627314815</v>
      </c>
      <c r="B226" t="s">
        <v>73</v>
      </c>
      <c r="C226" t="s">
        <v>407</v>
      </c>
      <c r="D226">
        <v>1480000</v>
      </c>
      <c r="E226" t="s">
        <v>113</v>
      </c>
      <c r="F226" s="25" t="str">
        <f t="shared" si="6"/>
        <v>rtdc.l.rtdc.4020:itc</v>
      </c>
      <c r="G226" s="8">
        <f t="shared" si="7"/>
        <v>42567.92627314815</v>
      </c>
    </row>
    <row r="227" spans="1:7" x14ac:dyDescent="0.25">
      <c r="A227" s="8">
        <v>42567.909548611111</v>
      </c>
      <c r="B227" t="s">
        <v>120</v>
      </c>
      <c r="C227" t="s">
        <v>492</v>
      </c>
      <c r="D227">
        <v>2030000</v>
      </c>
      <c r="E227" t="s">
        <v>147</v>
      </c>
      <c r="F227" s="25" t="str">
        <f t="shared" si="6"/>
        <v>rtdc.l.rtdc.4029:itc</v>
      </c>
      <c r="G227" s="8">
        <f t="shared" si="7"/>
        <v>42567.909548611111</v>
      </c>
    </row>
    <row r="228" spans="1:7" x14ac:dyDescent="0.25">
      <c r="A228" s="8">
        <v>42567.868159722224</v>
      </c>
      <c r="B228" t="s">
        <v>121</v>
      </c>
      <c r="C228" t="s">
        <v>493</v>
      </c>
      <c r="D228">
        <v>2030000</v>
      </c>
      <c r="E228" t="s">
        <v>147</v>
      </c>
      <c r="F228" s="25" t="str">
        <f t="shared" si="6"/>
        <v>rtdc.l.rtdc.4030:itc</v>
      </c>
      <c r="G228" s="8">
        <f t="shared" si="7"/>
        <v>42567.868159722224</v>
      </c>
    </row>
    <row r="229" spans="1:7" x14ac:dyDescent="0.25">
      <c r="A229" s="8">
        <v>42567.969097222223</v>
      </c>
      <c r="B229" t="s">
        <v>72</v>
      </c>
      <c r="C229" t="s">
        <v>494</v>
      </c>
      <c r="D229">
        <v>1480000</v>
      </c>
      <c r="E229" t="s">
        <v>113</v>
      </c>
      <c r="F229" s="25" t="str">
        <f t="shared" si="6"/>
        <v>rtdc.l.rtdc.4019:itc</v>
      </c>
      <c r="G229" s="8">
        <f t="shared" si="7"/>
        <v>42567.969097222223</v>
      </c>
    </row>
    <row r="230" spans="1:7" x14ac:dyDescent="0.25">
      <c r="A230" s="8">
        <v>42567.825115740743</v>
      </c>
      <c r="B230" t="s">
        <v>75</v>
      </c>
      <c r="C230" t="s">
        <v>495</v>
      </c>
      <c r="D230">
        <v>1300000</v>
      </c>
      <c r="E230" t="s">
        <v>237</v>
      </c>
      <c r="F230" s="25" t="str">
        <f t="shared" si="6"/>
        <v>rtdc.l.rtdc.4017:itc</v>
      </c>
      <c r="G230" s="8">
        <f t="shared" si="7"/>
        <v>42567.825115740743</v>
      </c>
    </row>
    <row r="231" spans="1:7" x14ac:dyDescent="0.25">
      <c r="A231" s="8">
        <v>42567.528402777774</v>
      </c>
      <c r="B231" t="s">
        <v>120</v>
      </c>
      <c r="C231" t="s">
        <v>427</v>
      </c>
      <c r="D231">
        <v>880000</v>
      </c>
      <c r="E231" t="s">
        <v>366</v>
      </c>
      <c r="F231" s="25" t="str">
        <f t="shared" si="6"/>
        <v>rtdc.l.rtdc.4029:itc</v>
      </c>
      <c r="G231" s="8">
        <f t="shared" si="7"/>
        <v>42567.528402777774</v>
      </c>
    </row>
    <row r="232" spans="1:7" x14ac:dyDescent="0.25">
      <c r="A232" s="8">
        <v>42567.788113425922</v>
      </c>
      <c r="B232" t="s">
        <v>119</v>
      </c>
      <c r="C232" t="s">
        <v>496</v>
      </c>
      <c r="D232">
        <v>2030000</v>
      </c>
      <c r="E232" t="s">
        <v>147</v>
      </c>
      <c r="F232" s="25" t="str">
        <f t="shared" si="6"/>
        <v>rtdc.l.rtdc.4037:itc</v>
      </c>
      <c r="G232" s="8">
        <f t="shared" si="7"/>
        <v>42567.788113425922</v>
      </c>
    </row>
    <row r="233" spans="1:7" x14ac:dyDescent="0.25">
      <c r="A233" s="8">
        <v>42567.542731481481</v>
      </c>
      <c r="B233" t="s">
        <v>74</v>
      </c>
      <c r="C233" t="s">
        <v>428</v>
      </c>
      <c r="D233">
        <v>1740000</v>
      </c>
      <c r="E233" t="s">
        <v>392</v>
      </c>
      <c r="F233" s="25" t="str">
        <f t="shared" si="6"/>
        <v>rtdc.l.rtdc.4018:itc</v>
      </c>
      <c r="G233" s="8">
        <f t="shared" si="7"/>
        <v>42567.542731481481</v>
      </c>
    </row>
    <row r="234" spans="1:7" x14ac:dyDescent="0.25">
      <c r="A234" s="8">
        <v>42567.757523148146</v>
      </c>
      <c r="B234" t="s">
        <v>211</v>
      </c>
      <c r="C234" t="s">
        <v>434</v>
      </c>
      <c r="D234">
        <v>1540000</v>
      </c>
      <c r="E234" t="s">
        <v>127</v>
      </c>
      <c r="F234" s="25" t="str">
        <f t="shared" si="6"/>
        <v>rtdc.l.rtdc.4041:itc</v>
      </c>
      <c r="G234" s="8">
        <f t="shared" si="7"/>
        <v>42567.757523148146</v>
      </c>
    </row>
    <row r="235" spans="1:7" x14ac:dyDescent="0.25">
      <c r="A235" s="8">
        <v>42567.545972222222</v>
      </c>
      <c r="B235" t="s">
        <v>371</v>
      </c>
      <c r="C235" t="s">
        <v>497</v>
      </c>
      <c r="D235">
        <v>1750000</v>
      </c>
      <c r="E235" t="s">
        <v>332</v>
      </c>
      <c r="F235" s="25" t="str">
        <f t="shared" si="6"/>
        <v>rtdc.l.rtdc.4011:itc</v>
      </c>
      <c r="G235" s="8">
        <f t="shared" si="7"/>
        <v>42567.545972222222</v>
      </c>
    </row>
    <row r="236" spans="1:7" x14ac:dyDescent="0.25">
      <c r="A236" s="8">
        <v>42567.754189814812</v>
      </c>
      <c r="B236" t="s">
        <v>133</v>
      </c>
      <c r="C236" t="s">
        <v>436</v>
      </c>
      <c r="D236">
        <v>1770000</v>
      </c>
      <c r="E236" t="s">
        <v>375</v>
      </c>
      <c r="F236" s="25" t="str">
        <f t="shared" ref="F236:F265" si="8">B236</f>
        <v>rtdc.l.rtdc.4040:itc</v>
      </c>
      <c r="G236" s="8">
        <f t="shared" ref="G236:G265" si="9">A236</f>
        <v>42567.754189814812</v>
      </c>
    </row>
    <row r="237" spans="1:7" x14ac:dyDescent="0.25">
      <c r="A237" s="8">
        <v>42567.562395833331</v>
      </c>
      <c r="B237" t="s">
        <v>83</v>
      </c>
      <c r="C237" t="s">
        <v>498</v>
      </c>
      <c r="D237">
        <v>1540000</v>
      </c>
      <c r="E237" t="s">
        <v>127</v>
      </c>
      <c r="F237" s="25" t="str">
        <f t="shared" si="8"/>
        <v>rtdc.l.rtdc.4042:itc</v>
      </c>
      <c r="G237" s="8">
        <f t="shared" si="9"/>
        <v>42567.562395833331</v>
      </c>
    </row>
    <row r="238" spans="1:7" x14ac:dyDescent="0.25">
      <c r="A238" s="8">
        <v>42567.672847222224</v>
      </c>
      <c r="B238" t="s">
        <v>114</v>
      </c>
      <c r="C238" t="s">
        <v>435</v>
      </c>
      <c r="D238">
        <v>1750000</v>
      </c>
      <c r="E238" t="s">
        <v>332</v>
      </c>
      <c r="F238" s="25" t="str">
        <f t="shared" si="8"/>
        <v>rtdc.l.rtdc.4026:itc</v>
      </c>
      <c r="G238" s="8">
        <f t="shared" si="9"/>
        <v>42567.672847222224</v>
      </c>
    </row>
    <row r="239" spans="1:7" x14ac:dyDescent="0.25">
      <c r="A239" s="8">
        <v>42567.575891203705</v>
      </c>
      <c r="B239" t="s">
        <v>75</v>
      </c>
      <c r="C239" t="s">
        <v>499</v>
      </c>
      <c r="D239">
        <v>1740000</v>
      </c>
      <c r="E239" t="s">
        <v>392</v>
      </c>
      <c r="F239" s="25" t="str">
        <f t="shared" si="8"/>
        <v>rtdc.l.rtdc.4017:itc</v>
      </c>
      <c r="G239" s="8">
        <f t="shared" si="9"/>
        <v>42567.575891203705</v>
      </c>
    </row>
    <row r="240" spans="1:7" x14ac:dyDescent="0.25">
      <c r="A240" s="8">
        <v>42567.665254629632</v>
      </c>
      <c r="B240" t="s">
        <v>72</v>
      </c>
      <c r="C240" t="s">
        <v>500</v>
      </c>
      <c r="D240">
        <v>1520000</v>
      </c>
      <c r="E240" t="s">
        <v>425</v>
      </c>
      <c r="F240" s="25" t="str">
        <f t="shared" si="8"/>
        <v>rtdc.l.rtdc.4019:itc</v>
      </c>
      <c r="G240" s="8">
        <f t="shared" si="9"/>
        <v>42567.665254629632</v>
      </c>
    </row>
    <row r="241" spans="1:7" x14ac:dyDescent="0.25">
      <c r="A241" s="8">
        <v>42567.613078703704</v>
      </c>
      <c r="B241" t="s">
        <v>120</v>
      </c>
      <c r="C241" t="s">
        <v>431</v>
      </c>
      <c r="D241">
        <v>880000</v>
      </c>
      <c r="E241" t="s">
        <v>366</v>
      </c>
      <c r="F241" s="25" t="str">
        <f t="shared" si="8"/>
        <v>rtdc.l.rtdc.4029:itc</v>
      </c>
      <c r="G241" s="8">
        <f t="shared" si="9"/>
        <v>42567.613078703704</v>
      </c>
    </row>
    <row r="242" spans="1:7" x14ac:dyDescent="0.25">
      <c r="A242" s="8">
        <v>42567.641388888886</v>
      </c>
      <c r="B242" t="s">
        <v>83</v>
      </c>
      <c r="C242" t="s">
        <v>450</v>
      </c>
      <c r="D242">
        <v>1540000</v>
      </c>
      <c r="E242" t="s">
        <v>127</v>
      </c>
      <c r="F242" s="25" t="str">
        <f t="shared" si="8"/>
        <v>rtdc.l.rtdc.4042:itc</v>
      </c>
      <c r="G242" s="8">
        <f t="shared" si="9"/>
        <v>42567.641388888886</v>
      </c>
    </row>
    <row r="243" spans="1:7" x14ac:dyDescent="0.25">
      <c r="A243" s="8">
        <v>42567.622777777775</v>
      </c>
      <c r="B243" t="s">
        <v>74</v>
      </c>
      <c r="C243" t="s">
        <v>501</v>
      </c>
      <c r="D243">
        <v>1740000</v>
      </c>
      <c r="E243" t="s">
        <v>392</v>
      </c>
      <c r="F243" s="25" t="str">
        <f t="shared" si="8"/>
        <v>rtdc.l.rtdc.4018:itc</v>
      </c>
      <c r="G243" s="8">
        <f t="shared" si="9"/>
        <v>42567.622777777775</v>
      </c>
    </row>
    <row r="244" spans="1:7" x14ac:dyDescent="0.25">
      <c r="A244" s="8">
        <v>42567.633796296293</v>
      </c>
      <c r="B244" t="s">
        <v>117</v>
      </c>
      <c r="C244" t="s">
        <v>502</v>
      </c>
      <c r="D244">
        <v>1750000</v>
      </c>
      <c r="E244" t="s">
        <v>332</v>
      </c>
      <c r="F244" s="25" t="str">
        <f t="shared" si="8"/>
        <v>rtdc.l.rtdc.4025:itc</v>
      </c>
      <c r="G244" s="8">
        <f t="shared" si="9"/>
        <v>42567.633796296293</v>
      </c>
    </row>
    <row r="245" spans="1:7" x14ac:dyDescent="0.25">
      <c r="A245" s="8">
        <v>42567.631331018521</v>
      </c>
      <c r="B245" t="s">
        <v>67</v>
      </c>
      <c r="C245" t="s">
        <v>445</v>
      </c>
      <c r="D245">
        <v>950000</v>
      </c>
      <c r="E245" t="s">
        <v>400</v>
      </c>
      <c r="F245" s="25" t="str">
        <f t="shared" si="8"/>
        <v>rtdc.l.rtdc.4032:itc</v>
      </c>
      <c r="G245" s="8">
        <f t="shared" si="9"/>
        <v>42567.631331018521</v>
      </c>
    </row>
    <row r="246" spans="1:7" x14ac:dyDescent="0.25">
      <c r="A246" s="8">
        <v>42567.620439814818</v>
      </c>
      <c r="B246" t="s">
        <v>72</v>
      </c>
      <c r="C246" t="s">
        <v>500</v>
      </c>
      <c r="D246">
        <v>1520000</v>
      </c>
      <c r="E246" t="s">
        <v>425</v>
      </c>
      <c r="F246" s="25" t="str">
        <f t="shared" si="8"/>
        <v>rtdc.l.rtdc.4019:itc</v>
      </c>
      <c r="G246" s="8">
        <f t="shared" si="9"/>
        <v>42567.620439814818</v>
      </c>
    </row>
    <row r="247" spans="1:7" x14ac:dyDescent="0.25">
      <c r="A247" s="8">
        <v>42567.635879629626</v>
      </c>
      <c r="B247" t="s">
        <v>116</v>
      </c>
      <c r="C247" t="s">
        <v>430</v>
      </c>
      <c r="D247">
        <v>1770000</v>
      </c>
      <c r="E247" t="s">
        <v>375</v>
      </c>
      <c r="F247" s="25" t="str">
        <f t="shared" si="8"/>
        <v>rtdc.l.rtdc.4013:itc</v>
      </c>
      <c r="G247" s="8">
        <f t="shared" si="9"/>
        <v>42567.635879629626</v>
      </c>
    </row>
    <row r="248" spans="1:7" x14ac:dyDescent="0.25">
      <c r="A248" s="8">
        <v>42567.599039351851</v>
      </c>
      <c r="B248" t="s">
        <v>211</v>
      </c>
      <c r="C248" t="s">
        <v>503</v>
      </c>
      <c r="D248">
        <v>1540000</v>
      </c>
      <c r="E248" t="s">
        <v>127</v>
      </c>
      <c r="F248" s="25" t="str">
        <f t="shared" si="8"/>
        <v>rtdc.l.rtdc.4041:itc</v>
      </c>
      <c r="G248" s="8">
        <f t="shared" si="9"/>
        <v>42567.599039351851</v>
      </c>
    </row>
    <row r="249" spans="1:7" x14ac:dyDescent="0.25">
      <c r="A249" s="8">
        <v>42567.684224537035</v>
      </c>
      <c r="B249" t="s">
        <v>211</v>
      </c>
      <c r="C249" t="s">
        <v>504</v>
      </c>
      <c r="D249">
        <v>1540000</v>
      </c>
      <c r="E249" t="s">
        <v>127</v>
      </c>
      <c r="F249" s="25" t="str">
        <f t="shared" si="8"/>
        <v>rtdc.l.rtdc.4041:itc</v>
      </c>
      <c r="G249" s="8">
        <f t="shared" si="9"/>
        <v>42567.684224537035</v>
      </c>
    </row>
    <row r="250" spans="1:7" x14ac:dyDescent="0.25">
      <c r="A250" s="8">
        <v>42567.599131944444</v>
      </c>
      <c r="B250" t="s">
        <v>76</v>
      </c>
      <c r="C250" t="s">
        <v>505</v>
      </c>
      <c r="D250">
        <v>950000</v>
      </c>
      <c r="E250" t="s">
        <v>400</v>
      </c>
      <c r="F250" s="25" t="str">
        <f t="shared" si="8"/>
        <v>rtdc.l.rtdc.4031:itc</v>
      </c>
      <c r="G250" s="8">
        <f t="shared" si="9"/>
        <v>42567.599131944444</v>
      </c>
    </row>
    <row r="251" spans="1:7" x14ac:dyDescent="0.25">
      <c r="A251" s="8">
        <v>42567.719421296293</v>
      </c>
      <c r="B251" t="s">
        <v>109</v>
      </c>
      <c r="C251" t="s">
        <v>440</v>
      </c>
      <c r="D251">
        <v>2030000</v>
      </c>
      <c r="E251" t="s">
        <v>147</v>
      </c>
      <c r="F251" s="25" t="str">
        <f t="shared" si="8"/>
        <v>rtdc.l.rtdc.4038:itc</v>
      </c>
      <c r="G251" s="8">
        <f t="shared" si="9"/>
        <v>42567.719421296293</v>
      </c>
    </row>
    <row r="252" spans="1:7" x14ac:dyDescent="0.25">
      <c r="A252" s="8">
        <v>42567.538055555553</v>
      </c>
      <c r="B252" t="s">
        <v>72</v>
      </c>
      <c r="C252" t="s">
        <v>506</v>
      </c>
      <c r="D252">
        <v>1520000</v>
      </c>
      <c r="E252" t="s">
        <v>425</v>
      </c>
      <c r="F252" s="25" t="str">
        <f t="shared" si="8"/>
        <v>rtdc.l.rtdc.4019:itc</v>
      </c>
      <c r="G252" s="8">
        <f t="shared" si="9"/>
        <v>42567.538055555553</v>
      </c>
    </row>
    <row r="253" spans="1:7" x14ac:dyDescent="0.25">
      <c r="A253" s="8">
        <v>42567.757557870369</v>
      </c>
      <c r="B253" t="s">
        <v>109</v>
      </c>
      <c r="C253" t="s">
        <v>440</v>
      </c>
      <c r="D253">
        <v>2030000</v>
      </c>
      <c r="E253" t="s">
        <v>147</v>
      </c>
      <c r="F253" s="25" t="str">
        <f t="shared" si="8"/>
        <v>rtdc.l.rtdc.4038:itc</v>
      </c>
      <c r="G253" s="8">
        <f t="shared" si="9"/>
        <v>42567.757557870369</v>
      </c>
    </row>
    <row r="254" spans="1:7" x14ac:dyDescent="0.25">
      <c r="A254" s="8">
        <v>42567.294629629629</v>
      </c>
      <c r="B254" t="s">
        <v>133</v>
      </c>
      <c r="C254" t="s">
        <v>446</v>
      </c>
      <c r="D254">
        <v>1830000</v>
      </c>
      <c r="E254" t="s">
        <v>124</v>
      </c>
      <c r="F254" s="25" t="str">
        <f t="shared" si="8"/>
        <v>rtdc.l.rtdc.4040:itc</v>
      </c>
      <c r="G254" s="8">
        <f t="shared" si="9"/>
        <v>42567.294629629629</v>
      </c>
    </row>
    <row r="255" spans="1:7" x14ac:dyDescent="0.25">
      <c r="A255" s="8">
        <v>42567.761354166665</v>
      </c>
      <c r="B255" t="s">
        <v>74</v>
      </c>
      <c r="C255" t="s">
        <v>383</v>
      </c>
      <c r="D255">
        <v>1800000</v>
      </c>
      <c r="E255" t="s">
        <v>367</v>
      </c>
      <c r="F255" s="25" t="str">
        <f t="shared" si="8"/>
        <v>rtdc.l.rtdc.4018:itc</v>
      </c>
      <c r="G255" s="8">
        <f t="shared" si="9"/>
        <v>42567.761354166665</v>
      </c>
    </row>
    <row r="256" spans="1:7" x14ac:dyDescent="0.25">
      <c r="A256" s="8">
        <v>42567.289398148147</v>
      </c>
      <c r="B256" t="s">
        <v>73</v>
      </c>
      <c r="C256" t="s">
        <v>507</v>
      </c>
      <c r="D256">
        <v>1360000</v>
      </c>
      <c r="E256" t="s">
        <v>194</v>
      </c>
      <c r="F256" s="25" t="str">
        <f t="shared" si="8"/>
        <v>rtdc.l.rtdc.4020:itc</v>
      </c>
      <c r="G256" s="8">
        <f t="shared" si="9"/>
        <v>42567.289398148147</v>
      </c>
    </row>
    <row r="257" spans="1:7" x14ac:dyDescent="0.25">
      <c r="A257" s="8">
        <v>42567.776828703703</v>
      </c>
      <c r="B257" t="s">
        <v>139</v>
      </c>
      <c r="C257" t="s">
        <v>374</v>
      </c>
      <c r="D257">
        <v>1770000</v>
      </c>
      <c r="E257" t="s">
        <v>375</v>
      </c>
      <c r="F257" s="25" t="str">
        <f t="shared" si="8"/>
        <v>rtdc.l.rtdc.4039:itc</v>
      </c>
      <c r="G257" s="8">
        <f t="shared" si="9"/>
        <v>42567.776828703703</v>
      </c>
    </row>
    <row r="258" spans="1:7" x14ac:dyDescent="0.25">
      <c r="A258" s="8">
        <v>42567.268923611111</v>
      </c>
      <c r="B258" t="s">
        <v>83</v>
      </c>
      <c r="C258" t="s">
        <v>508</v>
      </c>
      <c r="D258">
        <v>1190000</v>
      </c>
      <c r="E258" t="s">
        <v>209</v>
      </c>
      <c r="F258" s="25" t="str">
        <f t="shared" si="8"/>
        <v>rtdc.l.rtdc.4042:itc</v>
      </c>
      <c r="G258" s="8">
        <f t="shared" si="9"/>
        <v>42567.268923611111</v>
      </c>
    </row>
    <row r="259" spans="1:7" x14ac:dyDescent="0.25">
      <c r="A259" s="8">
        <v>42567.82372685185</v>
      </c>
      <c r="B259" t="s">
        <v>75</v>
      </c>
      <c r="C259" t="s">
        <v>495</v>
      </c>
      <c r="D259">
        <v>1300000</v>
      </c>
      <c r="E259" t="s">
        <v>237</v>
      </c>
      <c r="F259" s="25" t="str">
        <f t="shared" si="8"/>
        <v>rtdc.l.rtdc.4017:itc</v>
      </c>
      <c r="G259" s="8">
        <f t="shared" si="9"/>
        <v>42567.82372685185</v>
      </c>
    </row>
    <row r="260" spans="1:7" x14ac:dyDescent="0.25">
      <c r="A260" s="8">
        <v>42567.251238425924</v>
      </c>
      <c r="B260" t="s">
        <v>74</v>
      </c>
      <c r="C260" t="s">
        <v>416</v>
      </c>
      <c r="D260">
        <v>1260000</v>
      </c>
      <c r="E260" t="s">
        <v>398</v>
      </c>
      <c r="F260" s="25" t="str">
        <f t="shared" si="8"/>
        <v>rtdc.l.rtdc.4018:itc</v>
      </c>
      <c r="G260" s="8">
        <f t="shared" si="9"/>
        <v>42567.251238425924</v>
      </c>
    </row>
    <row r="261" spans="1:7" x14ac:dyDescent="0.25">
      <c r="A261" s="8">
        <v>42567.967152777775</v>
      </c>
      <c r="B261" t="s">
        <v>72</v>
      </c>
      <c r="C261" t="s">
        <v>494</v>
      </c>
      <c r="D261">
        <v>1480000</v>
      </c>
      <c r="E261" t="s">
        <v>113</v>
      </c>
      <c r="F261" s="25" t="str">
        <f t="shared" si="8"/>
        <v>rtdc.l.rtdc.4019:itc</v>
      </c>
      <c r="G261" s="8">
        <f t="shared" si="9"/>
        <v>42567.967152777775</v>
      </c>
    </row>
    <row r="262" spans="1:7" x14ac:dyDescent="0.25">
      <c r="A262" s="8">
        <v>42567.245798611111</v>
      </c>
      <c r="B262" t="s">
        <v>72</v>
      </c>
      <c r="C262" t="s">
        <v>509</v>
      </c>
      <c r="D262">
        <v>1360000</v>
      </c>
      <c r="E262" t="s">
        <v>194</v>
      </c>
      <c r="F262" s="25" t="str">
        <f t="shared" si="8"/>
        <v>rtdc.l.rtdc.4019:itc</v>
      </c>
      <c r="G262" s="8">
        <f t="shared" si="9"/>
        <v>42567.245798611111</v>
      </c>
    </row>
    <row r="263" spans="1:7" x14ac:dyDescent="0.25">
      <c r="A263" s="8">
        <v>42567.992569444446</v>
      </c>
      <c r="B263" t="s">
        <v>75</v>
      </c>
      <c r="C263" t="s">
        <v>510</v>
      </c>
      <c r="D263">
        <v>1300000</v>
      </c>
      <c r="E263" t="s">
        <v>237</v>
      </c>
      <c r="F263" s="25" t="str">
        <f t="shared" si="8"/>
        <v>rtdc.l.rtdc.4017:itc</v>
      </c>
      <c r="G263" s="8">
        <f t="shared" si="9"/>
        <v>42567.992569444446</v>
      </c>
    </row>
    <row r="264" spans="1:7" x14ac:dyDescent="0.25">
      <c r="A264" s="8">
        <v>42567.216666666667</v>
      </c>
      <c r="B264" t="s">
        <v>73</v>
      </c>
      <c r="C264" t="s">
        <v>511</v>
      </c>
      <c r="D264">
        <v>1360000</v>
      </c>
      <c r="E264" t="s">
        <v>194</v>
      </c>
      <c r="F264" s="25" t="str">
        <f t="shared" si="8"/>
        <v>rtdc.l.rtdc.4020:itc</v>
      </c>
      <c r="G264" s="8">
        <f t="shared" si="9"/>
        <v>42567.216666666667</v>
      </c>
    </row>
    <row r="265" spans="1:7" x14ac:dyDescent="0.25">
      <c r="A265" s="8">
        <v>42568.030833333331</v>
      </c>
      <c r="B265" t="s">
        <v>74</v>
      </c>
      <c r="C265" t="s">
        <v>463</v>
      </c>
      <c r="D265">
        <v>1300000</v>
      </c>
      <c r="E265" t="s">
        <v>237</v>
      </c>
      <c r="F265" s="25" t="str">
        <f t="shared" si="8"/>
        <v>rtdc.l.rtdc.4018:itc</v>
      </c>
      <c r="G265" s="8">
        <f t="shared" si="9"/>
        <v>42568.030833333331</v>
      </c>
    </row>
    <row r="266" spans="1:7" x14ac:dyDescent="0.25">
      <c r="A266" s="8">
        <v>42567.206759259258</v>
      </c>
      <c r="B266" t="s">
        <v>115</v>
      </c>
      <c r="C266" t="s">
        <v>512</v>
      </c>
      <c r="D266">
        <v>1100000</v>
      </c>
      <c r="E266" t="s">
        <v>422</v>
      </c>
      <c r="F266" s="25" t="str">
        <f t="shared" ref="F266:F281" si="10">B266</f>
        <v>rtdc.l.rtdc.4014:itc</v>
      </c>
      <c r="G266" s="8">
        <f t="shared" ref="G266:G281" si="11">A266</f>
        <v>42567.206759259258</v>
      </c>
    </row>
    <row r="267" spans="1:7" x14ac:dyDescent="0.25">
      <c r="A267" s="8">
        <v>42568.079062500001</v>
      </c>
      <c r="B267" t="s">
        <v>75</v>
      </c>
      <c r="C267" t="s">
        <v>513</v>
      </c>
      <c r="D267">
        <v>1300000</v>
      </c>
      <c r="E267" t="s">
        <v>237</v>
      </c>
      <c r="F267" s="25" t="str">
        <f t="shared" si="10"/>
        <v>rtdc.l.rtdc.4017:itc</v>
      </c>
      <c r="G267" s="8">
        <f t="shared" si="11"/>
        <v>42568.079062500001</v>
      </c>
    </row>
    <row r="268" spans="1:7" x14ac:dyDescent="0.25">
      <c r="A268" s="8">
        <v>42567.85224537037</v>
      </c>
      <c r="B268" t="s">
        <v>117</v>
      </c>
      <c r="C268" t="s">
        <v>475</v>
      </c>
      <c r="D268">
        <v>1800000</v>
      </c>
      <c r="E268" t="s">
        <v>367</v>
      </c>
      <c r="F268" s="25" t="str">
        <f t="shared" si="10"/>
        <v>rtdc.l.rtdc.4025:itc</v>
      </c>
      <c r="G268" s="8">
        <f t="shared" si="11"/>
        <v>42567.85224537037</v>
      </c>
    </row>
    <row r="269" spans="1:7" x14ac:dyDescent="0.25">
      <c r="F269" s="25">
        <f t="shared" si="10"/>
        <v>0</v>
      </c>
      <c r="G269" s="8">
        <f t="shared" si="11"/>
        <v>0</v>
      </c>
    </row>
    <row r="270" spans="1:7" x14ac:dyDescent="0.25">
      <c r="A270" s="8">
        <v>42565.804166666669</v>
      </c>
      <c r="B270" t="s">
        <v>114</v>
      </c>
      <c r="C270" t="s">
        <v>272</v>
      </c>
      <c r="D270">
        <v>1480000</v>
      </c>
      <c r="E270" t="s">
        <v>113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126</v>
      </c>
      <c r="C271" t="s">
        <v>260</v>
      </c>
      <c r="D271">
        <v>2020000</v>
      </c>
      <c r="E271" t="s">
        <v>210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133</v>
      </c>
      <c r="C272" t="s">
        <v>270</v>
      </c>
      <c r="D272">
        <v>1300000</v>
      </c>
      <c r="E272" t="s">
        <v>237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117</v>
      </c>
      <c r="C273" t="s">
        <v>264</v>
      </c>
      <c r="D273">
        <v>1460000</v>
      </c>
      <c r="E273" t="s">
        <v>110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267</v>
      </c>
      <c r="D274">
        <v>2010000</v>
      </c>
      <c r="E274" t="s">
        <v>151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334</v>
      </c>
      <c r="D275">
        <v>1810000</v>
      </c>
      <c r="E275" t="s">
        <v>140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114</v>
      </c>
      <c r="C276" t="s">
        <v>265</v>
      </c>
      <c r="D276">
        <v>1460000</v>
      </c>
      <c r="E276" t="s">
        <v>110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336</v>
      </c>
      <c r="D277">
        <v>1810000</v>
      </c>
      <c r="E277" t="s">
        <v>140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139</v>
      </c>
      <c r="C278" t="s">
        <v>263</v>
      </c>
      <c r="D278">
        <v>1750000</v>
      </c>
      <c r="E278" t="s">
        <v>332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129</v>
      </c>
      <c r="C279" t="s">
        <v>261</v>
      </c>
      <c r="D279">
        <v>2020000</v>
      </c>
      <c r="E279" t="s">
        <v>210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258</v>
      </c>
      <c r="D280">
        <v>1540000</v>
      </c>
      <c r="E280" t="s">
        <v>127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266</v>
      </c>
      <c r="D281">
        <v>2010000</v>
      </c>
      <c r="E281" t="s">
        <v>151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114</v>
      </c>
      <c r="C282" t="s">
        <v>257</v>
      </c>
      <c r="D282">
        <v>1460000</v>
      </c>
      <c r="E282" t="s">
        <v>110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126</v>
      </c>
      <c r="C283" t="s">
        <v>269</v>
      </c>
      <c r="D283">
        <v>2000000</v>
      </c>
      <c r="E283" t="s">
        <v>148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119</v>
      </c>
      <c r="C284" t="s">
        <v>256</v>
      </c>
      <c r="D284">
        <v>1750000</v>
      </c>
      <c r="E284" t="s">
        <v>332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139</v>
      </c>
      <c r="C285" t="s">
        <v>271</v>
      </c>
      <c r="D285">
        <v>1300000</v>
      </c>
      <c r="E285" t="s">
        <v>237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333</v>
      </c>
      <c r="D286">
        <v>1190000</v>
      </c>
      <c r="E286" t="s">
        <v>209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273</v>
      </c>
      <c r="D287">
        <v>2010000</v>
      </c>
      <c r="E287" t="s">
        <v>151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251</v>
      </c>
      <c r="D288">
        <v>1810000</v>
      </c>
      <c r="E288" t="s">
        <v>140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133</v>
      </c>
      <c r="C289" t="s">
        <v>274</v>
      </c>
      <c r="D289">
        <v>1300000</v>
      </c>
      <c r="E289" t="s">
        <v>237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83</v>
      </c>
      <c r="C290" t="s">
        <v>253</v>
      </c>
      <c r="D290">
        <v>2000000</v>
      </c>
      <c r="E290" t="s">
        <v>148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133</v>
      </c>
      <c r="C291" t="s">
        <v>274</v>
      </c>
      <c r="D291">
        <v>1300000</v>
      </c>
      <c r="E291" t="s">
        <v>237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252</v>
      </c>
      <c r="D292">
        <v>1820000</v>
      </c>
      <c r="E292" t="s">
        <v>104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133</v>
      </c>
      <c r="C293" t="s">
        <v>277</v>
      </c>
      <c r="D293">
        <v>1300000</v>
      </c>
      <c r="E293" t="s">
        <v>237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129</v>
      </c>
      <c r="C294" t="s">
        <v>249</v>
      </c>
      <c r="D294">
        <v>2020000</v>
      </c>
      <c r="E294" t="s">
        <v>210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139</v>
      </c>
      <c r="C295" t="s">
        <v>278</v>
      </c>
      <c r="D295">
        <v>1300000</v>
      </c>
      <c r="E295" t="s">
        <v>237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126</v>
      </c>
      <c r="C296" t="s">
        <v>247</v>
      </c>
      <c r="D296">
        <v>1090000</v>
      </c>
      <c r="E296" t="s">
        <v>123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119</v>
      </c>
      <c r="C297" t="s">
        <v>337</v>
      </c>
      <c r="D297">
        <v>1240000</v>
      </c>
      <c r="E297" t="s">
        <v>130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238</v>
      </c>
      <c r="D298">
        <v>1310000</v>
      </c>
      <c r="E298" t="s">
        <v>111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121</v>
      </c>
      <c r="C299" t="s">
        <v>335</v>
      </c>
      <c r="D299">
        <v>1340000</v>
      </c>
      <c r="E299" t="s">
        <v>125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239</v>
      </c>
      <c r="D300">
        <v>1110000</v>
      </c>
      <c r="E300" t="s">
        <v>149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338</v>
      </c>
      <c r="D301">
        <v>1990000</v>
      </c>
      <c r="E301" t="s">
        <v>152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116</v>
      </c>
      <c r="C302" t="s">
        <v>236</v>
      </c>
      <c r="D302">
        <v>2040000</v>
      </c>
      <c r="E302" t="s">
        <v>150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339</v>
      </c>
      <c r="D303">
        <v>1310000</v>
      </c>
      <c r="E303" t="s">
        <v>111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116</v>
      </c>
      <c r="C304" t="s">
        <v>235</v>
      </c>
      <c r="D304">
        <v>2040000</v>
      </c>
      <c r="E304" t="s">
        <v>150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340</v>
      </c>
      <c r="D305">
        <v>1990000</v>
      </c>
      <c r="E305" t="s">
        <v>152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131</v>
      </c>
      <c r="C306" t="s">
        <v>234</v>
      </c>
      <c r="D306">
        <v>1300000</v>
      </c>
      <c r="E306" t="s">
        <v>237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122</v>
      </c>
      <c r="C307" t="s">
        <v>341</v>
      </c>
      <c r="D307">
        <v>1310000</v>
      </c>
      <c r="E307" t="s">
        <v>111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120</v>
      </c>
      <c r="C308" t="s">
        <v>233</v>
      </c>
      <c r="D308">
        <v>2030000</v>
      </c>
      <c r="E308" t="s">
        <v>147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128</v>
      </c>
      <c r="C309" t="s">
        <v>331</v>
      </c>
      <c r="D309">
        <v>1340000</v>
      </c>
      <c r="E309" t="s">
        <v>125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128</v>
      </c>
      <c r="C310" t="s">
        <v>230</v>
      </c>
      <c r="D310">
        <v>1300000</v>
      </c>
      <c r="E310" t="s">
        <v>237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171</v>
      </c>
      <c r="C311" t="s">
        <v>342</v>
      </c>
      <c r="D311">
        <v>1190000</v>
      </c>
      <c r="E311" t="s">
        <v>209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172</v>
      </c>
      <c r="C312" t="s">
        <v>231</v>
      </c>
      <c r="D312">
        <v>1480000</v>
      </c>
      <c r="E312" t="s">
        <v>113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122</v>
      </c>
      <c r="C313" t="s">
        <v>343</v>
      </c>
      <c r="D313">
        <v>1310000</v>
      </c>
      <c r="E313" t="s">
        <v>111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273</v>
      </c>
      <c r="D314">
        <v>2010000</v>
      </c>
      <c r="E314" t="s">
        <v>151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142</v>
      </c>
      <c r="D316">
        <v>1540000</v>
      </c>
      <c r="E316" t="s">
        <v>127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118</v>
      </c>
      <c r="C317" t="s">
        <v>137</v>
      </c>
      <c r="D317">
        <v>1780000</v>
      </c>
      <c r="E317" t="s">
        <v>132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139</v>
      </c>
      <c r="C318" t="s">
        <v>144</v>
      </c>
      <c r="D318">
        <v>1810000</v>
      </c>
      <c r="E318" t="s">
        <v>140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116</v>
      </c>
      <c r="C319" t="s">
        <v>138</v>
      </c>
      <c r="D319">
        <v>1240000</v>
      </c>
      <c r="E319" t="s">
        <v>130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122</v>
      </c>
      <c r="C320" t="s">
        <v>143</v>
      </c>
      <c r="D320">
        <v>1460000</v>
      </c>
      <c r="E320" t="s">
        <v>110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145</v>
      </c>
      <c r="D321">
        <v>890000</v>
      </c>
      <c r="E321" t="s">
        <v>141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4" bestFit="1" customWidth="1"/>
  </cols>
  <sheetData>
    <row r="1" spans="1:13" ht="45.75" x14ac:dyDescent="0.3">
      <c r="A1" s="14" t="s">
        <v>25</v>
      </c>
      <c r="C1" s="17" t="s">
        <v>46</v>
      </c>
      <c r="J1" s="42" t="s">
        <v>89</v>
      </c>
      <c r="K1" s="42" t="s">
        <v>90</v>
      </c>
      <c r="L1" s="42" t="s">
        <v>91</v>
      </c>
    </row>
    <row r="2" spans="1:13" ht="15.75" thickBot="1" x14ac:dyDescent="0.3">
      <c r="A2" s="15">
        <v>42567</v>
      </c>
      <c r="B2" s="4"/>
      <c r="C2" s="102">
        <v>50</v>
      </c>
      <c r="F2" t="s">
        <v>62</v>
      </c>
      <c r="J2" s="42" t="s">
        <v>89</v>
      </c>
      <c r="K2" s="42" t="s">
        <v>90</v>
      </c>
      <c r="L2" s="42" t="s">
        <v>91</v>
      </c>
    </row>
    <row r="3" spans="1:13" x14ac:dyDescent="0.25">
      <c r="F3" t="s">
        <v>63</v>
      </c>
      <c r="J3" s="43" t="s">
        <v>92</v>
      </c>
      <c r="K3" s="44">
        <v>2.7052</v>
      </c>
      <c r="L3" s="44">
        <v>2.7349999999999999</v>
      </c>
      <c r="M3" s="94">
        <f t="shared" ref="M3:M14" si="0">AVERAGE(K3:L3)</f>
        <v>2.7201</v>
      </c>
    </row>
    <row r="4" spans="1:13" x14ac:dyDescent="0.25">
      <c r="F4" t="s">
        <v>64</v>
      </c>
      <c r="J4" s="43" t="s">
        <v>93</v>
      </c>
      <c r="K4" s="44">
        <v>3.0830000000000002</v>
      </c>
      <c r="L4" s="44">
        <v>3.097</v>
      </c>
      <c r="M4" s="94">
        <f t="shared" si="0"/>
        <v>3.09</v>
      </c>
    </row>
    <row r="5" spans="1:13" x14ac:dyDescent="0.25">
      <c r="J5" s="43" t="s">
        <v>94</v>
      </c>
      <c r="K5" s="44">
        <v>3.3136000000000001</v>
      </c>
      <c r="L5" s="44">
        <v>3.3256999999999999</v>
      </c>
      <c r="M5" s="94">
        <f t="shared" si="0"/>
        <v>3.3196500000000002</v>
      </c>
    </row>
    <row r="6" spans="1:13" x14ac:dyDescent="0.25">
      <c r="J6" s="43" t="s">
        <v>95</v>
      </c>
      <c r="K6" s="44">
        <v>4.2778999999999998</v>
      </c>
      <c r="L6" s="44">
        <v>4.2961</v>
      </c>
      <c r="M6" s="94">
        <f t="shared" si="0"/>
        <v>4.2869999999999999</v>
      </c>
    </row>
    <row r="7" spans="1:13" x14ac:dyDescent="0.25">
      <c r="J7" s="43" t="s">
        <v>96</v>
      </c>
      <c r="K7" s="44">
        <v>4.7865000000000002</v>
      </c>
      <c r="L7" s="44">
        <v>4.8048000000000002</v>
      </c>
      <c r="M7" s="94">
        <f t="shared" si="0"/>
        <v>4.7956500000000002</v>
      </c>
    </row>
    <row r="8" spans="1:13" x14ac:dyDescent="0.25">
      <c r="J8" s="43" t="s">
        <v>97</v>
      </c>
      <c r="K8" s="44">
        <v>5.3155000000000001</v>
      </c>
      <c r="L8" s="44">
        <v>5.3277000000000001</v>
      </c>
      <c r="M8" s="94">
        <f t="shared" si="0"/>
        <v>5.3216000000000001</v>
      </c>
    </row>
    <row r="9" spans="1:13" x14ac:dyDescent="0.25">
      <c r="J9" s="43" t="s">
        <v>98</v>
      </c>
      <c r="K9" s="44">
        <v>5.8117000000000001</v>
      </c>
      <c r="L9" s="44">
        <v>5.8300999999999998</v>
      </c>
      <c r="M9" s="94">
        <f t="shared" si="0"/>
        <v>5.8209</v>
      </c>
    </row>
    <row r="10" spans="1:13" x14ac:dyDescent="0.25">
      <c r="J10" s="43" t="s">
        <v>99</v>
      </c>
      <c r="K10" s="44">
        <v>5.8783000000000003</v>
      </c>
      <c r="L10" s="44">
        <v>5.8903999999999996</v>
      </c>
      <c r="M10" s="94">
        <f t="shared" si="0"/>
        <v>5.8843499999999995</v>
      </c>
    </row>
    <row r="11" spans="1:13" x14ac:dyDescent="0.25">
      <c r="J11" s="43" t="s">
        <v>100</v>
      </c>
      <c r="K11" s="44">
        <v>6.3068</v>
      </c>
      <c r="L11" s="44">
        <v>6.3308999999999997</v>
      </c>
      <c r="M11" s="94">
        <f t="shared" si="0"/>
        <v>6.3188499999999994</v>
      </c>
    </row>
    <row r="12" spans="1:13" x14ac:dyDescent="0.25">
      <c r="J12" s="43" t="s">
        <v>101</v>
      </c>
      <c r="K12" s="44">
        <v>7.8349000000000002</v>
      </c>
      <c r="L12" s="44">
        <v>7.8468999999999998</v>
      </c>
      <c r="M12" s="94">
        <f t="shared" si="0"/>
        <v>7.8408999999999995</v>
      </c>
    </row>
    <row r="13" spans="1:13" x14ac:dyDescent="0.25">
      <c r="J13" s="43" t="s">
        <v>102</v>
      </c>
      <c r="K13" s="44">
        <v>10.373799999999999</v>
      </c>
      <c r="L13" s="44">
        <v>10.38</v>
      </c>
      <c r="M13" s="94">
        <f t="shared" si="0"/>
        <v>10.376899999999999</v>
      </c>
    </row>
    <row r="14" spans="1:13" x14ac:dyDescent="0.25">
      <c r="J14" s="43" t="s">
        <v>103</v>
      </c>
      <c r="K14" s="44">
        <v>10.8954</v>
      </c>
      <c r="L14" s="44">
        <v>10.913500000000001</v>
      </c>
      <c r="M14" s="94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156</v>
      </c>
      <c r="K18" s="44"/>
      <c r="L18" s="44"/>
      <c r="M18" s="94" t="str">
        <f>"""C:\Program Files (x86)\AstroGrep\AstroGrep.exe"""</f>
        <v>"C:\Program Files (x86)\AstroGrep\AstroGrep.exe"</v>
      </c>
    </row>
    <row r="19" spans="10:13" x14ac:dyDescent="0.25">
      <c r="J19" s="43" t="s">
        <v>157</v>
      </c>
      <c r="K19" s="44"/>
      <c r="L19" s="44"/>
      <c r="M19" s="94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158</v>
      </c>
      <c r="M20" s="94" t="s">
        <v>159</v>
      </c>
    </row>
    <row r="21" spans="10:13" x14ac:dyDescent="0.25">
      <c r="J21" s="25" t="s">
        <v>162</v>
      </c>
      <c r="K21" s="25" t="s">
        <v>163</v>
      </c>
      <c r="M21" s="94" t="s">
        <v>163</v>
      </c>
    </row>
    <row r="22" spans="10:13" x14ac:dyDescent="0.25">
      <c r="J22" s="25" t="s">
        <v>164</v>
      </c>
      <c r="K22" s="25" t="s">
        <v>165</v>
      </c>
      <c r="M22" s="94" t="s">
        <v>165</v>
      </c>
    </row>
    <row r="23" spans="10:13" x14ac:dyDescent="0.25">
      <c r="J23" s="39" t="s">
        <v>167</v>
      </c>
      <c r="K23" s="25"/>
      <c r="M23" s="94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2016-07-18T18:24:36Z</dcterms:modified>
</cp:coreProperties>
</file>