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Enforcements!$A$6:$V$58</definedName>
    <definedName name="_xlnm._FilterDatabase" localSheetId="2" hidden="1">'Missing Trips'!$A$2:$G$2</definedName>
    <definedName name="_xlnm._FilterDatabase" localSheetId="0" hidden="1">'Train Runs'!$A$12:$AD$160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6" i="1" l="1"/>
  <c r="X127" i="1"/>
  <c r="X128" i="1"/>
  <c r="X129" i="1"/>
  <c r="X130" i="1"/>
  <c r="X131" i="1"/>
  <c r="X132" i="1"/>
  <c r="P44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AA16" i="1" s="1"/>
  <c r="W16" i="1" s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P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P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AA32" i="1" s="1"/>
  <c r="W32" i="1" s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A36" i="1" s="1"/>
  <c r="W36" i="1" s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A40" i="1" s="1"/>
  <c r="W40" i="1" s="1"/>
  <c r="AB40" i="1"/>
  <c r="AC40" i="1"/>
  <c r="AD40" i="1"/>
  <c r="AE40" i="1"/>
  <c r="AF40" i="1"/>
  <c r="AG40" i="1"/>
  <c r="K41" i="1"/>
  <c r="L41" i="1"/>
  <c r="M41" i="1"/>
  <c r="P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P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A52" i="1" s="1"/>
  <c r="W52" i="1" s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A60" i="1" s="1"/>
  <c r="W60" i="1" s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A65" i="1" s="1"/>
  <c r="W65" i="1" s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A69" i="1" s="1"/>
  <c r="W69" i="1" s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A72" i="1"/>
  <c r="W72" i="1" s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U80" i="1" s="1"/>
  <c r="S80" i="1" s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A81" i="1" s="1"/>
  <c r="W81" i="1" s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A93" i="1" s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P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A104" i="1" s="1"/>
  <c r="W104" i="1" s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A107" i="1" s="1"/>
  <c r="W107" i="1" s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A109" i="1" s="1"/>
  <c r="W109" i="1" s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/>
  <c r="T113" i="1"/>
  <c r="V113" i="1"/>
  <c r="X113" i="1"/>
  <c r="Y113" i="1"/>
  <c r="Z113" i="1"/>
  <c r="AA113" i="1" s="1"/>
  <c r="W113" i="1" s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A117" i="1" s="1"/>
  <c r="W117" i="1" s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A121" i="1" s="1"/>
  <c r="W121" i="1" s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P126" i="1" s="1"/>
  <c r="T126" i="1"/>
  <c r="V126" i="1"/>
  <c r="Y126" i="1"/>
  <c r="Z126" i="1"/>
  <c r="AA126" i="1" s="1"/>
  <c r="W126" i="1" s="1"/>
  <c r="AB126" i="1"/>
  <c r="AC126" i="1"/>
  <c r="AD126" i="1"/>
  <c r="AE126" i="1"/>
  <c r="AF126" i="1"/>
  <c r="AG126" i="1"/>
  <c r="K127" i="1"/>
  <c r="L127" i="1"/>
  <c r="M127" i="1"/>
  <c r="P127" i="1" s="1"/>
  <c r="T127" i="1"/>
  <c r="V127" i="1"/>
  <c r="Y127" i="1"/>
  <c r="Z127" i="1"/>
  <c r="AB127" i="1"/>
  <c r="AC127" i="1"/>
  <c r="AD127" i="1"/>
  <c r="AE127" i="1"/>
  <c r="AF127" i="1"/>
  <c r="AG127" i="1"/>
  <c r="K128" i="1"/>
  <c r="L128" i="1"/>
  <c r="M128" i="1"/>
  <c r="T128" i="1"/>
  <c r="V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/>
  <c r="T129" i="1"/>
  <c r="V129" i="1"/>
  <c r="Y129" i="1"/>
  <c r="Z129" i="1"/>
  <c r="AB129" i="1"/>
  <c r="AC129" i="1"/>
  <c r="AD129" i="1"/>
  <c r="AE129" i="1"/>
  <c r="AF129" i="1"/>
  <c r="AG129" i="1"/>
  <c r="K130" i="1"/>
  <c r="L130" i="1"/>
  <c r="M130" i="1"/>
  <c r="P130" i="1" s="1"/>
  <c r="T130" i="1"/>
  <c r="V130" i="1"/>
  <c r="Y130" i="1"/>
  <c r="Z130" i="1"/>
  <c r="AA130" i="1"/>
  <c r="W130" i="1" s="1"/>
  <c r="AB130" i="1"/>
  <c r="AC130" i="1"/>
  <c r="AD130" i="1"/>
  <c r="AE130" i="1"/>
  <c r="AF130" i="1"/>
  <c r="AG130" i="1"/>
  <c r="K131" i="1"/>
  <c r="L131" i="1"/>
  <c r="M131" i="1"/>
  <c r="T131" i="1"/>
  <c r="V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Y132" i="1"/>
  <c r="Z132" i="1"/>
  <c r="AB132" i="1"/>
  <c r="AC132" i="1"/>
  <c r="AD132" i="1"/>
  <c r="AE132" i="1"/>
  <c r="AF132" i="1"/>
  <c r="AG132" i="1"/>
  <c r="K133" i="1"/>
  <c r="L133" i="1"/>
  <c r="M133" i="1"/>
  <c r="P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A139" i="1" s="1"/>
  <c r="W139" i="1" s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U150" i="1" s="1"/>
  <c r="S150" i="1" s="1"/>
  <c r="Z150" i="1"/>
  <c r="AB150" i="1"/>
  <c r="AC150" i="1"/>
  <c r="AD150" i="1"/>
  <c r="AE150" i="1"/>
  <c r="AF150" i="1"/>
  <c r="AG150" i="1"/>
  <c r="K151" i="1"/>
  <c r="L151" i="1"/>
  <c r="M151" i="1"/>
  <c r="T151" i="1"/>
  <c r="V151" i="1"/>
  <c r="X151" i="1"/>
  <c r="Y151" i="1"/>
  <c r="Z151" i="1"/>
  <c r="AA151" i="1" s="1"/>
  <c r="W151" i="1" s="1"/>
  <c r="AB151" i="1"/>
  <c r="AC151" i="1"/>
  <c r="AD151" i="1"/>
  <c r="AE151" i="1"/>
  <c r="AF151" i="1"/>
  <c r="AG151" i="1"/>
  <c r="K152" i="1"/>
  <c r="L152" i="1"/>
  <c r="M152" i="1"/>
  <c r="P151" i="1" s="1"/>
  <c r="T152" i="1"/>
  <c r="V152" i="1"/>
  <c r="X152" i="1"/>
  <c r="Y152" i="1"/>
  <c r="AA152" i="1" s="1"/>
  <c r="W152" i="1" s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/>
  <c r="T155" i="1"/>
  <c r="V155" i="1"/>
  <c r="X155" i="1"/>
  <c r="Y155" i="1"/>
  <c r="Z155" i="1"/>
  <c r="AA155" i="1" s="1"/>
  <c r="W155" i="1" s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N158" i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U128" i="1" l="1"/>
  <c r="AA160" i="1"/>
  <c r="W160" i="1" s="1"/>
  <c r="U158" i="1"/>
  <c r="S158" i="1" s="1"/>
  <c r="U145" i="1"/>
  <c r="S145" i="1" s="1"/>
  <c r="AA136" i="1"/>
  <c r="W136" i="1" s="1"/>
  <c r="AA146" i="1"/>
  <c r="W146" i="1" s="1"/>
  <c r="AA135" i="1"/>
  <c r="W135" i="1" s="1"/>
  <c r="AA125" i="1"/>
  <c r="W125" i="1" s="1"/>
  <c r="AA118" i="1"/>
  <c r="W118" i="1" s="1"/>
  <c r="U116" i="1"/>
  <c r="S116" i="1" s="1"/>
  <c r="U103" i="1"/>
  <c r="S103" i="1" s="1"/>
  <c r="AA97" i="1"/>
  <c r="W97" i="1" s="1"/>
  <c r="AA94" i="1"/>
  <c r="W94" i="1" s="1"/>
  <c r="U92" i="1"/>
  <c r="S92" i="1" s="1"/>
  <c r="AA88" i="1"/>
  <c r="W88" i="1" s="1"/>
  <c r="AA68" i="1"/>
  <c r="W68" i="1" s="1"/>
  <c r="AA64" i="1"/>
  <c r="W64" i="1" s="1"/>
  <c r="U62" i="1"/>
  <c r="S62" i="1" s="1"/>
  <c r="AA110" i="1"/>
  <c r="W110" i="1" s="1"/>
  <c r="U108" i="1"/>
  <c r="S108" i="1" s="1"/>
  <c r="U134" i="1"/>
  <c r="S134" i="1" s="1"/>
  <c r="AA89" i="1"/>
  <c r="W89" i="1" s="1"/>
  <c r="U87" i="1"/>
  <c r="S87" i="1" s="1"/>
  <c r="U156" i="1"/>
  <c r="S156" i="1" s="1"/>
  <c r="AA141" i="1"/>
  <c r="W141" i="1" s="1"/>
  <c r="AA138" i="1"/>
  <c r="W138" i="1" s="1"/>
  <c r="AA124" i="1"/>
  <c r="W124" i="1" s="1"/>
  <c r="AA120" i="1"/>
  <c r="W120" i="1" s="1"/>
  <c r="AA99" i="1"/>
  <c r="W99" i="1" s="1"/>
  <c r="AA96" i="1"/>
  <c r="W96" i="1" s="1"/>
  <c r="AA85" i="1"/>
  <c r="W85" i="1" s="1"/>
  <c r="AA78" i="1"/>
  <c r="W78" i="1" s="1"/>
  <c r="AA76" i="1"/>
  <c r="W76" i="1" s="1"/>
  <c r="AA59" i="1"/>
  <c r="W59" i="1" s="1"/>
  <c r="AA55" i="1"/>
  <c r="W55" i="1" s="1"/>
  <c r="AA51" i="1"/>
  <c r="W51" i="1" s="1"/>
  <c r="AA37" i="1"/>
  <c r="W37" i="1" s="1"/>
  <c r="AA35" i="1"/>
  <c r="W35" i="1" s="1"/>
  <c r="AA30" i="1"/>
  <c r="W30" i="1" s="1"/>
  <c r="AA28" i="1"/>
  <c r="W28" i="1" s="1"/>
  <c r="AA21" i="1"/>
  <c r="W21" i="1" s="1"/>
  <c r="AA15" i="1"/>
  <c r="W15" i="1" s="1"/>
  <c r="AA159" i="1"/>
  <c r="W159" i="1" s="1"/>
  <c r="U153" i="1"/>
  <c r="S153" i="1" s="1"/>
  <c r="AA144" i="1"/>
  <c r="W144" i="1" s="1"/>
  <c r="U142" i="1"/>
  <c r="S142" i="1" s="1"/>
  <c r="U111" i="1"/>
  <c r="S111" i="1" s="1"/>
  <c r="AA102" i="1"/>
  <c r="W102" i="1" s="1"/>
  <c r="U100" i="1"/>
  <c r="S100" i="1" s="1"/>
  <c r="AA24" i="1"/>
  <c r="W24" i="1" s="1"/>
  <c r="AA157" i="1"/>
  <c r="W157" i="1" s="1"/>
  <c r="AA154" i="1"/>
  <c r="W154" i="1" s="1"/>
  <c r="AA147" i="1"/>
  <c r="W147" i="1" s="1"/>
  <c r="AA143" i="1"/>
  <c r="W143" i="1" s="1"/>
  <c r="U137" i="1"/>
  <c r="S137" i="1" s="1"/>
  <c r="AA133" i="1"/>
  <c r="W133" i="1" s="1"/>
  <c r="AA131" i="1"/>
  <c r="W131" i="1" s="1"/>
  <c r="U123" i="1"/>
  <c r="S123" i="1" s="1"/>
  <c r="U119" i="1"/>
  <c r="S119" i="1" s="1"/>
  <c r="AA115" i="1"/>
  <c r="W115" i="1" s="1"/>
  <c r="AA112" i="1"/>
  <c r="W112" i="1" s="1"/>
  <c r="AA105" i="1"/>
  <c r="W105" i="1" s="1"/>
  <c r="AA101" i="1"/>
  <c r="W101" i="1" s="1"/>
  <c r="U95" i="1"/>
  <c r="AA91" i="1"/>
  <c r="W91" i="1" s="1"/>
  <c r="AA86" i="1"/>
  <c r="W86" i="1" s="1"/>
  <c r="U84" i="1"/>
  <c r="S84" i="1" s="1"/>
  <c r="AA73" i="1"/>
  <c r="W73" i="1" s="1"/>
  <c r="AA63" i="1"/>
  <c r="W63" i="1" s="1"/>
  <c r="AA61" i="1"/>
  <c r="W61" i="1" s="1"/>
  <c r="U58" i="1"/>
  <c r="S58" i="1" s="1"/>
  <c r="U54" i="1"/>
  <c r="S54" i="1" s="1"/>
  <c r="U50" i="1"/>
  <c r="S50" i="1" s="1"/>
  <c r="AA46" i="1"/>
  <c r="W46" i="1" s="1"/>
  <c r="AA44" i="1"/>
  <c r="W44" i="1" s="1"/>
  <c r="AA39" i="1"/>
  <c r="W39" i="1" s="1"/>
  <c r="U38" i="1"/>
  <c r="S38" i="1" s="1"/>
  <c r="AA25" i="1"/>
  <c r="W25" i="1" s="1"/>
  <c r="AA20" i="1"/>
  <c r="W20" i="1" s="1"/>
  <c r="U148" i="1"/>
  <c r="S148" i="1" s="1"/>
  <c r="AA158" i="1"/>
  <c r="W158" i="1" s="1"/>
  <c r="U157" i="1"/>
  <c r="S157" i="1" s="1"/>
  <c r="U155" i="1"/>
  <c r="S155" i="1" s="1"/>
  <c r="U154" i="1"/>
  <c r="S154" i="1" s="1"/>
  <c r="U152" i="1"/>
  <c r="AA148" i="1"/>
  <c r="W148" i="1" s="1"/>
  <c r="AA145" i="1"/>
  <c r="W145" i="1" s="1"/>
  <c r="AA142" i="1"/>
  <c r="W142" i="1" s="1"/>
  <c r="U141" i="1"/>
  <c r="S141" i="1" s="1"/>
  <c r="U139" i="1"/>
  <c r="S139" i="1" s="1"/>
  <c r="U138" i="1"/>
  <c r="S138" i="1" s="1"/>
  <c r="U136" i="1"/>
  <c r="S136" i="1" s="1"/>
  <c r="AA132" i="1"/>
  <c r="W132" i="1" s="1"/>
  <c r="U130" i="1"/>
  <c r="AA127" i="1"/>
  <c r="W127" i="1" s="1"/>
  <c r="U125" i="1"/>
  <c r="S125" i="1" s="1"/>
  <c r="U124" i="1"/>
  <c r="S124" i="1" s="1"/>
  <c r="AA122" i="1"/>
  <c r="W122" i="1" s="1"/>
  <c r="U122" i="1"/>
  <c r="S122" i="1" s="1"/>
  <c r="AA119" i="1"/>
  <c r="W119" i="1" s="1"/>
  <c r="AA116" i="1"/>
  <c r="W116" i="1" s="1"/>
  <c r="U115" i="1"/>
  <c r="S115" i="1" s="1"/>
  <c r="U113" i="1"/>
  <c r="S113" i="1" s="1"/>
  <c r="U112" i="1"/>
  <c r="S112" i="1" s="1"/>
  <c r="U110" i="1"/>
  <c r="S110" i="1" s="1"/>
  <c r="AA106" i="1"/>
  <c r="W106" i="1" s="1"/>
  <c r="AA103" i="1"/>
  <c r="W103" i="1" s="1"/>
  <c r="AA100" i="1"/>
  <c r="W100" i="1" s="1"/>
  <c r="U99" i="1"/>
  <c r="S99" i="1" s="1"/>
  <c r="U97" i="1"/>
  <c r="S97" i="1" s="1"/>
  <c r="U96" i="1"/>
  <c r="U94" i="1"/>
  <c r="S94" i="1" s="1"/>
  <c r="AA90" i="1"/>
  <c r="W90" i="1" s="1"/>
  <c r="AA87" i="1"/>
  <c r="W87" i="1" s="1"/>
  <c r="AA84" i="1"/>
  <c r="W84" i="1" s="1"/>
  <c r="U83" i="1"/>
  <c r="S83" i="1" s="1"/>
  <c r="AA79" i="1"/>
  <c r="W79" i="1" s="1"/>
  <c r="AA75" i="1"/>
  <c r="W75" i="1" s="1"/>
  <c r="U74" i="1"/>
  <c r="S74" i="1" s="1"/>
  <c r="U72" i="1"/>
  <c r="S72" i="1" s="1"/>
  <c r="AA67" i="1"/>
  <c r="W67" i="1" s="1"/>
  <c r="U66" i="1"/>
  <c r="S66" i="1" s="1"/>
  <c r="U64" i="1"/>
  <c r="S64" i="1" s="1"/>
  <c r="U60" i="1"/>
  <c r="S60" i="1" s="1"/>
  <c r="AA57" i="1"/>
  <c r="W57" i="1" s="1"/>
  <c r="U57" i="1"/>
  <c r="S57" i="1" s="1"/>
  <c r="AA49" i="1"/>
  <c r="W49" i="1" s="1"/>
  <c r="U49" i="1"/>
  <c r="S49" i="1" s="1"/>
  <c r="AA45" i="1"/>
  <c r="W45" i="1" s="1"/>
  <c r="U45" i="1"/>
  <c r="S45" i="1" s="1"/>
  <c r="U36" i="1"/>
  <c r="S36" i="1" s="1"/>
  <c r="U30" i="1"/>
  <c r="S30" i="1" s="1"/>
  <c r="U21" i="1"/>
  <c r="S21" i="1" s="1"/>
  <c r="U143" i="1"/>
  <c r="S143" i="1" s="1"/>
  <c r="U140" i="1"/>
  <c r="S140" i="1" s="1"/>
  <c r="AA128" i="1"/>
  <c r="W128" i="1" s="1"/>
  <c r="U126" i="1"/>
  <c r="S126" i="1" s="1"/>
  <c r="U117" i="1"/>
  <c r="S117" i="1" s="1"/>
  <c r="U114" i="1"/>
  <c r="S114" i="1" s="1"/>
  <c r="U101" i="1"/>
  <c r="S101" i="1" s="1"/>
  <c r="U98" i="1"/>
  <c r="S98" i="1" s="1"/>
  <c r="U85" i="1"/>
  <c r="S85" i="1" s="1"/>
  <c r="U82" i="1"/>
  <c r="S82" i="1" s="1"/>
  <c r="AA80" i="1"/>
  <c r="W80" i="1" s="1"/>
  <c r="U76" i="1"/>
  <c r="S76" i="1" s="1"/>
  <c r="U73" i="1"/>
  <c r="S73" i="1" s="1"/>
  <c r="U65" i="1"/>
  <c r="S65" i="1" s="1"/>
  <c r="U61" i="1"/>
  <c r="S61" i="1" s="1"/>
  <c r="U52" i="1"/>
  <c r="S52" i="1" s="1"/>
  <c r="U46" i="1"/>
  <c r="S46" i="1" s="1"/>
  <c r="U37" i="1"/>
  <c r="S37" i="1" s="1"/>
  <c r="AA31" i="1"/>
  <c r="W31" i="1" s="1"/>
  <c r="AA27" i="1"/>
  <c r="W27" i="1" s="1"/>
  <c r="U26" i="1"/>
  <c r="S26" i="1" s="1"/>
  <c r="U24" i="1"/>
  <c r="S24" i="1" s="1"/>
  <c r="AA19" i="1"/>
  <c r="W19" i="1" s="1"/>
  <c r="U18" i="1"/>
  <c r="S18" i="1" s="1"/>
  <c r="U16" i="1"/>
  <c r="S16" i="1" s="1"/>
  <c r="U159" i="1"/>
  <c r="S159" i="1" s="1"/>
  <c r="AA156" i="1"/>
  <c r="W156" i="1" s="1"/>
  <c r="AA153" i="1"/>
  <c r="W153" i="1" s="1"/>
  <c r="AA150" i="1"/>
  <c r="W150" i="1" s="1"/>
  <c r="U149" i="1"/>
  <c r="S149" i="1" s="1"/>
  <c r="U147" i="1"/>
  <c r="S147" i="1" s="1"/>
  <c r="U146" i="1"/>
  <c r="S146" i="1" s="1"/>
  <c r="U144" i="1"/>
  <c r="S144" i="1" s="1"/>
  <c r="AA140" i="1"/>
  <c r="W140" i="1" s="1"/>
  <c r="AA137" i="1"/>
  <c r="W137" i="1" s="1"/>
  <c r="AA134" i="1"/>
  <c r="W134" i="1" s="1"/>
  <c r="U133" i="1"/>
  <c r="S133" i="1" s="1"/>
  <c r="AA129" i="1"/>
  <c r="W129" i="1" s="1"/>
  <c r="AA123" i="1"/>
  <c r="W123" i="1" s="1"/>
  <c r="U120" i="1"/>
  <c r="S120" i="1" s="1"/>
  <c r="U118" i="1"/>
  <c r="S118" i="1" s="1"/>
  <c r="AA114" i="1"/>
  <c r="W114" i="1" s="1"/>
  <c r="AA111" i="1"/>
  <c r="W111" i="1" s="1"/>
  <c r="AA108" i="1"/>
  <c r="W108" i="1" s="1"/>
  <c r="U107" i="1"/>
  <c r="S107" i="1" s="1"/>
  <c r="U105" i="1"/>
  <c r="S105" i="1" s="1"/>
  <c r="U104" i="1"/>
  <c r="S104" i="1" s="1"/>
  <c r="U102" i="1"/>
  <c r="S102" i="1" s="1"/>
  <c r="AA98" i="1"/>
  <c r="W98" i="1" s="1"/>
  <c r="AA95" i="1"/>
  <c r="W95" i="1" s="1"/>
  <c r="AA92" i="1"/>
  <c r="W92" i="1" s="1"/>
  <c r="U91" i="1"/>
  <c r="S91" i="1" s="1"/>
  <c r="U89" i="1"/>
  <c r="S89" i="1" s="1"/>
  <c r="U88" i="1"/>
  <c r="S88" i="1" s="1"/>
  <c r="U86" i="1"/>
  <c r="S86" i="1" s="1"/>
  <c r="AA82" i="1"/>
  <c r="W82" i="1" s="1"/>
  <c r="AA77" i="1"/>
  <c r="W77" i="1" s="1"/>
  <c r="U77" i="1"/>
  <c r="S77" i="1" s="1"/>
  <c r="AA71" i="1"/>
  <c r="W71" i="1" s="1"/>
  <c r="U70" i="1"/>
  <c r="S70" i="1" s="1"/>
  <c r="U68" i="1"/>
  <c r="S68" i="1" s="1"/>
  <c r="AA62" i="1"/>
  <c r="W62" i="1" s="1"/>
  <c r="AA53" i="1"/>
  <c r="W53" i="1" s="1"/>
  <c r="U53" i="1"/>
  <c r="S53" i="1" s="1"/>
  <c r="AA47" i="1"/>
  <c r="W47" i="1" s="1"/>
  <c r="AA43" i="1"/>
  <c r="W43" i="1" s="1"/>
  <c r="U42" i="1"/>
  <c r="U40" i="1"/>
  <c r="S40" i="1" s="1"/>
  <c r="U34" i="1"/>
  <c r="S34" i="1" s="1"/>
  <c r="U32" i="1"/>
  <c r="S32" i="1" s="1"/>
  <c r="U28" i="1"/>
  <c r="S28" i="1" s="1"/>
  <c r="U25" i="1"/>
  <c r="S25" i="1" s="1"/>
  <c r="AA17" i="1"/>
  <c r="W17" i="1" s="1"/>
  <c r="U17" i="1"/>
  <c r="S17" i="1" s="1"/>
  <c r="U151" i="1"/>
  <c r="S151" i="1" s="1"/>
  <c r="U135" i="1"/>
  <c r="S135" i="1" s="1"/>
  <c r="U132" i="1"/>
  <c r="S132" i="1" s="1"/>
  <c r="U121" i="1"/>
  <c r="S121" i="1" s="1"/>
  <c r="U109" i="1"/>
  <c r="S109" i="1" s="1"/>
  <c r="U106" i="1"/>
  <c r="S106" i="1" s="1"/>
  <c r="U93" i="1"/>
  <c r="S93" i="1" s="1"/>
  <c r="U90" i="1"/>
  <c r="S90" i="1" s="1"/>
  <c r="U78" i="1"/>
  <c r="S78" i="1" s="1"/>
  <c r="U69" i="1"/>
  <c r="S69" i="1" s="1"/>
  <c r="U56" i="1"/>
  <c r="S56" i="1" s="1"/>
  <c r="U48" i="1"/>
  <c r="S48" i="1" s="1"/>
  <c r="U44" i="1"/>
  <c r="S44" i="1" s="1"/>
  <c r="AA41" i="1"/>
  <c r="W41" i="1" s="1"/>
  <c r="U41" i="1"/>
  <c r="S41" i="1" s="1"/>
  <c r="AA33" i="1"/>
  <c r="W33" i="1" s="1"/>
  <c r="U33" i="1"/>
  <c r="S33" i="1" s="1"/>
  <c r="AA29" i="1"/>
  <c r="W29" i="1" s="1"/>
  <c r="U29" i="1"/>
  <c r="S29" i="1" s="1"/>
  <c r="AA23" i="1"/>
  <c r="W23" i="1" s="1"/>
  <c r="U22" i="1"/>
  <c r="S22" i="1" s="1"/>
  <c r="U20" i="1"/>
  <c r="S20" i="1" s="1"/>
  <c r="U131" i="1"/>
  <c r="U160" i="1"/>
  <c r="S160" i="1" s="1"/>
  <c r="U129" i="1"/>
  <c r="S129" i="1" s="1"/>
  <c r="U127" i="1"/>
  <c r="S127" i="1" s="1"/>
  <c r="U75" i="1"/>
  <c r="S75" i="1" s="1"/>
  <c r="AA70" i="1"/>
  <c r="W70" i="1" s="1"/>
  <c r="U59" i="1"/>
  <c r="S59" i="1" s="1"/>
  <c r="AA54" i="1"/>
  <c r="W54" i="1" s="1"/>
  <c r="U43" i="1"/>
  <c r="S43" i="1" s="1"/>
  <c r="AA38" i="1"/>
  <c r="W38" i="1" s="1"/>
  <c r="U27" i="1"/>
  <c r="S27" i="1" s="1"/>
  <c r="AA22" i="1"/>
  <c r="W22" i="1" s="1"/>
  <c r="U81" i="1"/>
  <c r="S81" i="1" s="1"/>
  <c r="U71" i="1"/>
  <c r="S71" i="1" s="1"/>
  <c r="AA66" i="1"/>
  <c r="W66" i="1" s="1"/>
  <c r="U55" i="1"/>
  <c r="S55" i="1" s="1"/>
  <c r="AA50" i="1"/>
  <c r="W50" i="1" s="1"/>
  <c r="U39" i="1"/>
  <c r="S39" i="1" s="1"/>
  <c r="AA34" i="1"/>
  <c r="W34" i="1" s="1"/>
  <c r="U23" i="1"/>
  <c r="S23" i="1" s="1"/>
  <c r="AA18" i="1"/>
  <c r="W18" i="1" s="1"/>
  <c r="U67" i="1"/>
  <c r="S67" i="1" s="1"/>
  <c r="U51" i="1"/>
  <c r="S51" i="1" s="1"/>
  <c r="U35" i="1"/>
  <c r="S35" i="1" s="1"/>
  <c r="U19" i="1"/>
  <c r="S19" i="1" s="1"/>
  <c r="U79" i="1"/>
  <c r="S79" i="1" s="1"/>
  <c r="AA74" i="1"/>
  <c r="W74" i="1" s="1"/>
  <c r="U63" i="1"/>
  <c r="S63" i="1" s="1"/>
  <c r="AA58" i="1"/>
  <c r="W58" i="1" s="1"/>
  <c r="U47" i="1"/>
  <c r="S47" i="1" s="1"/>
  <c r="AA42" i="1"/>
  <c r="W42" i="1" s="1"/>
  <c r="U31" i="1"/>
  <c r="S31" i="1" s="1"/>
  <c r="AA26" i="1"/>
  <c r="W26" i="1" s="1"/>
  <c r="U15" i="1"/>
  <c r="S15" i="1" s="1"/>
  <c r="L28" i="3"/>
  <c r="S28" i="3"/>
  <c r="R28" i="3" s="1"/>
  <c r="T28" i="3"/>
  <c r="U28" i="3"/>
  <c r="V28" i="3"/>
  <c r="L15" i="3"/>
  <c r="S15" i="3"/>
  <c r="R15" i="3" s="1"/>
  <c r="T15" i="3"/>
  <c r="U15" i="3"/>
  <c r="V15" i="3"/>
  <c r="L13" i="3"/>
  <c r="S13" i="3"/>
  <c r="R13" i="3" s="1"/>
  <c r="T13" i="3"/>
  <c r="U13" i="3"/>
  <c r="V13" i="3"/>
  <c r="L46" i="3"/>
  <c r="S46" i="3"/>
  <c r="R46" i="3" s="1"/>
  <c r="T46" i="3"/>
  <c r="U46" i="3"/>
  <c r="V46" i="3"/>
  <c r="L47" i="3"/>
  <c r="S47" i="3"/>
  <c r="R47" i="3" s="1"/>
  <c r="T47" i="3"/>
  <c r="U47" i="3"/>
  <c r="V47" i="3"/>
  <c r="L29" i="3"/>
  <c r="S29" i="3"/>
  <c r="R29" i="3" s="1"/>
  <c r="T29" i="3"/>
  <c r="U29" i="3"/>
  <c r="V29" i="3"/>
  <c r="L30" i="3"/>
  <c r="S30" i="3"/>
  <c r="R30" i="3" s="1"/>
  <c r="T30" i="3"/>
  <c r="U30" i="3"/>
  <c r="V30" i="3"/>
  <c r="L20" i="3"/>
  <c r="S20" i="3"/>
  <c r="R20" i="3" s="1"/>
  <c r="T20" i="3"/>
  <c r="U20" i="3"/>
  <c r="V20" i="3"/>
  <c r="L21" i="3"/>
  <c r="S21" i="3"/>
  <c r="R21" i="3" s="1"/>
  <c r="T21" i="3"/>
  <c r="U21" i="3"/>
  <c r="V21" i="3"/>
  <c r="L48" i="3"/>
  <c r="S48" i="3"/>
  <c r="R48" i="3" s="1"/>
  <c r="T48" i="3"/>
  <c r="U48" i="3"/>
  <c r="V48" i="3"/>
  <c r="L49" i="3"/>
  <c r="S49" i="3"/>
  <c r="R49" i="3" s="1"/>
  <c r="T49" i="3"/>
  <c r="U49" i="3"/>
  <c r="V49" i="3"/>
  <c r="L31" i="3"/>
  <c r="S31" i="3"/>
  <c r="R31" i="3" s="1"/>
  <c r="T31" i="3"/>
  <c r="U31" i="3"/>
  <c r="V31" i="3"/>
  <c r="L22" i="3"/>
  <c r="S22" i="3"/>
  <c r="R22" i="3" s="1"/>
  <c r="T22" i="3"/>
  <c r="U22" i="3"/>
  <c r="V22" i="3"/>
  <c r="L50" i="3"/>
  <c r="S50" i="3"/>
  <c r="R50" i="3" s="1"/>
  <c r="T50" i="3"/>
  <c r="U50" i="3"/>
  <c r="V50" i="3"/>
  <c r="L32" i="3"/>
  <c r="S32" i="3"/>
  <c r="R32" i="3" s="1"/>
  <c r="T32" i="3"/>
  <c r="U32" i="3"/>
  <c r="V32" i="3"/>
  <c r="L33" i="3"/>
  <c r="S33" i="3"/>
  <c r="R33" i="3" s="1"/>
  <c r="T33" i="3"/>
  <c r="U33" i="3"/>
  <c r="V33" i="3"/>
  <c r="L27" i="3"/>
  <c r="S27" i="3"/>
  <c r="R27" i="3" s="1"/>
  <c r="T27" i="3"/>
  <c r="U27" i="3"/>
  <c r="V27" i="3"/>
  <c r="L34" i="3"/>
  <c r="S34" i="3"/>
  <c r="R34" i="3" s="1"/>
  <c r="T34" i="3"/>
  <c r="U34" i="3"/>
  <c r="V34" i="3"/>
  <c r="L11" i="3"/>
  <c r="S11" i="3"/>
  <c r="R11" i="3" s="1"/>
  <c r="T11" i="3"/>
  <c r="U11" i="3"/>
  <c r="V11" i="3"/>
  <c r="L14" i="3"/>
  <c r="S14" i="3"/>
  <c r="R14" i="3" s="1"/>
  <c r="T14" i="3"/>
  <c r="U14" i="3"/>
  <c r="V14" i="3"/>
  <c r="L9" i="3"/>
  <c r="S9" i="3"/>
  <c r="R9" i="3" s="1"/>
  <c r="T9" i="3"/>
  <c r="U9" i="3"/>
  <c r="V9" i="3"/>
  <c r="L23" i="3"/>
  <c r="S23" i="3"/>
  <c r="R23" i="3" s="1"/>
  <c r="T23" i="3"/>
  <c r="U23" i="3"/>
  <c r="V23" i="3"/>
  <c r="L24" i="3"/>
  <c r="S24" i="3"/>
  <c r="R24" i="3" s="1"/>
  <c r="T24" i="3"/>
  <c r="U24" i="3"/>
  <c r="V24" i="3"/>
  <c r="L25" i="3"/>
  <c r="S25" i="3"/>
  <c r="R25" i="3" s="1"/>
  <c r="T25" i="3"/>
  <c r="U25" i="3"/>
  <c r="V25" i="3"/>
  <c r="L35" i="3"/>
  <c r="S35" i="3"/>
  <c r="R35" i="3" s="1"/>
  <c r="T35" i="3"/>
  <c r="U35" i="3"/>
  <c r="V35" i="3"/>
  <c r="L52" i="3"/>
  <c r="S52" i="3"/>
  <c r="R52" i="3" s="1"/>
  <c r="T52" i="3"/>
  <c r="U52" i="3"/>
  <c r="V52" i="3"/>
  <c r="L53" i="3"/>
  <c r="S53" i="3"/>
  <c r="R53" i="3" s="1"/>
  <c r="T53" i="3"/>
  <c r="U53" i="3"/>
  <c r="V53" i="3"/>
  <c r="L36" i="3"/>
  <c r="S36" i="3"/>
  <c r="R36" i="3" s="1"/>
  <c r="T36" i="3"/>
  <c r="U36" i="3"/>
  <c r="V36" i="3"/>
  <c r="L54" i="3"/>
  <c r="S54" i="3"/>
  <c r="R54" i="3" s="1"/>
  <c r="T54" i="3"/>
  <c r="U54" i="3"/>
  <c r="V54" i="3"/>
  <c r="L37" i="3"/>
  <c r="S37" i="3"/>
  <c r="R37" i="3" s="1"/>
  <c r="T37" i="3"/>
  <c r="U37" i="3"/>
  <c r="V37" i="3"/>
  <c r="L19" i="3"/>
  <c r="S19" i="3"/>
  <c r="R19" i="3" s="1"/>
  <c r="T19" i="3"/>
  <c r="U19" i="3"/>
  <c r="V19" i="3"/>
  <c r="L55" i="3"/>
  <c r="S55" i="3"/>
  <c r="R55" i="3" s="1"/>
  <c r="T55" i="3"/>
  <c r="U55" i="3"/>
  <c r="V55" i="3"/>
  <c r="L10" i="3"/>
  <c r="S10" i="3"/>
  <c r="R10" i="3" s="1"/>
  <c r="T10" i="3"/>
  <c r="U10" i="3"/>
  <c r="V10" i="3"/>
  <c r="L56" i="3"/>
  <c r="S56" i="3"/>
  <c r="R56" i="3" s="1"/>
  <c r="T56" i="3"/>
  <c r="U56" i="3"/>
  <c r="V56" i="3"/>
  <c r="L17" i="3"/>
  <c r="S17" i="3"/>
  <c r="R17" i="3" s="1"/>
  <c r="T17" i="3"/>
  <c r="U17" i="3"/>
  <c r="V17" i="3"/>
  <c r="L12" i="3"/>
  <c r="S12" i="3"/>
  <c r="R12" i="3" s="1"/>
  <c r="T12" i="3"/>
  <c r="U12" i="3"/>
  <c r="V12" i="3"/>
  <c r="L18" i="3"/>
  <c r="S18" i="3"/>
  <c r="R18" i="3" s="1"/>
  <c r="T18" i="3"/>
  <c r="U18" i="3"/>
  <c r="V18" i="3"/>
  <c r="L16" i="3"/>
  <c r="S16" i="3"/>
  <c r="R16" i="3" s="1"/>
  <c r="T16" i="3"/>
  <c r="U16" i="3"/>
  <c r="V16" i="3"/>
  <c r="L7" i="3"/>
  <c r="S7" i="3"/>
  <c r="R7" i="3" s="1"/>
  <c r="T7" i="3"/>
  <c r="U7" i="3"/>
  <c r="V7" i="3"/>
  <c r="L57" i="3"/>
  <c r="S57" i="3"/>
  <c r="R57" i="3" s="1"/>
  <c r="T57" i="3"/>
  <c r="U57" i="3"/>
  <c r="V57" i="3"/>
  <c r="L38" i="3"/>
  <c r="S38" i="3"/>
  <c r="R38" i="3" s="1"/>
  <c r="T38" i="3"/>
  <c r="U38" i="3"/>
  <c r="V38" i="3"/>
  <c r="L39" i="3"/>
  <c r="S39" i="3"/>
  <c r="R39" i="3" s="1"/>
  <c r="T39" i="3"/>
  <c r="U39" i="3"/>
  <c r="V39" i="3"/>
  <c r="L8" i="3"/>
  <c r="S8" i="3"/>
  <c r="R8" i="3" s="1"/>
  <c r="T8" i="3"/>
  <c r="U8" i="3"/>
  <c r="V8" i="3"/>
  <c r="L40" i="3"/>
  <c r="S40" i="3"/>
  <c r="R40" i="3" s="1"/>
  <c r="T40" i="3"/>
  <c r="U40" i="3"/>
  <c r="V40" i="3"/>
  <c r="L41" i="3"/>
  <c r="S41" i="3"/>
  <c r="R41" i="3" s="1"/>
  <c r="T41" i="3"/>
  <c r="U41" i="3"/>
  <c r="V41" i="3"/>
  <c r="L42" i="3"/>
  <c r="S42" i="3"/>
  <c r="R42" i="3" s="1"/>
  <c r="T42" i="3"/>
  <c r="U42" i="3"/>
  <c r="V42" i="3"/>
  <c r="L58" i="3"/>
  <c r="S58" i="3"/>
  <c r="R58" i="3" s="1"/>
  <c r="T58" i="3"/>
  <c r="U58" i="3"/>
  <c r="V58" i="3"/>
  <c r="L26" i="3"/>
  <c r="S26" i="3"/>
  <c r="R26" i="3" s="1"/>
  <c r="T26" i="3"/>
  <c r="U26" i="3"/>
  <c r="V26" i="3"/>
  <c r="L43" i="3"/>
  <c r="S43" i="3"/>
  <c r="R43" i="3" s="1"/>
  <c r="T43" i="3"/>
  <c r="U43" i="3"/>
  <c r="V43" i="3"/>
  <c r="L44" i="3"/>
  <c r="S44" i="3"/>
  <c r="R44" i="3" s="1"/>
  <c r="T44" i="3"/>
  <c r="U44" i="3"/>
  <c r="V44" i="3"/>
  <c r="L51" i="3"/>
  <c r="S51" i="3"/>
  <c r="R51" i="3" s="1"/>
  <c r="T51" i="3"/>
  <c r="U51" i="3"/>
  <c r="V51" i="3"/>
  <c r="S130" i="1" l="1"/>
  <c r="S95" i="1"/>
  <c r="L45" i="3"/>
  <c r="S45" i="3"/>
  <c r="R45" i="3" s="1"/>
  <c r="T45" i="3"/>
  <c r="U45" i="3"/>
  <c r="V45" i="3"/>
  <c r="P11" i="3"/>
  <c r="P51" i="3"/>
  <c r="Q15" i="3"/>
  <c r="P35" i="3"/>
  <c r="Q13" i="3"/>
  <c r="P13" i="3"/>
  <c r="Q48" i="3"/>
  <c r="P48" i="3"/>
  <c r="Q43" i="3"/>
  <c r="P43" i="3"/>
  <c r="Q30" i="3"/>
  <c r="Q49" i="3"/>
  <c r="P49" i="3"/>
  <c r="Q22" i="3"/>
  <c r="P22" i="3"/>
  <c r="Q44" i="3"/>
  <c r="P44" i="3"/>
  <c r="Q36" i="3"/>
  <c r="P36" i="3"/>
  <c r="Q20" i="3"/>
  <c r="P20" i="3"/>
  <c r="Q37" i="3"/>
  <c r="P37" i="3"/>
  <c r="Q19" i="3"/>
  <c r="P19" i="3"/>
  <c r="Q29" i="3"/>
  <c r="P29" i="3"/>
  <c r="Q39" i="3"/>
  <c r="P39" i="3"/>
  <c r="Q55" i="3"/>
  <c r="P55" i="3"/>
  <c r="Q10" i="3"/>
  <c r="P10" i="3"/>
  <c r="Q56" i="3"/>
  <c r="P56" i="3"/>
  <c r="P17" i="3"/>
  <c r="Q12" i="3"/>
  <c r="P12" i="3"/>
  <c r="P18" i="3"/>
  <c r="P16" i="3"/>
  <c r="Q16" i="3" l="1"/>
  <c r="Q18" i="3"/>
  <c r="P53" i="3"/>
  <c r="Q58" i="3"/>
  <c r="Q51" i="3"/>
  <c r="Q11" i="3"/>
  <c r="P58" i="3"/>
  <c r="Q7" i="3"/>
  <c r="Q17" i="3"/>
  <c r="P54" i="3"/>
  <c r="P52" i="3"/>
  <c r="Q35" i="3"/>
  <c r="Q25" i="3"/>
  <c r="Q24" i="3"/>
  <c r="Q23" i="3"/>
  <c r="Q8" i="3"/>
  <c r="Q27" i="3"/>
  <c r="P7" i="3"/>
  <c r="Q54" i="3"/>
  <c r="Q53" i="3"/>
  <c r="Q52" i="3"/>
  <c r="P30" i="3"/>
  <c r="P25" i="3"/>
  <c r="P15" i="3"/>
  <c r="P24" i="3"/>
  <c r="P23" i="3"/>
  <c r="P8" i="3"/>
  <c r="P27" i="3"/>
  <c r="P47" i="3"/>
  <c r="Q31" i="3"/>
  <c r="Q40" i="3"/>
  <c r="Q21" i="3"/>
  <c r="Q46" i="3"/>
  <c r="P14" i="3"/>
  <c r="P26" i="3"/>
  <c r="P31" i="3"/>
  <c r="P40" i="3"/>
  <c r="Q14" i="3"/>
  <c r="Q26" i="3"/>
  <c r="Q32" i="3"/>
  <c r="Q50" i="3"/>
  <c r="Q33" i="3"/>
  <c r="Q42" i="3"/>
  <c r="Q41" i="3"/>
  <c r="P28" i="3"/>
  <c r="P38" i="3"/>
  <c r="P57" i="3"/>
  <c r="P21" i="3"/>
  <c r="P46" i="3"/>
  <c r="Q47" i="3"/>
  <c r="Q28" i="3"/>
  <c r="Q38" i="3"/>
  <c r="Q57" i="3"/>
  <c r="P50" i="3"/>
  <c r="P33" i="3"/>
  <c r="P32" i="3"/>
  <c r="P42" i="3"/>
  <c r="P41" i="3"/>
  <c r="V14" i="1" l="1"/>
  <c r="V13" i="1"/>
  <c r="Q45" i="3" s="1"/>
  <c r="Q34" i="3" l="1"/>
  <c r="Q9" i="3"/>
  <c r="AF14" i="1"/>
  <c r="AF13" i="1"/>
  <c r="AG13" i="1" l="1"/>
  <c r="AG14" i="1"/>
  <c r="AE13" i="1"/>
  <c r="P45" i="3" s="1"/>
  <c r="AE14" i="1"/>
  <c r="P34" i="3" l="1"/>
  <c r="P9" i="3"/>
  <c r="M19" i="5"/>
  <c r="M18" i="5"/>
  <c r="AD14" i="1" l="1"/>
  <c r="AD13" i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<sst xmlns="http://schemas.openxmlformats.org/spreadsheetml/2006/main" count="2043" uniqueCount="654">
  <si>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</si>
  <si>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</si>
  <si>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</si>
  <si>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</si>
  <si>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</si>
  <si>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</si>
  <si>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</si>
  <si>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</si>
  <si>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</si>
  <si>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</si>
  <si>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</si>
  <si>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</si>
  <si>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</si>
  <si>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</si>
  <si>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</si>
  <si>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</si>
  <si>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</si>
  <si>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</si>
  <si>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</si>
  <si>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</si>
  <si>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</si>
  <si>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</si>
  <si>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</si>
  <si>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</si>
  <si>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</si>
  <si>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</si>
  <si>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</si>
  <si>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</si>
  <si>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</si>
  <si>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</si>
  <si>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</si>
  <si>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</si>
  <si>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</si>
  <si>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</si>
  <si>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</si>
  <si>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</si>
  <si>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</si>
  <si>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</si>
  <si>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</si>
  <si>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</si>
  <si>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</si>
  <si>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</si>
  <si>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</si>
  <si>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</si>
  <si>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</si>
  <si>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</si>
  <si>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</si>
  <si>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</si>
  <si>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</si>
  <si>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</si>
  <si>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</si>
  <si>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</si>
  <si>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</si>
  <si>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</si>
  <si>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</si>
  <si>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</si>
  <si>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</si>
  <si>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</si>
  <si>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</si>
  <si>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</si>
  <si>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</si>
  <si>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</si>
  <si>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</si>
  <si>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</si>
  <si>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</si>
  <si>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</si>
  <si>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</si>
  <si>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</si>
  <si>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</si>
  <si>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</si>
  <si>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</si>
  <si>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</si>
  <si>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</si>
  <si>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</si>
  <si>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</si>
  <si>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</si>
  <si>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</si>
  <si>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</si>
  <si>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</si>
  <si>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</si>
  <si>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</si>
  <si>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</si>
  <si>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</si>
  <si>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</si>
  <si>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</si>
  <si>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</si>
  <si>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</si>
  <si>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</si>
  <si>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</si>
  <si>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</si>
  <si>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</si>
  <si>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</si>
  <si>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</si>
  <si>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</si>
  <si>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</si>
  <si>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</si>
  <si>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</si>
  <si>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</si>
  <si>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</si>
  <si>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</si>
  <si>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</si>
  <si>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</si>
  <si>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</si>
  <si>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</si>
  <si>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</si>
  <si>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</si>
  <si>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</si>
  <si>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</si>
  <si>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</si>
  <si>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</si>
  <si>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</si>
  <si>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</si>
  <si>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</si>
  <si>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</si>
  <si>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</si>
  <si>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</si>
  <si>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</si>
  <si>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</si>
  <si>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</si>
  <si>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</si>
  <si>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</si>
  <si>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</si>
  <si>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</si>
  <si>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</si>
  <si>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</si>
  <si>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</si>
  <si>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</si>
  <si>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</si>
  <si>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</si>
  <si>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</si>
  <si>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</si>
  <si>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</si>
  <si>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</si>
  <si>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</si>
  <si>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</si>
  <si>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</si>
  <si>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</si>
  <si>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</si>
  <si>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</si>
  <si>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</si>
  <si>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</si>
  <si>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</si>
  <si>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</si>
  <si>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</si>
  <si>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</si>
  <si>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</si>
  <si>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</si>
  <si>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</si>
  <si>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</si>
  <si>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</si>
  <si>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</si>
  <si>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</si>
  <si>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</si>
  <si>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</si>
  <si>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</si>
  <si>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</si>
  <si>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</si>
  <si>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</si>
  <si>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</si>
  <si>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</si>
  <si>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</si>
  <si>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</si>
  <si>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</si>
  <si>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</si>
  <si>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</si>
  <si>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</si>
  <si>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</si>
  <si>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</si>
  <si>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</si>
  <si>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GRADE CROSSING</t>
  </si>
  <si>
    <t>Bulletin (2)</t>
  </si>
  <si>
    <t>rtdc.l.rtdc.4015:itc</t>
  </si>
  <si>
    <t>rtdc.l.rtdc.4016:itc</t>
  </si>
  <si>
    <t>EC or NWGL</t>
  </si>
  <si>
    <t>204:233299</t>
  </si>
  <si>
    <t>204:469</t>
  </si>
  <si>
    <t>EC/NWGL</t>
  </si>
  <si>
    <t>204:154</t>
  </si>
  <si>
    <t>204:150</t>
  </si>
  <si>
    <t>204:464</t>
  </si>
  <si>
    <t>204:233297</t>
  </si>
  <si>
    <t>204:139</t>
  </si>
  <si>
    <t>204:232986</t>
  </si>
  <si>
    <t>204:462</t>
  </si>
  <si>
    <t>204:232980</t>
  </si>
  <si>
    <t>204:147</t>
  </si>
  <si>
    <t>204:232982</t>
  </si>
  <si>
    <t>SANTIZO</t>
  </si>
  <si>
    <t>204:138</t>
  </si>
  <si>
    <t>Omit due to TWC &lt; 1</t>
  </si>
  <si>
    <t>Reactive Enforcement (3)</t>
  </si>
  <si>
    <t>204:447</t>
  </si>
  <si>
    <t>204:233312</t>
  </si>
  <si>
    <t>204:233305</t>
  </si>
  <si>
    <t>rtdc.l.rtdc.4009:itc</t>
  </si>
  <si>
    <t>rtdc.l.rtdc.4010:itc</t>
  </si>
  <si>
    <t>204:233301</t>
  </si>
  <si>
    <t>204:232984</t>
  </si>
  <si>
    <t>BRANNON</t>
  </si>
  <si>
    <t>SHOOK</t>
  </si>
  <si>
    <t>rtdc.l.rtdc.4041:itc</t>
  </si>
  <si>
    <t>204:141</t>
  </si>
  <si>
    <t>204:232989</t>
  </si>
  <si>
    <t>204:233304</t>
  </si>
  <si>
    <t>204:233289</t>
  </si>
  <si>
    <t>204:232963</t>
  </si>
  <si>
    <t>204:233311</t>
  </si>
  <si>
    <t>204:233288</t>
  </si>
  <si>
    <t>204:232983</t>
  </si>
  <si>
    <t>204:232965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</si>
  <si>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</si>
  <si>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</si>
  <si>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</si>
  <si>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</si>
  <si>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</si>
  <si>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</si>
  <si>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</si>
  <si>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</si>
  <si>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</si>
  <si>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</si>
  <si>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204:232985</t>
  </si>
  <si>
    <t>204:440</t>
  </si>
  <si>
    <t>145-14</t>
  </si>
  <si>
    <t>204:233293</t>
  </si>
  <si>
    <t>160-14</t>
  </si>
  <si>
    <t>204:232991</t>
  </si>
  <si>
    <t>166-14</t>
  </si>
  <si>
    <t>204:232978</t>
  </si>
  <si>
    <t>169-14</t>
  </si>
  <si>
    <t>171-14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</si>
  <si>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</si>
  <si>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</si>
  <si>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</si>
  <si>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</si>
  <si>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</si>
  <si>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</si>
  <si>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</si>
  <si>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</si>
  <si>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</si>
  <si>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</si>
  <si>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</si>
  <si>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</si>
  <si>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215-14</t>
  </si>
  <si>
    <t>217-14</t>
  </si>
  <si>
    <t>218-14</t>
  </si>
  <si>
    <t>220-14</t>
  </si>
  <si>
    <t>222-14</t>
  </si>
  <si>
    <t>225-14</t>
  </si>
  <si>
    <t>204:232957</t>
  </si>
  <si>
    <t>241-14</t>
  </si>
  <si>
    <t>242-14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</si>
  <si>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</si>
  <si>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</si>
  <si>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</si>
  <si>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</si>
  <si>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</si>
  <si>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</si>
  <si>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</si>
  <si>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</si>
  <si>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</si>
  <si>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</si>
  <si>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</si>
  <si>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</si>
  <si>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</si>
  <si>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</si>
  <si>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204:473</t>
  </si>
  <si>
    <t>204:233317</t>
  </si>
  <si>
    <t>204:233309</t>
  </si>
  <si>
    <t>204:467</t>
  </si>
  <si>
    <t>204:431</t>
  </si>
  <si>
    <t>204:233000</t>
  </si>
  <si>
    <t>204:480</t>
  </si>
  <si>
    <t>243-17</t>
  </si>
  <si>
    <t>STEWART</t>
  </si>
  <si>
    <t>CHANDLER</t>
  </si>
  <si>
    <t>214-16</t>
  </si>
  <si>
    <t>BRUDER</t>
  </si>
  <si>
    <t>217-16</t>
  </si>
  <si>
    <t>STORY</t>
  </si>
  <si>
    <t>ACKERMAN</t>
  </si>
  <si>
    <t>119-16</t>
  </si>
  <si>
    <t>GEBRETEKLE</t>
  </si>
  <si>
    <t>MAYBERRY</t>
  </si>
  <si>
    <t>129-16</t>
  </si>
  <si>
    <t>247-16</t>
  </si>
  <si>
    <t>229-16</t>
  </si>
  <si>
    <t>236-16</t>
  </si>
  <si>
    <t>222-16</t>
  </si>
  <si>
    <t>127-16</t>
  </si>
  <si>
    <t>123-16</t>
  </si>
  <si>
    <t>114-16</t>
  </si>
  <si>
    <t>238-16</t>
  </si>
  <si>
    <t>113-16</t>
  </si>
  <si>
    <t>111-16</t>
  </si>
  <si>
    <t>246-16</t>
  </si>
  <si>
    <t>204:233329</t>
  </si>
  <si>
    <t>204:233318</t>
  </si>
  <si>
    <t>105-17</t>
  </si>
  <si>
    <t>230-17</t>
  </si>
  <si>
    <t>236-17</t>
  </si>
  <si>
    <t>241-17</t>
  </si>
  <si>
    <t>242-17</t>
  </si>
  <si>
    <t>LEVERE</t>
  </si>
  <si>
    <t>238-17</t>
  </si>
  <si>
    <t>COOLAHAN</t>
  </si>
  <si>
    <t>187-17</t>
  </si>
  <si>
    <t>244-17</t>
  </si>
  <si>
    <t>239-17</t>
  </si>
  <si>
    <t>130-17</t>
  </si>
  <si>
    <t>106-17</t>
  </si>
  <si>
    <t>111-17</t>
  </si>
  <si>
    <t>204:192</t>
  </si>
  <si>
    <t>204:233291</t>
  </si>
  <si>
    <t>204:495</t>
  </si>
  <si>
    <t>204:364</t>
  </si>
  <si>
    <t>204:233324</t>
  </si>
  <si>
    <t>126-18</t>
  </si>
  <si>
    <t>204:233323</t>
  </si>
  <si>
    <t>204:233025</t>
  </si>
  <si>
    <t>204:442</t>
  </si>
  <si>
    <t>204:233007</t>
  </si>
  <si>
    <t>204:232953</t>
  </si>
  <si>
    <t>204:158</t>
  </si>
  <si>
    <t>204:134</t>
  </si>
  <si>
    <t>204:233287</t>
  </si>
  <si>
    <t>204:233378</t>
  </si>
  <si>
    <t>204:163</t>
  </si>
  <si>
    <t>204:205</t>
  </si>
  <si>
    <t>204:233303</t>
  </si>
  <si>
    <t>204:233010</t>
  </si>
  <si>
    <t>204:433</t>
  </si>
  <si>
    <t>204:233013</t>
  </si>
  <si>
    <t>204:233322</t>
  </si>
  <si>
    <t>226-18</t>
  </si>
  <si>
    <t>228-18</t>
  </si>
  <si>
    <t>204:130</t>
  </si>
  <si>
    <t>229-18</t>
  </si>
  <si>
    <t>230-18</t>
  </si>
  <si>
    <t>231-18</t>
  </si>
  <si>
    <t>232-18</t>
  </si>
  <si>
    <t>233-18</t>
  </si>
  <si>
    <t>234-18</t>
  </si>
  <si>
    <t>204:169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</si>
  <si>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</si>
  <si>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</si>
  <si>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</si>
  <si>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</si>
  <si>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</si>
  <si>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</si>
  <si>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</si>
  <si>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</si>
  <si>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</si>
  <si>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</si>
  <si>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EQUIPMENT RESTRICTION</t>
  </si>
  <si>
    <t>LOCKLEAR</t>
  </si>
  <si>
    <t>rtdc.l.rtdc.4011:itc</t>
  </si>
  <si>
    <t>147-19</t>
  </si>
  <si>
    <t>145-19</t>
  </si>
  <si>
    <t>143-19</t>
  </si>
  <si>
    <t>136-19</t>
  </si>
  <si>
    <t>133-19</t>
  </si>
  <si>
    <t>124-19</t>
  </si>
  <si>
    <t>114-19</t>
  </si>
  <si>
    <t>112-19</t>
  </si>
  <si>
    <t>110-19</t>
  </si>
  <si>
    <t>111-19</t>
  </si>
  <si>
    <t>106-19</t>
  </si>
  <si>
    <t>103-19</t>
  </si>
  <si>
    <t>YANAI</t>
  </si>
  <si>
    <t>101-19</t>
  </si>
  <si>
    <t>102-19</t>
  </si>
  <si>
    <t>107-19</t>
  </si>
  <si>
    <t>rtdc.l.rtdc.4012:itc</t>
  </si>
  <si>
    <t>104-19</t>
  </si>
  <si>
    <t>113-19</t>
  </si>
  <si>
    <t>118-19</t>
  </si>
  <si>
    <t>122-19</t>
  </si>
  <si>
    <t>129-19</t>
  </si>
  <si>
    <t>126-19</t>
  </si>
  <si>
    <t>130-19</t>
  </si>
  <si>
    <t>138-19</t>
  </si>
  <si>
    <t>140-19</t>
  </si>
  <si>
    <t>YOUNG</t>
  </si>
  <si>
    <t>109-19</t>
  </si>
  <si>
    <t>108-19</t>
  </si>
  <si>
    <t>115-19</t>
  </si>
  <si>
    <t>116-19</t>
  </si>
  <si>
    <t>137-19</t>
  </si>
  <si>
    <t>141-19</t>
  </si>
  <si>
    <t>139-19</t>
  </si>
  <si>
    <t>134-19</t>
  </si>
  <si>
    <t>132-19</t>
  </si>
  <si>
    <t>131-19</t>
  </si>
  <si>
    <t>120-19</t>
  </si>
  <si>
    <t>125-19</t>
  </si>
  <si>
    <t>123-19</t>
  </si>
  <si>
    <t>119-19</t>
  </si>
  <si>
    <t>105-19</t>
  </si>
  <si>
    <t>117-19</t>
  </si>
  <si>
    <t>121-19</t>
  </si>
  <si>
    <t>135-19</t>
  </si>
  <si>
    <t>Onboard in-route failure</t>
  </si>
  <si>
    <t>Wi-MAX outage</t>
  </si>
  <si>
    <t>150-19</t>
  </si>
  <si>
    <t>159-19</t>
  </si>
  <si>
    <t>158-19</t>
  </si>
  <si>
    <t>160-19</t>
  </si>
  <si>
    <t>169-19</t>
  </si>
  <si>
    <t>167-19</t>
  </si>
  <si>
    <t>177-19</t>
  </si>
  <si>
    <t>166-19</t>
  </si>
  <si>
    <t>173-19</t>
  </si>
  <si>
    <t>170-19</t>
  </si>
  <si>
    <t>179-19</t>
  </si>
  <si>
    <t>180-19</t>
  </si>
  <si>
    <t>187-19</t>
  </si>
  <si>
    <t>197-19</t>
  </si>
  <si>
    <t>193-19</t>
  </si>
  <si>
    <t>192-19</t>
  </si>
  <si>
    <t>194-19</t>
  </si>
  <si>
    <t>213-19</t>
  </si>
  <si>
    <t>209-19</t>
  </si>
  <si>
    <t>204-19</t>
  </si>
  <si>
    <t>212-19</t>
  </si>
  <si>
    <t>216-19</t>
  </si>
  <si>
    <t>214-19</t>
  </si>
  <si>
    <t>222-19</t>
  </si>
  <si>
    <t>229-19</t>
  </si>
  <si>
    <t>236-19</t>
  </si>
  <si>
    <t>242-19</t>
  </si>
  <si>
    <t>153-19</t>
  </si>
  <si>
    <t>152-19</t>
  </si>
  <si>
    <t>161-19</t>
  </si>
  <si>
    <t>156-19</t>
  </si>
  <si>
    <t>165-19</t>
  </si>
  <si>
    <t>183-19</t>
  </si>
  <si>
    <t>189-19</t>
  </si>
  <si>
    <t>198-19</t>
  </si>
  <si>
    <t>205-19</t>
  </si>
  <si>
    <t>224-19</t>
  </si>
  <si>
    <t>235-19</t>
  </si>
  <si>
    <t>237-19</t>
  </si>
  <si>
    <t>239-19</t>
  </si>
  <si>
    <t>238-19</t>
  </si>
  <si>
    <t>132-20</t>
  </si>
  <si>
    <t>103-20</t>
  </si>
  <si>
    <t>128-20</t>
  </si>
  <si>
    <t>107-20</t>
  </si>
  <si>
    <t>117-20</t>
  </si>
  <si>
    <t>109-20</t>
  </si>
  <si>
    <t>110-20</t>
  </si>
  <si>
    <t>108-20</t>
  </si>
  <si>
    <t>101-20</t>
  </si>
  <si>
    <t>115-20</t>
  </si>
  <si>
    <t>243-19</t>
  </si>
  <si>
    <t>116-20</t>
  </si>
  <si>
    <t>120-20</t>
  </si>
  <si>
    <t>233-19</t>
  </si>
  <si>
    <t>127-20</t>
  </si>
  <si>
    <t>231-19</t>
  </si>
  <si>
    <t>131-20</t>
  </si>
  <si>
    <t>228-19</t>
  </si>
  <si>
    <t>137-20</t>
  </si>
  <si>
    <t>225-19</t>
  </si>
  <si>
    <t>134-20</t>
  </si>
  <si>
    <t>223-19</t>
  </si>
  <si>
    <t>220-19</t>
  </si>
  <si>
    <t>221-19</t>
  </si>
  <si>
    <t>219-19</t>
  </si>
  <si>
    <t>217-19</t>
  </si>
  <si>
    <t>211-19</t>
  </si>
  <si>
    <t>196-19</t>
  </si>
  <si>
    <t>190-19</t>
  </si>
  <si>
    <t>188-19</t>
  </si>
  <si>
    <t>144-19</t>
  </si>
  <si>
    <t>151-19</t>
  </si>
  <si>
    <t>182-19</t>
  </si>
  <si>
    <t>146-19</t>
  </si>
  <si>
    <t>155-19</t>
  </si>
  <si>
    <t>181-19</t>
  </si>
  <si>
    <t>175-19</t>
  </si>
  <si>
    <t>168-19</t>
  </si>
  <si>
    <t>174-19</t>
  </si>
  <si>
    <t>176-19</t>
  </si>
  <si>
    <t>163-19</t>
  </si>
  <si>
    <t>148-19</t>
  </si>
  <si>
    <t>178-19</t>
  </si>
  <si>
    <t>184-19</t>
  </si>
  <si>
    <t>195-19</t>
  </si>
  <si>
    <t>200-19</t>
  </si>
  <si>
    <t>215-19</t>
  </si>
  <si>
    <t>218-19</t>
  </si>
  <si>
    <t>234-19</t>
  </si>
  <si>
    <t>240-19</t>
  </si>
  <si>
    <t>rtdc.l.rtdc.4005:itc</t>
  </si>
  <si>
    <t>PTC Test Train</t>
  </si>
  <si>
    <t>Coats</t>
  </si>
  <si>
    <t>102-20</t>
  </si>
  <si>
    <t>111-20</t>
  </si>
  <si>
    <t>106-20</t>
  </si>
  <si>
    <t>119-20</t>
  </si>
  <si>
    <t>114-20</t>
  </si>
  <si>
    <t>118-20</t>
  </si>
  <si>
    <t>124-20</t>
  </si>
  <si>
    <t>139-20</t>
  </si>
  <si>
    <t>130-20</t>
  </si>
  <si>
    <t>133-20</t>
  </si>
  <si>
    <t>141-20</t>
  </si>
  <si>
    <t>129-20</t>
  </si>
  <si>
    <t>122-20</t>
  </si>
  <si>
    <t>125-20</t>
  </si>
  <si>
    <t>123-20</t>
  </si>
  <si>
    <t>121-20</t>
  </si>
  <si>
    <t>104-20</t>
  </si>
  <si>
    <t>149-19</t>
  </si>
  <si>
    <t>244-19</t>
  </si>
  <si>
    <t>154-19</t>
  </si>
  <si>
    <t>241-19</t>
  </si>
  <si>
    <t>226-19</t>
  </si>
  <si>
    <t>162-19</t>
  </si>
  <si>
    <t>210-19</t>
  </si>
  <si>
    <t>171-19</t>
  </si>
  <si>
    <t>208-19</t>
  </si>
  <si>
    <t>185-19</t>
  </si>
  <si>
    <t>207-19</t>
  </si>
  <si>
    <t>201-19</t>
  </si>
  <si>
    <t>191-19</t>
  </si>
  <si>
    <t>172-19</t>
  </si>
  <si>
    <t>186-19</t>
  </si>
  <si>
    <t>164-19</t>
  </si>
  <si>
    <t>199-19</t>
  </si>
  <si>
    <t>203-19</t>
  </si>
  <si>
    <t>157-19</t>
  </si>
  <si>
    <t>202-19</t>
  </si>
  <si>
    <t>206-19</t>
  </si>
  <si>
    <t>227-19</t>
  </si>
  <si>
    <t>230-19</t>
  </si>
  <si>
    <t>232-19</t>
  </si>
  <si>
    <t>105-20</t>
  </si>
  <si>
    <t>113-20</t>
  </si>
  <si>
    <t>112-20</t>
  </si>
  <si>
    <t>126-20</t>
  </si>
  <si>
    <t>135-20</t>
  </si>
  <si>
    <t>136-20</t>
  </si>
  <si>
    <t>142-19</t>
  </si>
  <si>
    <t>204:746</t>
  </si>
  <si>
    <t>204:232648</t>
  </si>
  <si>
    <t>204:681</t>
  </si>
  <si>
    <t>204:233382</t>
  </si>
  <si>
    <t>204:232735</t>
  </si>
  <si>
    <t>204:74</t>
  </si>
  <si>
    <t>204:633</t>
  </si>
  <si>
    <t>204:232677</t>
  </si>
  <si>
    <t>204:466</t>
  </si>
  <si>
    <t>204:233325</t>
  </si>
  <si>
    <t>204:1213</t>
  </si>
  <si>
    <t>204:233086</t>
  </si>
  <si>
    <t>204:761</t>
  </si>
  <si>
    <t>204:64157</t>
  </si>
  <si>
    <t>204:233316</t>
  </si>
  <si>
    <t>204:86353</t>
  </si>
  <si>
    <t>204:701</t>
  </si>
  <si>
    <t>204:233295</t>
  </si>
  <si>
    <t>204:1746</t>
  </si>
  <si>
    <t>204:375</t>
  </si>
  <si>
    <t>204:772</t>
  </si>
  <si>
    <t>204:233319</t>
  </si>
  <si>
    <t>204:360</t>
  </si>
  <si>
    <t>204:509</t>
  </si>
  <si>
    <t>204:233102</t>
  </si>
  <si>
    <t>204:232949</t>
  </si>
  <si>
    <t>204:198</t>
  </si>
  <si>
    <t>204:233307</t>
  </si>
  <si>
    <t>204:325</t>
  </si>
  <si>
    <t>204:1528</t>
  </si>
  <si>
    <t>204:1919</t>
  </si>
  <si>
    <t>204:19126</t>
  </si>
  <si>
    <t>204:233306</t>
  </si>
  <si>
    <t>204:331</t>
  </si>
  <si>
    <t>204:19137</t>
  </si>
  <si>
    <t>204:37863</t>
  </si>
  <si>
    <t>204:688</t>
  </si>
  <si>
    <t>204:484</t>
  </si>
  <si>
    <t>204:178</t>
  </si>
  <si>
    <t>204:628</t>
  </si>
  <si>
    <t>204:233360</t>
  </si>
  <si>
    <t>204:233334</t>
  </si>
  <si>
    <t>204:233008</t>
  </si>
  <si>
    <t>204:662</t>
  </si>
  <si>
    <t>204:121</t>
  </si>
  <si>
    <t>204:233003</t>
  </si>
  <si>
    <t>204:233011</t>
  </si>
  <si>
    <t>204:493</t>
  </si>
  <si>
    <t>204:233332</t>
  </si>
  <si>
    <t>204:426</t>
  </si>
  <si>
    <t>204:232990</t>
  </si>
  <si>
    <t>204:233374</t>
  </si>
  <si>
    <t>204:233062</t>
  </si>
  <si>
    <t>204:232973</t>
  </si>
  <si>
    <t>204:233038</t>
  </si>
  <si>
    <t>204:233349</t>
  </si>
  <si>
    <t>204:129</t>
  </si>
  <si>
    <t>204:216</t>
  </si>
  <si>
    <t>204:233045</t>
  </si>
  <si>
    <t>204:233117</t>
  </si>
  <si>
    <t>204:232804</t>
  </si>
  <si>
    <t>204:233278</t>
  </si>
  <si>
    <t>204:233368</t>
  </si>
  <si>
    <t>204:233030</t>
  </si>
  <si>
    <t>204:438</t>
  </si>
  <si>
    <t>204:511</t>
  </si>
  <si>
    <t>204:33443</t>
  </si>
  <si>
    <t>204:86375</t>
  </si>
  <si>
    <t>204:233395</t>
  </si>
  <si>
    <t>204:233070</t>
  </si>
  <si>
    <t>204:233280</t>
  </si>
  <si>
    <t>204:233342</t>
  </si>
  <si>
    <t>204:233047</t>
  </si>
  <si>
    <t>204:486</t>
  </si>
  <si>
    <t>204:517</t>
  </si>
  <si>
    <t>204:233327</t>
  </si>
  <si>
    <t>204:189</t>
  </si>
  <si>
    <t>204:233355</t>
  </si>
  <si>
    <t>204:233023</t>
  </si>
  <si>
    <t>204:114</t>
  </si>
  <si>
    <t>204:498</t>
  </si>
  <si>
    <t>204:19132</t>
  </si>
  <si>
    <t>204:64172</t>
  </si>
  <si>
    <t>204:36782</t>
  </si>
  <si>
    <t>204:233049</t>
  </si>
  <si>
    <t>204:64163</t>
  </si>
  <si>
    <t>204:36778</t>
  </si>
  <si>
    <t>204:64145</t>
  </si>
  <si>
    <t>204:1494</t>
  </si>
  <si>
    <t>204:172</t>
  </si>
  <si>
    <t>204:497</t>
  </si>
  <si>
    <t>204:233308</t>
  </si>
  <si>
    <t>204:232547</t>
  </si>
  <si>
    <t>204:491</t>
  </si>
  <si>
    <t>204:232972</t>
  </si>
  <si>
    <t>204:232979</t>
  </si>
  <si>
    <t>204:87911</t>
  </si>
  <si>
    <t>204:64159</t>
  </si>
  <si>
    <t>204:176</t>
  </si>
  <si>
    <t>204:437</t>
  </si>
  <si>
    <t>Early arrival</t>
  </si>
  <si>
    <t>Crew acknowledged Form C, then immediately cut out</t>
  </si>
  <si>
    <t>127-19</t>
  </si>
  <si>
    <t>128-19</t>
  </si>
  <si>
    <t>Not found in PTC data</t>
  </si>
  <si>
    <t>Departure from Main 3</t>
  </si>
  <si>
    <t>Initialized at 38th</t>
  </si>
  <si>
    <t>61st 2N was STOP, was cleared after enforcement</t>
  </si>
  <si>
    <t>Operator error - Quebec Form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</si>
</sst>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27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60"/>
  <sheetViews>
    <sheetView tabSelected="1" zoomScale="85" zoomScaleNormal="85" workbookViewId="0">
      <selection activeCell="R127" sqref="R127:R133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42570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COUNT($N$13:$P$1703)</f>
        <v>143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COUNT($N$13:$N$1703)</f>
        <v>132</v>
      </c>
      <c r="K5" s="61"/>
      <c r="L5" s="61"/>
      <c r="M5" s="62">
        <f>AVERAGE($N$13:$N$703)</f>
        <v>42.880429292748552</v>
      </c>
      <c r="N5" s="60">
        <f>MIN($N$13:$N$703)</f>
        <v>35.200000003678724</v>
      </c>
      <c r="O5" s="3">
        <f>MAX($N$13:$N$703)</f>
        <v>60.399999995715916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COUNT($O$13:$O$703)</f>
        <v>0</v>
      </c>
      <c r="K6" s="61"/>
      <c r="L6" s="61"/>
      <c r="M6" s="62">
        <f>IFERROR(AVERAGE($O$13:$O$703),0)</f>
        <v>0</v>
      </c>
      <c r="N6" s="60">
        <f>MIN($O$13:$O$703)</f>
        <v>0</v>
      </c>
      <c r="O6" s="3">
        <f>MAX($O$13:$O$703)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COUNT($P$13:$P$703)</f>
        <v>11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COUNT($N$13:$O$703)</f>
        <v>132</v>
      </c>
      <c r="K8" s="61"/>
      <c r="L8" s="61"/>
      <c r="M8" s="62">
        <f>AVERAGE($N$13:$P$703)</f>
        <v>42.221328671158687</v>
      </c>
      <c r="N8" s="60">
        <f>MIN($N$13:$O$703)</f>
        <v>35.200000003678724</v>
      </c>
      <c r="O8" s="3">
        <f>MAX($N$13:$O$703)</f>
        <v>60.399999995715916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0.92307692307692313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- 2016-07-19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S11" s="108">
        <f>AVERAGE(S13:S169)</f>
        <v>0.97027972027972009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85</v>
      </c>
      <c r="T12" s="76" t="s">
        <v>86</v>
      </c>
      <c r="U12" s="95" t="s">
        <v>87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136</v>
      </c>
      <c r="AE12" s="73" t="s">
        <v>162</v>
      </c>
      <c r="AF12" s="73" t="s">
        <v>167</v>
      </c>
      <c r="AG12" s="4" t="s">
        <v>176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hidden="1" x14ac:dyDescent="0.25">
      <c r="A13" s="49" t="s">
        <v>369</v>
      </c>
      <c r="B13" s="7">
        <v>4027</v>
      </c>
      <c r="C13" s="26" t="s">
        <v>59</v>
      </c>
      <c r="D13" s="26" t="s">
        <v>545</v>
      </c>
      <c r="E13" s="16">
        <v>42570.131064814814</v>
      </c>
      <c r="F13" s="16">
        <v>42570.131979166668</v>
      </c>
      <c r="G13" s="7">
        <v>1</v>
      </c>
      <c r="H13" s="16" t="s">
        <v>207</v>
      </c>
      <c r="I13" s="16">
        <v>42570.159988425927</v>
      </c>
      <c r="J13" s="7">
        <v>1</v>
      </c>
      <c r="K13" s="26" t="str">
        <f t="shared" ref="K13:K14" si="0">IF(ISEVEN(B13),(B13-1)&amp;"/"&amp;B13,B13&amp;"/"&amp;(B13+1))</f>
        <v>4027/4028</v>
      </c>
      <c r="L13" s="26" t="str">
        <f>VLOOKUP(A13,'Trips&amp;Operators'!$C$1:$E$10000,3,FALSE)</f>
        <v>BEAM</v>
      </c>
      <c r="M13" s="6">
        <f t="shared" ref="M13:M14" si="1">I13-F13</f>
        <v>2.8009259258396924E-2</v>
      </c>
      <c r="N13" s="7">
        <f t="shared" ref="N13:P75" si="2">24*60*SUM($M13:$M13)</f>
        <v>40.33333333209157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https://search-rtdc-monitor-bjffxe2xuh6vdkpspy63sjmuny.us-east-1.es.amazonaws.com/_plugin/kibana/#/discover/Steve-Slow-Train-Analysis-(2080s-and-2083s)?_g=(refreshInterval:(display:Off,section:0,value:0),time:(from:'2016-07-19 02:08:44-0600',mode:absolute,to:'2016-07-19 04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7.46E-2</v>
      </c>
      <c r="Z13" s="89">
        <f t="shared" ref="Z13:Z14" si="7">RIGHT(H13,LEN(H13)-4)/10000</f>
        <v>23.328800000000001</v>
      </c>
      <c r="AA13" s="89">
        <f t="shared" ref="AA13:AA14" si="8">ABS(Z13-Y13)</f>
        <v>23.254200000000001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0101-19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/stypes="*4027*20160719*"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hidden="1" x14ac:dyDescent="0.25">
      <c r="A14" s="49" t="s">
        <v>370</v>
      </c>
      <c r="B14" s="7">
        <v>4008</v>
      </c>
      <c r="C14" s="26" t="s">
        <v>59</v>
      </c>
      <c r="D14" s="26" t="s">
        <v>546</v>
      </c>
      <c r="E14" s="16">
        <v>42570.166851851849</v>
      </c>
      <c r="F14" s="16">
        <v>42570.167615740742</v>
      </c>
      <c r="G14" s="7">
        <v>1</v>
      </c>
      <c r="H14" s="16" t="s">
        <v>181</v>
      </c>
      <c r="I14" s="16">
        <v>42570.199641203704</v>
      </c>
      <c r="J14" s="7">
        <v>0</v>
      </c>
      <c r="K14" s="26" t="str">
        <f t="shared" si="0"/>
        <v>4007/4008</v>
      </c>
      <c r="L14" s="26" t="str">
        <f>VLOOKUP(A14,'Trips&amp;Operators'!$C$1:$E$10000,3,FALSE)</f>
        <v>BEAM</v>
      </c>
      <c r="M14" s="6">
        <f t="shared" si="1"/>
        <v>3.202546296233777E-2</v>
      </c>
      <c r="N14" s="7">
        <f t="shared" si="2"/>
        <v>46.116666665766388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https://search-rtdc-monitor-bjffxe2xuh6vdkpspy63sjmuny.us-east-1.es.amazonaws.com/_plugin/kibana/#/discover/Steve-Slow-Train-Analysis-(2080s-and-2083s)?_g=(refreshInterval:(display:Off,section:0,value:0),time:(from:'2016-07-19 03:00:16-0600',mode:absolute,to:'2016-07-19 05:47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23.264800000000001</v>
      </c>
      <c r="Z14" s="89">
        <f t="shared" si="7"/>
        <v>1.3899999999999999E-2</v>
      </c>
      <c r="AA14" s="89">
        <f t="shared" si="8"/>
        <v>23.250900000000001</v>
      </c>
      <c r="AB14" s="86" t="e">
        <f>VLOOKUP(A14,Enforcements!$C$7:$J$23,8,0)</f>
        <v>#N/A</v>
      </c>
      <c r="AC14" s="82" t="e">
        <f>VLOOKUP(A14,Enforcements!$C$7:$E$23,3,0)</f>
        <v>#N/A</v>
      </c>
      <c r="AD14" s="83" t="str">
        <f t="shared" si="9"/>
        <v>0102-19</v>
      </c>
      <c r="AE14" s="75" t="str">
        <f t="shared" si="10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14" s="75" t="str">
        <f t="shared" si="11"/>
        <v>"C:\Program Files (x86)\AstroGrep\AstroGrep.exe" /spath="C:\Users\stu\Documents\Analysis\2016-02-23 RTDC Observations" /stypes="*4008*20160719*"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hidden="1" x14ac:dyDescent="0.25">
      <c r="A15" s="49" t="s">
        <v>367</v>
      </c>
      <c r="B15" s="7">
        <v>4031</v>
      </c>
      <c r="C15" s="26" t="s">
        <v>59</v>
      </c>
      <c r="D15" s="26" t="s">
        <v>547</v>
      </c>
      <c r="E15" s="16">
        <v>42570.151712962965</v>
      </c>
      <c r="F15" s="16">
        <v>42570.152696759258</v>
      </c>
      <c r="G15" s="7">
        <v>1</v>
      </c>
      <c r="H15" s="16" t="s">
        <v>548</v>
      </c>
      <c r="I15" s="16">
        <v>42570.18141203704</v>
      </c>
      <c r="J15" s="7">
        <v>0</v>
      </c>
      <c r="K15" s="26" t="str">
        <f t="shared" ref="K15:K78" si="15">IF(ISEVEN(B15),(B15-1)&amp;"/"&amp;B15,B15&amp;"/"&amp;(B15+1))</f>
        <v>4031/4032</v>
      </c>
      <c r="L15" s="26" t="str">
        <f>VLOOKUP(A15,'Trips&amp;Operators'!$C$1:$E$10000,3,FALSE)</f>
        <v>ACKERMAN</v>
      </c>
      <c r="M15" s="6">
        <f t="shared" ref="M15:M78" si="16">I15-F15</f>
        <v>2.8715277781884652E-2</v>
      </c>
      <c r="N15" s="7">
        <f t="shared" si="2"/>
        <v>41.350000005913898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https://search-rtdc-monitor-bjffxe2xuh6vdkpspy63sjmuny.us-east-1.es.amazonaws.com/_plugin/kibana/#/discover/Steve-Slow-Train-Analysis-(2080s-and-2083s)?_g=(refreshInterval:(display:Off,section:0,value:0),time:(from:'2016-07-19 02:38:28-0600',mode:absolute,to:'2016-07-19 05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4" t="str">
        <f t="shared" ref="W15:W78" si="20">IF(AA15&lt;23,"Y","N")</f>
        <v>N</v>
      </c>
      <c r="X15" s="92">
        <f t="shared" ref="X15:X78" si="21">VALUE(LEFT(A15,3))-VALUE(LEFT(A14,3))</f>
        <v>1</v>
      </c>
      <c r="Y15" s="89">
        <f t="shared" ref="Y15:Y78" si="22">RIGHT(D15,LEN(D15)-4)/10000</f>
        <v>6.8099999999999994E-2</v>
      </c>
      <c r="Z15" s="89">
        <f t="shared" ref="Z15:Z78" si="23">RIGHT(H15,LEN(H15)-4)/10000</f>
        <v>23.338200000000001</v>
      </c>
      <c r="AA15" s="89">
        <f t="shared" ref="AA15:AA78" si="24">ABS(Z15-Y15)</f>
        <v>23.270099999999999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8" si="25">IF(LEN(A15)=6,"0"&amp;A15,A15)</f>
        <v>0103-19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 &amp; aws s3 cp s3://rtdc.mdm.uploadarchive/RTDC4031/2016-07-20/ "C:\Users\stu\Documents\Analysis\2016-02-23 RTDC Observations"\RTDC4031\2016-07-20 --recursive &amp; "C:\Users\stu\Documents\GitHub\mrs-test-scripts\Headless Mode &amp; Sideloading\WalkAndUnGZ.bat" "C:\Users\stu\Documents\Analysis\2016-02-23 RTDC Observations"\RTDC4031\2016-07-20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/stypes="*4031*20160719*"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hidden="1" x14ac:dyDescent="0.25">
      <c r="A16" s="49" t="s">
        <v>373</v>
      </c>
      <c r="B16" s="7">
        <v>4012</v>
      </c>
      <c r="C16" s="26" t="s">
        <v>59</v>
      </c>
      <c r="D16" s="26" t="s">
        <v>549</v>
      </c>
      <c r="E16" s="16">
        <v>42570.190578703703</v>
      </c>
      <c r="F16" s="16">
        <v>42570.191481481481</v>
      </c>
      <c r="G16" s="7">
        <v>1</v>
      </c>
      <c r="H16" s="16" t="s">
        <v>550</v>
      </c>
      <c r="I16" s="16">
        <v>42570.221516203703</v>
      </c>
      <c r="J16" s="7">
        <v>1</v>
      </c>
      <c r="K16" s="26" t="str">
        <f t="shared" si="15"/>
        <v>4011/4012</v>
      </c>
      <c r="L16" s="26" t="str">
        <f>VLOOKUP(A16,'Trips&amp;Operators'!$C$1:$E$10000,3,FALSE)</f>
        <v>ACKERMAN</v>
      </c>
      <c r="M16" s="6">
        <f t="shared" si="16"/>
        <v>3.0034722221898846E-2</v>
      </c>
      <c r="N16" s="7">
        <f t="shared" si="2"/>
        <v>43.249999999534339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03:34:26-0600',mode:absolute,to:'2016-07-19 06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6" s="74" t="str">
        <f t="shared" si="20"/>
        <v>N</v>
      </c>
      <c r="X16" s="92">
        <f t="shared" si="21"/>
        <v>1</v>
      </c>
      <c r="Y16" s="89">
        <f t="shared" si="22"/>
        <v>23.273499999999999</v>
      </c>
      <c r="Z16" s="89">
        <f t="shared" si="23"/>
        <v>7.4000000000000003E-3</v>
      </c>
      <c r="AA16" s="89">
        <f t="shared" si="24"/>
        <v>23.266099999999998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0104-19</v>
      </c>
      <c r="AE16" s="75" t="str">
        <f t="shared" si="26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16" s="75" t="str">
        <f t="shared" si="27"/>
        <v>"C:\Program Files (x86)\AstroGrep\AstroGrep.exe" /spath="C:\Users\stu\Documents\Analysis\2016-02-23 RTDC Observations" /stypes="*4012*20160719*"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hidden="1" x14ac:dyDescent="0.25">
      <c r="A17" s="49" t="s">
        <v>397</v>
      </c>
      <c r="B17" s="7">
        <v>4044</v>
      </c>
      <c r="C17" s="26" t="s">
        <v>59</v>
      </c>
      <c r="D17" s="26" t="s">
        <v>551</v>
      </c>
      <c r="E17" s="16">
        <v>42570.171215277776</v>
      </c>
      <c r="F17" s="16">
        <v>42570.172210648147</v>
      </c>
      <c r="G17" s="7">
        <v>1</v>
      </c>
      <c r="H17" s="16" t="s">
        <v>332</v>
      </c>
      <c r="I17" s="16">
        <v>42570.20244212963</v>
      </c>
      <c r="J17" s="7">
        <v>0</v>
      </c>
      <c r="K17" s="26" t="str">
        <f t="shared" si="15"/>
        <v>4043/4044</v>
      </c>
      <c r="L17" s="26" t="str">
        <f>VLOOKUP(A17,'Trips&amp;Operators'!$C$1:$E$10000,3,FALSE)</f>
        <v>SANTIZO</v>
      </c>
      <c r="M17" s="6">
        <f t="shared" si="16"/>
        <v>3.0231481483497191E-2</v>
      </c>
      <c r="N17" s="7">
        <f t="shared" si="2"/>
        <v>43.533333336235955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03:06:33-0600',mode:absolute,to:'2016-07-19 05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74" t="str">
        <f t="shared" si="20"/>
        <v>N</v>
      </c>
      <c r="X17" s="92">
        <f t="shared" si="21"/>
        <v>1</v>
      </c>
      <c r="Y17" s="89">
        <f t="shared" si="22"/>
        <v>6.3299999999999995E-2</v>
      </c>
      <c r="Z17" s="89">
        <f t="shared" si="23"/>
        <v>23.3322</v>
      </c>
      <c r="AA17" s="89">
        <f t="shared" si="24"/>
        <v>23.268899999999999</v>
      </c>
      <c r="AB17" s="86" t="e">
        <f>VLOOKUP(A17,Enforcements!$C$7:$J$23,8,0)</f>
        <v>#N/A</v>
      </c>
      <c r="AC17" s="82" t="e">
        <f>VLOOKUP(A17,Enforcements!$C$7:$E$23,3,0)</f>
        <v>#N/A</v>
      </c>
      <c r="AD17" s="83" t="str">
        <f t="shared" si="25"/>
        <v>0105-19</v>
      </c>
      <c r="AE17" s="75" t="str">
        <f t="shared" si="26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17" s="75" t="str">
        <f t="shared" si="27"/>
        <v>"C:\Program Files (x86)\AstroGrep\AstroGrep.exe" /spath="C:\Users\stu\Documents\Analysis\2016-02-23 RTDC Observations" /stypes="*4044*20160719*"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hidden="1" customHeight="1" x14ac:dyDescent="0.25">
      <c r="A18" s="49" t="s">
        <v>366</v>
      </c>
      <c r="B18" s="7">
        <v>4010</v>
      </c>
      <c r="C18" s="26" t="s">
        <v>59</v>
      </c>
      <c r="D18" s="26" t="s">
        <v>552</v>
      </c>
      <c r="E18" s="16">
        <v>42570.204756944448</v>
      </c>
      <c r="F18" s="16">
        <v>42570.205752314818</v>
      </c>
      <c r="G18" s="7">
        <v>1</v>
      </c>
      <c r="H18" s="16" t="s">
        <v>323</v>
      </c>
      <c r="I18" s="16">
        <v>42570.242268518516</v>
      </c>
      <c r="J18" s="7">
        <v>0</v>
      </c>
      <c r="K18" s="26" t="str">
        <f t="shared" si="15"/>
        <v>4009/4010</v>
      </c>
      <c r="L18" s="26" t="str">
        <f>VLOOKUP(A18,'Trips&amp;Operators'!$C$1:$E$10000,3,FALSE)</f>
        <v>SANTIZO</v>
      </c>
      <c r="M18" s="6">
        <f t="shared" si="16"/>
        <v>3.6516203697829042E-2</v>
      </c>
      <c r="N18" s="7">
        <f t="shared" si="2"/>
        <v>52.58333332487382</v>
      </c>
      <c r="O18" s="7"/>
      <c r="P18" s="7"/>
      <c r="Q18" s="27"/>
      <c r="R18" s="27"/>
      <c r="S18" s="45">
        <f t="shared" si="17"/>
        <v>1</v>
      </c>
      <c r="T18" s="69" t="str">
        <f t="shared" si="18"/>
        <v>Southbound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03:54:51-0600',mode:absolute,to:'2016-07-19 06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8" s="74" t="str">
        <f t="shared" si="20"/>
        <v>N</v>
      </c>
      <c r="X18" s="92">
        <f t="shared" si="21"/>
        <v>1</v>
      </c>
      <c r="Y18" s="89">
        <f t="shared" si="22"/>
        <v>23.267700000000001</v>
      </c>
      <c r="Z18" s="89">
        <f t="shared" si="23"/>
        <v>1.34E-2</v>
      </c>
      <c r="AA18" s="89">
        <f t="shared" si="24"/>
        <v>23.254300000000001</v>
      </c>
      <c r="AB18" s="86" t="e">
        <f>VLOOKUP(A18,Enforcements!$C$7:$J$23,8,0)</f>
        <v>#N/A</v>
      </c>
      <c r="AC18" s="82" t="e">
        <f>VLOOKUP(A18,Enforcements!$C$7:$E$23,3,0)</f>
        <v>#N/A</v>
      </c>
      <c r="AD18" s="83" t="str">
        <f t="shared" si="25"/>
        <v>0106-19</v>
      </c>
      <c r="AE18" s="75" t="str">
        <f t="shared" si="26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18" s="75" t="str">
        <f t="shared" si="27"/>
        <v>"C:\Program Files (x86)\AstroGrep\AstroGrep.exe" /spath="C:\Users\stu\Documents\Analysis\2016-02-23 RTDC Observations" /stypes="*4010*20160719*"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hidden="1" x14ac:dyDescent="0.25">
      <c r="A19" s="49" t="s">
        <v>371</v>
      </c>
      <c r="B19" s="7">
        <v>4038</v>
      </c>
      <c r="C19" s="26" t="s">
        <v>59</v>
      </c>
      <c r="D19" s="26" t="s">
        <v>553</v>
      </c>
      <c r="E19" s="16">
        <v>42570.179166666669</v>
      </c>
      <c r="F19" s="16">
        <v>42570.180138888885</v>
      </c>
      <c r="G19" s="7">
        <v>1</v>
      </c>
      <c r="H19" s="16" t="s">
        <v>554</v>
      </c>
      <c r="I19" s="16">
        <v>42570.213194444441</v>
      </c>
      <c r="J19" s="7">
        <v>0</v>
      </c>
      <c r="K19" s="26" t="str">
        <f t="shared" si="15"/>
        <v>4037/4038</v>
      </c>
      <c r="L19" s="26" t="str">
        <f>VLOOKUP(A19,'Trips&amp;Operators'!$C$1:$E$10000,3,FALSE)</f>
        <v>SPECTOR</v>
      </c>
      <c r="M19" s="6">
        <f t="shared" si="16"/>
        <v>3.3055555555620231E-2</v>
      </c>
      <c r="N19" s="7">
        <f t="shared" si="2"/>
        <v>47.600000000093132</v>
      </c>
      <c r="O19" s="7"/>
      <c r="P19" s="7"/>
      <c r="Q19" s="27"/>
      <c r="R19" s="27"/>
      <c r="S19" s="45">
        <f t="shared" si="17"/>
        <v>1</v>
      </c>
      <c r="T19" s="69" t="str">
        <f t="shared" si="18"/>
        <v>NorthBound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03:18:00-0600',mode:absolute,to:'2016-07-19 06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74" t="str">
        <f t="shared" si="20"/>
        <v>N</v>
      </c>
      <c r="X19" s="92">
        <f t="shared" si="21"/>
        <v>1</v>
      </c>
      <c r="Y19" s="89">
        <f t="shared" si="22"/>
        <v>4.6600000000000003E-2</v>
      </c>
      <c r="Z19" s="89">
        <f t="shared" si="23"/>
        <v>23.3325</v>
      </c>
      <c r="AA19" s="89">
        <f t="shared" si="24"/>
        <v>23.285899999999998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0107-19</v>
      </c>
      <c r="AE19" s="75" t="str">
        <f t="shared" si="26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19" s="75" t="str">
        <f t="shared" si="27"/>
        <v>"C:\Program Files (x86)\AstroGrep\AstroGrep.exe" /spath="C:\Users\stu\Documents\Analysis\2016-02-23 RTDC Observations" /stypes="*4038*20160719*"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hidden="1" x14ac:dyDescent="0.25">
      <c r="A20" s="49" t="s">
        <v>384</v>
      </c>
      <c r="B20" s="7">
        <v>4037</v>
      </c>
      <c r="C20" s="26" t="s">
        <v>59</v>
      </c>
      <c r="D20" s="26" t="s">
        <v>270</v>
      </c>
      <c r="E20" s="16">
        <v>42570.221307870372</v>
      </c>
      <c r="F20" s="16">
        <v>42570.222453703704</v>
      </c>
      <c r="G20" s="7">
        <v>1</v>
      </c>
      <c r="H20" s="16" t="s">
        <v>555</v>
      </c>
      <c r="I20" s="16">
        <v>42570.255370370367</v>
      </c>
      <c r="J20" s="7">
        <v>2</v>
      </c>
      <c r="K20" s="26" t="str">
        <f t="shared" si="15"/>
        <v>4037/4038</v>
      </c>
      <c r="L20" s="26" t="str">
        <f>VLOOKUP(A20,'Trips&amp;Operators'!$C$1:$E$10000,3,FALSE)</f>
        <v>SPECTOR</v>
      </c>
      <c r="M20" s="6">
        <f t="shared" si="16"/>
        <v>3.2916666663368233E-2</v>
      </c>
      <c r="N20" s="7">
        <f t="shared" si="2"/>
        <v>47.399999995250255</v>
      </c>
      <c r="O20" s="7"/>
      <c r="P20" s="7"/>
      <c r="Q20" s="27"/>
      <c r="R20" s="27"/>
      <c r="S20" s="45">
        <f t="shared" si="17"/>
        <v>1</v>
      </c>
      <c r="T20" s="69" t="str">
        <f t="shared" si="18"/>
        <v>Southbound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04:18:41-0600',mode:absolute,to:'2016-07-19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" s="74" t="str">
        <f t="shared" si="20"/>
        <v>N</v>
      </c>
      <c r="X20" s="92">
        <f t="shared" si="21"/>
        <v>1</v>
      </c>
      <c r="Y20" s="89">
        <f t="shared" si="22"/>
        <v>23.3</v>
      </c>
      <c r="Z20" s="89">
        <f t="shared" si="23"/>
        <v>0.12130000000000001</v>
      </c>
      <c r="AA20" s="89">
        <f t="shared" si="24"/>
        <v>23.178699999999999</v>
      </c>
      <c r="AB20" s="86">
        <f>VLOOKUP(A20,Enforcements!$C$7:$J$23,8,0)</f>
        <v>119716</v>
      </c>
      <c r="AC20" s="82" t="str">
        <f>VLOOKUP(A20,Enforcements!$C$7:$E$23,3,0)</f>
        <v>PERMANENT SPEED RESTRICTION</v>
      </c>
      <c r="AD20" s="83" t="str">
        <f t="shared" si="25"/>
        <v>0108-19</v>
      </c>
      <c r="AE20" s="75" t="str">
        <f t="shared" si="26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20" s="75" t="str">
        <f t="shared" si="27"/>
        <v>"C:\Program Files (x86)\AstroGrep\AstroGrep.exe" /spath="C:\Users\stu\Documents\Analysis\2016-02-23 RTDC Observations" /stypes="*4037*20160719*"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hidden="1" x14ac:dyDescent="0.25">
      <c r="A21" s="49" t="s">
        <v>383</v>
      </c>
      <c r="B21" s="7">
        <v>4029</v>
      </c>
      <c r="C21" s="26" t="s">
        <v>59</v>
      </c>
      <c r="D21" s="26" t="s">
        <v>313</v>
      </c>
      <c r="E21" s="16">
        <v>42570.191851851851</v>
      </c>
      <c r="F21" s="16">
        <v>42570.192824074074</v>
      </c>
      <c r="G21" s="7">
        <v>1</v>
      </c>
      <c r="H21" s="16" t="s">
        <v>556</v>
      </c>
      <c r="I21" s="16">
        <v>42570.223217592589</v>
      </c>
      <c r="J21" s="7">
        <v>0</v>
      </c>
      <c r="K21" s="26" t="str">
        <f t="shared" si="15"/>
        <v>4029/4030</v>
      </c>
      <c r="L21" s="26" t="str">
        <f>VLOOKUP(A21,'Trips&amp;Operators'!$C$1:$E$10000,3,FALSE)</f>
        <v>DE LA ROSA</v>
      </c>
      <c r="M21" s="6">
        <f t="shared" si="16"/>
        <v>3.0393518514756579E-2</v>
      </c>
      <c r="N21" s="7">
        <f t="shared" si="2"/>
        <v>43.766666661249474</v>
      </c>
      <c r="O21" s="7"/>
      <c r="P21" s="7"/>
      <c r="Q21" s="27"/>
      <c r="R21" s="27"/>
      <c r="S21" s="45">
        <f t="shared" si="17"/>
        <v>1</v>
      </c>
      <c r="T21" s="69" t="str">
        <f t="shared" si="18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03:36:16-0600',mode:absolute,to:'2016-07-19 06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4.9500000000000002E-2</v>
      </c>
      <c r="Z21" s="89">
        <f t="shared" si="23"/>
        <v>23.308599999999998</v>
      </c>
      <c r="AA21" s="89">
        <f t="shared" si="24"/>
        <v>23.2591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0109-19</v>
      </c>
      <c r="AE21" s="75" t="str">
        <f t="shared" si="26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21" s="75" t="str">
        <f t="shared" si="27"/>
        <v>"C:\Program Files (x86)\AstroGrep\AstroGrep.exe" /spath="C:\Users\stu\Documents\Analysis\2016-02-23 RTDC Observations" /stypes="*4029*20160719*" /stext=" 11:.+((prompt.+disp)|(slice.+state.+chan)|(ment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hidden="1" x14ac:dyDescent="0.25">
      <c r="A22" s="49" t="s">
        <v>364</v>
      </c>
      <c r="B22" s="7">
        <v>4030</v>
      </c>
      <c r="C22" s="26" t="s">
        <v>59</v>
      </c>
      <c r="D22" s="26" t="s">
        <v>321</v>
      </c>
      <c r="E22" s="16">
        <v>42570.230925925927</v>
      </c>
      <c r="F22" s="16">
        <v>42570.232303240744</v>
      </c>
      <c r="G22" s="7">
        <v>1</v>
      </c>
      <c r="H22" s="16" t="s">
        <v>311</v>
      </c>
      <c r="I22" s="16">
        <v>42570.263460648152</v>
      </c>
      <c r="J22" s="7">
        <v>1</v>
      </c>
      <c r="K22" s="26" t="str">
        <f t="shared" si="15"/>
        <v>4029/4030</v>
      </c>
      <c r="L22" s="26" t="str">
        <f>VLOOKUP(A22,'Trips&amp;Operators'!$C$1:$E$10000,3,FALSE)</f>
        <v>DE LA ROSA</v>
      </c>
      <c r="M22" s="6">
        <f t="shared" si="16"/>
        <v>3.1157407407590654E-2</v>
      </c>
      <c r="N22" s="7">
        <f t="shared" si="2"/>
        <v>44.866666666930541</v>
      </c>
      <c r="O22" s="7"/>
      <c r="P22" s="7"/>
      <c r="Q22" s="27"/>
      <c r="R22" s="27"/>
      <c r="S22" s="45">
        <f t="shared" si="17"/>
        <v>1</v>
      </c>
      <c r="T22" s="69" t="str">
        <f t="shared" si="18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04:32:32-0600',mode:absolute,to:'2016-07-19 07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23.295300000000001</v>
      </c>
      <c r="Z22" s="89">
        <f t="shared" si="23"/>
        <v>1.9199999999999998E-2</v>
      </c>
      <c r="AA22" s="89">
        <f t="shared" si="24"/>
        <v>23.2761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0110-19</v>
      </c>
      <c r="AE22" s="75" t="str">
        <f t="shared" si="26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22" s="75" t="str">
        <f t="shared" si="27"/>
        <v>"C:\Program Files (x86)\AstroGrep\AstroGrep.exe" /spath="C:\Users\stu\Documents\Analysis\2016-02-23 RTDC Observations" /stypes="*4030*20160719*"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hidden="1" x14ac:dyDescent="0.25">
      <c r="A23" s="49" t="s">
        <v>365</v>
      </c>
      <c r="B23" s="7">
        <v>4027</v>
      </c>
      <c r="C23" s="26" t="s">
        <v>59</v>
      </c>
      <c r="D23" s="26" t="s">
        <v>557</v>
      </c>
      <c r="E23" s="16">
        <v>42570.204432870371</v>
      </c>
      <c r="F23" s="16">
        <v>42570.206192129626</v>
      </c>
      <c r="G23" s="7">
        <v>2</v>
      </c>
      <c r="H23" s="16" t="s">
        <v>203</v>
      </c>
      <c r="I23" s="16">
        <v>42570.235567129632</v>
      </c>
      <c r="J23" s="7">
        <v>0</v>
      </c>
      <c r="K23" s="26" t="str">
        <f t="shared" si="15"/>
        <v>4027/4028</v>
      </c>
      <c r="L23" s="26" t="str">
        <f>VLOOKUP(A23,'Trips&amp;Operators'!$C$1:$E$10000,3,FALSE)</f>
        <v>GEBRETEKLE</v>
      </c>
      <c r="M23" s="6">
        <f t="shared" si="16"/>
        <v>2.9375000005529728E-2</v>
      </c>
      <c r="N23" s="7">
        <f t="shared" si="2"/>
        <v>42.300000007962808</v>
      </c>
      <c r="O23" s="7"/>
      <c r="P23" s="7"/>
      <c r="Q23" s="27"/>
      <c r="R23" s="27"/>
      <c r="S23" s="45">
        <f t="shared" si="17"/>
        <v>1</v>
      </c>
      <c r="T23" s="69" t="str">
        <f t="shared" si="18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03:54:23-0600',mode:absolute,to:'2016-07-19 06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7.6100000000000001E-2</v>
      </c>
      <c r="Z23" s="89">
        <f t="shared" si="23"/>
        <v>23.330400000000001</v>
      </c>
      <c r="AA23" s="89">
        <f t="shared" si="24"/>
        <v>23.254300000000001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0111-19</v>
      </c>
      <c r="AE23" s="75" t="str">
        <f t="shared" si="26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23" s="75" t="str">
        <f t="shared" si="27"/>
        <v>"C:\Program Files (x86)\AstroGrep\AstroGrep.exe" /spath="C:\Users\stu\Documents\Analysis\2016-02-23 RTDC Observations" /stypes="*4027*20160719*"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363</v>
      </c>
      <c r="B24" s="7">
        <v>4028</v>
      </c>
      <c r="C24" s="26" t="s">
        <v>59</v>
      </c>
      <c r="D24" s="26" t="s">
        <v>154</v>
      </c>
      <c r="E24" s="16">
        <v>42570.244270833333</v>
      </c>
      <c r="F24" s="16">
        <v>42570.245636574073</v>
      </c>
      <c r="G24" s="7">
        <v>1</v>
      </c>
      <c r="H24" s="16" t="s">
        <v>558</v>
      </c>
      <c r="I24" s="16">
        <v>42570.264004629629</v>
      </c>
      <c r="J24" s="7">
        <v>0</v>
      </c>
      <c r="K24" s="26" t="str">
        <f t="shared" si="15"/>
        <v>4027/4028</v>
      </c>
      <c r="L24" s="26" t="str">
        <f>VLOOKUP(A24,'Trips&amp;Operators'!$C$1:$E$10000,3,FALSE)</f>
        <v>GEBRETEKLE</v>
      </c>
      <c r="M24" s="6">
        <f t="shared" si="16"/>
        <v>1.8368055556493346E-2</v>
      </c>
      <c r="N24" s="7"/>
      <c r="O24" s="7"/>
      <c r="P24" s="7">
        <f t="shared" si="2"/>
        <v>26.450000001350418</v>
      </c>
      <c r="Q24" s="27"/>
      <c r="R24" s="27" t="s">
        <v>653</v>
      </c>
      <c r="S24" s="45">
        <f t="shared" si="17"/>
        <v>0.25</v>
      </c>
      <c r="T24" s="69" t="str">
        <f t="shared" si="18"/>
        <v>Southbound</v>
      </c>
      <c r="U24" s="96">
        <f>COUNTIFS(Variables!$M$2:$M$19,IF(T24="NorthBound","&gt;=","&lt;=")&amp;Y24,Variables!$M$2:$M$19,IF(T24="NorthBound","&lt;=","&gt;=")&amp;Z24)</f>
        <v>3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04:51:45-0600',mode:absolute,to:'2016-07-19 07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74" t="str">
        <f t="shared" si="20"/>
        <v>Y</v>
      </c>
      <c r="X24" s="92">
        <f t="shared" si="21"/>
        <v>1</v>
      </c>
      <c r="Y24" s="89">
        <f t="shared" si="22"/>
        <v>23.299600000000002</v>
      </c>
      <c r="Z24" s="89">
        <f t="shared" si="23"/>
        <v>6.4157000000000002</v>
      </c>
      <c r="AA24" s="89">
        <f t="shared" si="24"/>
        <v>16.883900000000001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0112-19</v>
      </c>
      <c r="AE24" s="75" t="str">
        <f t="shared" si="26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24" s="75" t="str">
        <f t="shared" si="27"/>
        <v>"C:\Program Files (x86)\AstroGrep\AstroGrep.exe" /spath="C:\Users\stu\Documents\Analysis\2016-02-23 RTDC Observations" /stypes="*4028*20160719*" /stext=" 12:.+((prompt.+disp)|(slice.+state.+chan)|(ment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hidden="1" x14ac:dyDescent="0.25">
      <c r="A25" s="49" t="s">
        <v>374</v>
      </c>
      <c r="B25" s="7">
        <v>4007</v>
      </c>
      <c r="C25" s="26" t="s">
        <v>59</v>
      </c>
      <c r="D25" s="26" t="s">
        <v>553</v>
      </c>
      <c r="E25" s="16">
        <v>42570.215891203705</v>
      </c>
      <c r="F25" s="16">
        <v>42570.216782407406</v>
      </c>
      <c r="G25" s="7">
        <v>1</v>
      </c>
      <c r="H25" s="16" t="s">
        <v>559</v>
      </c>
      <c r="I25" s="16">
        <v>42570.243206018517</v>
      </c>
      <c r="J25" s="7">
        <v>1</v>
      </c>
      <c r="K25" s="26" t="str">
        <f t="shared" si="15"/>
        <v>4007/4008</v>
      </c>
      <c r="L25" s="26" t="str">
        <f>VLOOKUP(A25,'Trips&amp;Operators'!$C$1:$E$10000,3,FALSE)</f>
        <v>BEAM</v>
      </c>
      <c r="M25" s="6">
        <f t="shared" si="16"/>
        <v>2.6423611110658385E-2</v>
      </c>
      <c r="N25" s="7">
        <f t="shared" si="2"/>
        <v>38.049999999348074</v>
      </c>
      <c r="O25" s="7"/>
      <c r="P25" s="7"/>
      <c r="Q25" s="27"/>
      <c r="R25" s="27"/>
      <c r="S25" s="45">
        <f t="shared" si="17"/>
        <v>1</v>
      </c>
      <c r="T25" s="69" t="str">
        <f t="shared" si="18"/>
        <v>NorthBound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04:10:53-0600',mode:absolute,to:'2016-07-19 06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74" t="str">
        <f t="shared" si="20"/>
        <v>N</v>
      </c>
      <c r="X25" s="92">
        <f t="shared" si="21"/>
        <v>1</v>
      </c>
      <c r="Y25" s="89">
        <f t="shared" si="22"/>
        <v>4.6600000000000003E-2</v>
      </c>
      <c r="Z25" s="89">
        <f t="shared" si="23"/>
        <v>23.331600000000002</v>
      </c>
      <c r="AA25" s="89">
        <f t="shared" si="24"/>
        <v>23.285</v>
      </c>
      <c r="AB25" s="86" t="e">
        <f>VLOOKUP(A25,Enforcements!$C$7:$J$23,8,0)</f>
        <v>#N/A</v>
      </c>
      <c r="AC25" s="82" t="e">
        <f>VLOOKUP(A25,Enforcements!$C$7:$E$23,3,0)</f>
        <v>#N/A</v>
      </c>
      <c r="AD25" s="83" t="str">
        <f t="shared" si="25"/>
        <v>0113-19</v>
      </c>
      <c r="AE25" s="75" t="str">
        <f t="shared" si="26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25" s="75" t="str">
        <f t="shared" si="27"/>
        <v>"C:\Program Files (x86)\AstroGrep\AstroGrep.exe" /spath="C:\Users\stu\Documents\Analysis\2016-02-23 RTDC Observations" /stypes="*4007*20160719*" /stext=" 11:.+((prompt.+disp)|(slice.+state.+chan)|(ment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362</v>
      </c>
      <c r="B26" s="7">
        <v>4008</v>
      </c>
      <c r="C26" s="26" t="s">
        <v>59</v>
      </c>
      <c r="D26" s="26" t="s">
        <v>186</v>
      </c>
      <c r="E26" s="16">
        <v>42570.254618055558</v>
      </c>
      <c r="F26" s="16">
        <v>42570.255393518521</v>
      </c>
      <c r="G26" s="7">
        <v>1</v>
      </c>
      <c r="H26" s="16" t="s">
        <v>560</v>
      </c>
      <c r="I26" s="16">
        <v>42570.272546296299</v>
      </c>
      <c r="J26" s="7">
        <v>0</v>
      </c>
      <c r="K26" s="26" t="str">
        <f t="shared" si="15"/>
        <v>4007/4008</v>
      </c>
      <c r="L26" s="26" t="str">
        <f>VLOOKUP(A26,'Trips&amp;Operators'!$C$1:$E$10000,3,FALSE)</f>
        <v>BEAM</v>
      </c>
      <c r="M26" s="6">
        <f t="shared" si="16"/>
        <v>1.7152777778392192E-2</v>
      </c>
      <c r="N26" s="7"/>
      <c r="O26" s="7"/>
      <c r="P26" s="7">
        <f t="shared" si="2"/>
        <v>24.700000000884756</v>
      </c>
      <c r="Q26" s="27"/>
      <c r="R26" s="27" t="s">
        <v>646</v>
      </c>
      <c r="S26" s="45">
        <f t="shared" si="17"/>
        <v>0.16666666666666666</v>
      </c>
      <c r="T26" s="69" t="str">
        <f t="shared" si="18"/>
        <v>Southbound</v>
      </c>
      <c r="U26" s="96">
        <f>COUNTIFS(Variables!$M$2:$M$19,IF(T26="NorthBound","&gt;=","&lt;=")&amp;Y26,Variables!$M$2:$M$19,IF(T26="NorthBound","&lt;=","&gt;=")&amp;Z26)</f>
        <v>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05:06:39-0600',mode:absolute,to:'2016-07-19 07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74" t="str">
        <f t="shared" si="20"/>
        <v>Y</v>
      </c>
      <c r="X26" s="92">
        <f t="shared" si="21"/>
        <v>1</v>
      </c>
      <c r="Y26" s="89">
        <f t="shared" si="22"/>
        <v>23.298200000000001</v>
      </c>
      <c r="Z26" s="89">
        <f t="shared" si="23"/>
        <v>8.6353000000000009</v>
      </c>
      <c r="AA26" s="89">
        <f t="shared" si="24"/>
        <v>14.6629</v>
      </c>
      <c r="AB26" s="86" t="e">
        <f>VLOOKUP(A26,Enforcements!$C$7:$J$23,8,0)</f>
        <v>#N/A</v>
      </c>
      <c r="AC26" s="82" t="e">
        <f>VLOOKUP(A26,Enforcements!$C$7:$E$23,3,0)</f>
        <v>#N/A</v>
      </c>
      <c r="AD26" s="83" t="str">
        <f t="shared" si="25"/>
        <v>0114-19</v>
      </c>
      <c r="AE26" s="75" t="str">
        <f t="shared" si="26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26" s="75" t="str">
        <f t="shared" si="27"/>
        <v>"C:\Program Files (x86)\AstroGrep\AstroGrep.exe" /spath="C:\Users\stu\Documents\Analysis\2016-02-23 RTDC Observations" /stypes="*4008*20160719*" /stext=" 12:.+((prompt.+disp)|(slice.+state.+chan)|(ment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hidden="1" x14ac:dyDescent="0.25">
      <c r="A27" s="49" t="s">
        <v>385</v>
      </c>
      <c r="B27" s="7">
        <v>4031</v>
      </c>
      <c r="C27" s="26" t="s">
        <v>59</v>
      </c>
      <c r="D27" s="26" t="s">
        <v>561</v>
      </c>
      <c r="E27" s="16">
        <v>42570.22693287037</v>
      </c>
      <c r="F27" s="16">
        <v>42570.228252314817</v>
      </c>
      <c r="G27" s="7">
        <v>1</v>
      </c>
      <c r="H27" s="16" t="s">
        <v>562</v>
      </c>
      <c r="I27" s="16">
        <v>42570.253831018519</v>
      </c>
      <c r="J27" s="7">
        <v>1</v>
      </c>
      <c r="K27" s="26" t="str">
        <f t="shared" si="15"/>
        <v>4031/4032</v>
      </c>
      <c r="L27" s="26" t="str">
        <f>VLOOKUP(A27,'Trips&amp;Operators'!$C$1:$E$10000,3,FALSE)</f>
        <v>ROCHA</v>
      </c>
      <c r="M27" s="6">
        <f t="shared" si="16"/>
        <v>2.5578703702194616E-2</v>
      </c>
      <c r="N27" s="7">
        <f t="shared" si="2"/>
        <v>36.833333331160247</v>
      </c>
      <c r="O27" s="7"/>
      <c r="P27" s="7"/>
      <c r="Q27" s="27"/>
      <c r="R27" s="27"/>
      <c r="S27" s="45">
        <f t="shared" si="17"/>
        <v>1</v>
      </c>
      <c r="T27" s="69" t="str">
        <f t="shared" si="18"/>
        <v>NorthBound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04:26:47-0600',mode:absolute,to:'2016-07-19 07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7.0099999999999996E-2</v>
      </c>
      <c r="Z27" s="89">
        <f t="shared" si="23"/>
        <v>23.329499999999999</v>
      </c>
      <c r="AA27" s="89">
        <f t="shared" si="24"/>
        <v>23.259399999999999</v>
      </c>
      <c r="AB27" s="86" t="e">
        <f>VLOOKUP(A27,Enforcements!$C$7:$J$23,8,0)</f>
        <v>#N/A</v>
      </c>
      <c r="AC27" s="82" t="e">
        <f>VLOOKUP(A27,Enforcements!$C$7:$E$23,3,0)</f>
        <v>#N/A</v>
      </c>
      <c r="AD27" s="83" t="str">
        <f t="shared" si="25"/>
        <v>0115-19</v>
      </c>
      <c r="AE27" s="75" t="str">
        <f t="shared" si="26"/>
        <v>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 &amp; aws s3 cp s3://rtdc.mdm.uploadarchive/RTDC4031/2016-07-20/ "C:\Users\stu\Documents\Analysis\2016-02-23 RTDC Observations"\RTDC4031\2016-07-20 --recursive &amp; "C:\Users\stu\Documents\GitHub\mrs-test-scripts\Headless Mode &amp; Sideloading\WalkAndUnGZ.bat" "C:\Users\stu\Documents\Analysis\2016-02-23 RTDC Observations"\RTDC4031\2016-07-20</v>
      </c>
      <c r="AF27" s="75" t="str">
        <f t="shared" si="27"/>
        <v>"C:\Program Files (x86)\AstroGrep\AstroGrep.exe" /spath="C:\Users\stu\Documents\Analysis\2016-02-23 RTDC Observations" /stypes="*4031*20160719*"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hidden="1" x14ac:dyDescent="0.25">
      <c r="A28" s="49" t="s">
        <v>386</v>
      </c>
      <c r="B28" s="7">
        <v>4032</v>
      </c>
      <c r="C28" s="26" t="s">
        <v>59</v>
      </c>
      <c r="D28" s="26" t="s">
        <v>202</v>
      </c>
      <c r="E28" s="16">
        <v>42570.263148148151</v>
      </c>
      <c r="F28" s="16">
        <v>42570.264050925929</v>
      </c>
      <c r="G28" s="7">
        <v>1</v>
      </c>
      <c r="H28" s="16" t="s">
        <v>563</v>
      </c>
      <c r="I28" s="16">
        <v>42570.305995370371</v>
      </c>
      <c r="J28" s="7">
        <v>0</v>
      </c>
      <c r="K28" s="26" t="str">
        <f t="shared" si="15"/>
        <v>4031/4032</v>
      </c>
      <c r="L28" s="26" t="str">
        <f>VLOOKUP(A28,'Trips&amp;Operators'!$C$1:$E$10000,3,FALSE)</f>
        <v>ROCHA</v>
      </c>
      <c r="M28" s="6">
        <f t="shared" si="16"/>
        <v>4.1944444441469386E-2</v>
      </c>
      <c r="N28" s="7">
        <f t="shared" si="2"/>
        <v>60.399999995715916</v>
      </c>
      <c r="O28" s="7"/>
      <c r="P28" s="7"/>
      <c r="Q28" s="27"/>
      <c r="R28" s="27"/>
      <c r="S28" s="45">
        <f t="shared" si="17"/>
        <v>1</v>
      </c>
      <c r="T28" s="69" t="str">
        <f t="shared" si="18"/>
        <v>Southbound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05:18:56-0600',mode:absolute,to:'2016-07-19 08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74" t="str">
        <f t="shared" si="20"/>
        <v>N</v>
      </c>
      <c r="X28" s="92">
        <f t="shared" si="21"/>
        <v>1</v>
      </c>
      <c r="Y28" s="89">
        <f t="shared" si="22"/>
        <v>23.2989</v>
      </c>
      <c r="Z28" s="89">
        <f t="shared" si="23"/>
        <v>0.17460000000000001</v>
      </c>
      <c r="AA28" s="89">
        <f t="shared" si="24"/>
        <v>23.124299999999998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0116-19</v>
      </c>
      <c r="AE28" s="75" t="str">
        <f t="shared" si="26"/>
        <v>aws s3 cp s3://rtdc.mdm.uploadarchive/RTDC4032/2016-07-19/ "C:\Users\stu\Documents\Analysis\2016-02-23 RTDC Observations"\RTDC4032\2016-07-19 --recursive &amp; "C:\Users\stu\Documents\GitHub\mrs-test-scripts\Headless Mode &amp; Sideloading\WalkAndUnGZ.bat" "C:\Users\stu\Documents\Analysis\2016-02-23 RTDC Observations"\RTDC4032\2016-07-19 &amp; aws s3 cp s3://rtdc.mdm.uploadarchive/RTDC4032/2016-07-20/ "C:\Users\stu\Documents\Analysis\2016-02-23 RTDC Observations"\RTDC4032\2016-07-20 --recursive &amp; "C:\Users\stu\Documents\GitHub\mrs-test-scripts\Headless Mode &amp; Sideloading\WalkAndUnGZ.bat" "C:\Users\stu\Documents\Analysis\2016-02-23 RTDC Observations"\RTDC4032\2016-07-20</v>
      </c>
      <c r="AF28" s="75" t="str">
        <f t="shared" si="27"/>
        <v>"C:\Program Files (x86)\AstroGrep\AstroGrep.exe" /spath="C:\Users\stu\Documents\Analysis\2016-02-23 RTDC Observations" /stypes="*4032*20160719*" /stext=" 13:.+((prompt.+disp)|(slice.+state.+chan)|(ment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hidden="1" x14ac:dyDescent="0.25">
      <c r="A29" s="49" t="s">
        <v>398</v>
      </c>
      <c r="B29" s="7">
        <v>4011</v>
      </c>
      <c r="C29" s="26" t="s">
        <v>59</v>
      </c>
      <c r="D29" s="26" t="s">
        <v>564</v>
      </c>
      <c r="E29" s="16">
        <v>42570.233877314815</v>
      </c>
      <c r="F29" s="16">
        <v>42570.235127314816</v>
      </c>
      <c r="G29" s="7">
        <v>1</v>
      </c>
      <c r="H29" s="16" t="s">
        <v>332</v>
      </c>
      <c r="I29" s="16">
        <v>42570.264270833337</v>
      </c>
      <c r="J29" s="7">
        <v>0</v>
      </c>
      <c r="K29" s="26" t="str">
        <f t="shared" si="15"/>
        <v>4011/4012</v>
      </c>
      <c r="L29" s="26" t="str">
        <f>VLOOKUP(A29,'Trips&amp;Operators'!$C$1:$E$10000,3,FALSE)</f>
        <v>ACKERMAN</v>
      </c>
      <c r="M29" s="6">
        <f t="shared" si="16"/>
        <v>2.9143518520868383E-2</v>
      </c>
      <c r="N29" s="7">
        <f t="shared" si="2"/>
        <v>41.966666670050472</v>
      </c>
      <c r="O29" s="7"/>
      <c r="P29" s="7"/>
      <c r="Q29" s="27"/>
      <c r="R29" s="27"/>
      <c r="S29" s="45">
        <f t="shared" si="17"/>
        <v>1</v>
      </c>
      <c r="T29" s="69" t="str">
        <f t="shared" si="18"/>
        <v>NorthBound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04:36:47-0600',mode:absolute,to:'2016-07-19 07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3.7499999999999999E-2</v>
      </c>
      <c r="Z29" s="89">
        <f t="shared" si="23"/>
        <v>23.3322</v>
      </c>
      <c r="AA29" s="89">
        <f t="shared" si="24"/>
        <v>23.294699999999999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0117-19</v>
      </c>
      <c r="AE29" s="75" t="str">
        <f t="shared" si="26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29" s="75" t="str">
        <f t="shared" si="27"/>
        <v>"C:\Program Files (x86)\AstroGrep\AstroGrep.exe" /spath="C:\Users\stu\Documents\Analysis\2016-02-23 RTDC Observations" /stypes="*4011*20160719*" /stext=" 12:.+((prompt.+disp)|(slice.+state.+chan)|(ment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hidden="1" x14ac:dyDescent="0.25">
      <c r="A30" s="49" t="s">
        <v>375</v>
      </c>
      <c r="B30" s="7">
        <v>4012</v>
      </c>
      <c r="C30" s="26" t="s">
        <v>59</v>
      </c>
      <c r="D30" s="26" t="s">
        <v>320</v>
      </c>
      <c r="E30" s="16">
        <v>42570.273784722223</v>
      </c>
      <c r="F30" s="16">
        <v>42570.274942129632</v>
      </c>
      <c r="G30" s="7">
        <v>1</v>
      </c>
      <c r="H30" s="16" t="s">
        <v>314</v>
      </c>
      <c r="I30" s="16">
        <v>42570.311238425929</v>
      </c>
      <c r="J30" s="7">
        <v>1</v>
      </c>
      <c r="K30" s="26" t="str">
        <f t="shared" si="15"/>
        <v>4011/4012</v>
      </c>
      <c r="L30" s="26" t="str">
        <f>VLOOKUP(A30,'Trips&amp;Operators'!$C$1:$E$10000,3,FALSE)</f>
        <v>ACKERMAN</v>
      </c>
      <c r="M30" s="6">
        <f t="shared" si="16"/>
        <v>3.6296296297223307E-2</v>
      </c>
      <c r="N30" s="7">
        <f t="shared" si="2"/>
        <v>52.266666668001562</v>
      </c>
      <c r="O30" s="7"/>
      <c r="P30" s="7"/>
      <c r="Q30" s="27"/>
      <c r="R30" s="27"/>
      <c r="S30" s="45">
        <f t="shared" si="17"/>
        <v>1</v>
      </c>
      <c r="T30" s="69" t="str">
        <f t="shared" si="18"/>
        <v>Southbound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05:34:15-0600',mode:absolute,to:'2016-07-19 08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23.300699999999999</v>
      </c>
      <c r="Z30" s="89">
        <f t="shared" si="23"/>
        <v>3.6400000000000002E-2</v>
      </c>
      <c r="AA30" s="89">
        <f t="shared" si="24"/>
        <v>23.264299999999999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0118-19</v>
      </c>
      <c r="AE30" s="75" t="str">
        <f t="shared" si="26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30" s="75" t="str">
        <f t="shared" si="27"/>
        <v>"C:\Program Files (x86)\AstroGrep\AstroGrep.exe" /spath="C:\Users\stu\Documents\Analysis\2016-02-23 RTDC Observations" /stypes="*4012*20160719*" /stext=" 13:.+((prompt.+disp)|(slice.+state.+chan)|(ment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hidden="1" x14ac:dyDescent="0.25">
      <c r="A31" s="49" t="s">
        <v>396</v>
      </c>
      <c r="B31" s="7">
        <v>4044</v>
      </c>
      <c r="C31" s="26" t="s">
        <v>59</v>
      </c>
      <c r="D31" s="26" t="s">
        <v>565</v>
      </c>
      <c r="E31" s="16">
        <v>42570.247372685182</v>
      </c>
      <c r="F31" s="16">
        <v>42570.248854166668</v>
      </c>
      <c r="G31" s="7">
        <v>2</v>
      </c>
      <c r="H31" s="16" t="s">
        <v>566</v>
      </c>
      <c r="I31" s="16">
        <v>42570.278460648151</v>
      </c>
      <c r="J31" s="7">
        <v>0</v>
      </c>
      <c r="K31" s="26" t="str">
        <f t="shared" si="15"/>
        <v>4043/4044</v>
      </c>
      <c r="L31" s="26" t="str">
        <f>VLOOKUP(A31,'Trips&amp;Operators'!$C$1:$E$10000,3,FALSE)</f>
        <v>SANTIZO</v>
      </c>
      <c r="M31" s="6">
        <f t="shared" si="16"/>
        <v>2.9606481482915115E-2</v>
      </c>
      <c r="N31" s="7">
        <f t="shared" si="2"/>
        <v>42.633333335397765</v>
      </c>
      <c r="O31" s="7"/>
      <c r="P31" s="7"/>
      <c r="Q31" s="27"/>
      <c r="R31" s="27"/>
      <c r="S31" s="45">
        <f t="shared" si="17"/>
        <v>1</v>
      </c>
      <c r="T31" s="69" t="str">
        <f t="shared" si="18"/>
        <v>NorthBound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04:56:13-0600',mode:absolute,to:'2016-07-19 07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7.7200000000000005E-2</v>
      </c>
      <c r="Z31" s="89">
        <f t="shared" si="23"/>
        <v>23.331900000000001</v>
      </c>
      <c r="AA31" s="89">
        <f t="shared" si="24"/>
        <v>23.2547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0119-19</v>
      </c>
      <c r="AE31" s="75" t="str">
        <f t="shared" si="26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31" s="75" t="str">
        <f t="shared" si="27"/>
        <v>"C:\Program Files (x86)\AstroGrep\AstroGrep.exe" /spath="C:\Users\stu\Documents\Analysis\2016-02-23 RTDC Observations" /stypes="*4044*20160719*" /stext=" 12:.+((prompt.+disp)|(slice.+state.+chan)|(ment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hidden="1" x14ac:dyDescent="0.25">
      <c r="A32" s="49" t="s">
        <v>393</v>
      </c>
      <c r="B32" s="7">
        <v>4043</v>
      </c>
      <c r="C32" s="26" t="s">
        <v>59</v>
      </c>
      <c r="D32" s="26" t="s">
        <v>329</v>
      </c>
      <c r="E32" s="16">
        <v>42570.280381944445</v>
      </c>
      <c r="F32" s="16">
        <v>42570.281342592592</v>
      </c>
      <c r="G32" s="7">
        <v>1</v>
      </c>
      <c r="H32" s="16" t="s">
        <v>178</v>
      </c>
      <c r="I32" s="16">
        <v>42570.316250000003</v>
      </c>
      <c r="J32" s="7">
        <v>0</v>
      </c>
      <c r="K32" s="26" t="str">
        <f t="shared" si="15"/>
        <v>4043/4044</v>
      </c>
      <c r="L32" s="26" t="str">
        <f>VLOOKUP(A32,'Trips&amp;Operators'!$C$1:$E$10000,3,FALSE)</f>
        <v>SANTIZO</v>
      </c>
      <c r="M32" s="6">
        <f t="shared" si="16"/>
        <v>3.4907407411083113E-2</v>
      </c>
      <c r="N32" s="7">
        <f t="shared" si="2"/>
        <v>50.266666671959683</v>
      </c>
      <c r="O32" s="7"/>
      <c r="P32" s="7"/>
      <c r="Q32" s="27"/>
      <c r="R32" s="27"/>
      <c r="S32" s="45">
        <f t="shared" si="17"/>
        <v>1</v>
      </c>
      <c r="T32" s="69" t="str">
        <f t="shared" si="18"/>
        <v>Southbound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05:43:45-0600',mode:absolute,to:'2016-07-19 08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23.300999999999998</v>
      </c>
      <c r="Z32" s="89">
        <f t="shared" si="23"/>
        <v>1.4999999999999999E-2</v>
      </c>
      <c r="AA32" s="89">
        <f t="shared" si="24"/>
        <v>23.285999999999998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0120-19</v>
      </c>
      <c r="AE32" s="75" t="str">
        <f t="shared" si="26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32" s="75" t="str">
        <f t="shared" si="27"/>
        <v>"C:\Program Files (x86)\AstroGrep\AstroGrep.exe" /spath="C:\Users\stu\Documents\Analysis\2016-02-23 RTDC Observations" /stypes="*4043*20160719*" /stext=" 13:.+((prompt.+disp)|(slice.+state.+chan)|(ment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hidden="1" x14ac:dyDescent="0.25">
      <c r="A33" s="49" t="s">
        <v>399</v>
      </c>
      <c r="B33" s="7">
        <v>4009</v>
      </c>
      <c r="C33" s="26" t="s">
        <v>59</v>
      </c>
      <c r="D33" s="26" t="s">
        <v>233</v>
      </c>
      <c r="E33" s="16">
        <v>42570.261828703704</v>
      </c>
      <c r="F33" s="16">
        <v>42570.26295138889</v>
      </c>
      <c r="G33" s="7">
        <v>1</v>
      </c>
      <c r="H33" s="16" t="s">
        <v>196</v>
      </c>
      <c r="I33" s="16">
        <v>42570.292083333334</v>
      </c>
      <c r="J33" s="7">
        <v>0</v>
      </c>
      <c r="K33" s="26" t="str">
        <f t="shared" si="15"/>
        <v>4009/4010</v>
      </c>
      <c r="L33" s="26" t="str">
        <f>VLOOKUP(A33,'Trips&amp;Operators'!$C$1:$E$10000,3,FALSE)</f>
        <v>SPECTOR</v>
      </c>
      <c r="M33" s="6">
        <f t="shared" si="16"/>
        <v>2.9131944444088731E-2</v>
      </c>
      <c r="N33" s="7">
        <f t="shared" si="2"/>
        <v>41.949999999487773</v>
      </c>
      <c r="O33" s="7"/>
      <c r="P33" s="7"/>
      <c r="Q33" s="27"/>
      <c r="R33" s="27"/>
      <c r="S33" s="45">
        <f t="shared" si="17"/>
        <v>1</v>
      </c>
      <c r="T33" s="69" t="str">
        <f t="shared" si="18"/>
        <v>NorthBound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05:17:02-0600',mode:absolute,to:'2016-07-19 08:00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4.4900000000000002E-2</v>
      </c>
      <c r="Z33" s="89">
        <f t="shared" si="23"/>
        <v>23.330100000000002</v>
      </c>
      <c r="AA33" s="89">
        <f t="shared" si="24"/>
        <v>23.285200000000003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0121-19</v>
      </c>
      <c r="AE33" s="75" t="str">
        <f t="shared" si="26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33" s="75" t="str">
        <f t="shared" si="27"/>
        <v>"C:\Program Files (x86)\AstroGrep\AstroGrep.exe" /spath="C:\Users\stu\Documents\Analysis\2016-02-23 RTDC Observations" /stypes="*4009*20160719*"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hidden="1" x14ac:dyDescent="0.25">
      <c r="A34" s="49" t="s">
        <v>376</v>
      </c>
      <c r="B34" s="7">
        <v>4010</v>
      </c>
      <c r="C34" s="26" t="s">
        <v>59</v>
      </c>
      <c r="D34" s="26" t="s">
        <v>227</v>
      </c>
      <c r="E34" s="16">
        <v>42570.297511574077</v>
      </c>
      <c r="F34" s="16">
        <v>42570.298495370371</v>
      </c>
      <c r="G34" s="7">
        <v>1</v>
      </c>
      <c r="H34" s="16" t="s">
        <v>567</v>
      </c>
      <c r="I34" s="16">
        <v>42570.330335648148</v>
      </c>
      <c r="J34" s="7">
        <v>0</v>
      </c>
      <c r="K34" s="26" t="str">
        <f t="shared" si="15"/>
        <v>4009/4010</v>
      </c>
      <c r="L34" s="26" t="str">
        <f>VLOOKUP(A34,'Trips&amp;Operators'!$C$1:$E$10000,3,FALSE)</f>
        <v>SPECTOR</v>
      </c>
      <c r="M34" s="6">
        <f t="shared" si="16"/>
        <v>3.1840277777519077E-2</v>
      </c>
      <c r="N34" s="7">
        <f t="shared" si="2"/>
        <v>45.849999999627471</v>
      </c>
      <c r="O34" s="7"/>
      <c r="P34" s="7"/>
      <c r="Q34" s="27"/>
      <c r="R34" s="27"/>
      <c r="S34" s="45">
        <f t="shared" si="17"/>
        <v>1</v>
      </c>
      <c r="T34" s="69" t="str">
        <f t="shared" si="18"/>
        <v>Southbound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06:08:25-0600',mode:absolute,to:'2016-07-19 08:55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23.297799999999999</v>
      </c>
      <c r="Z34" s="89">
        <f t="shared" si="23"/>
        <v>3.5999999999999997E-2</v>
      </c>
      <c r="AA34" s="89">
        <f t="shared" si="24"/>
        <v>23.261799999999997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0122-19</v>
      </c>
      <c r="AE34" s="75" t="str">
        <f t="shared" si="26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34" s="75" t="str">
        <f t="shared" si="27"/>
        <v>"C:\Program Files (x86)\AstroGrep\AstroGrep.exe" /spath="C:\Users\stu\Documents\Analysis\2016-02-23 RTDC Observations" /stypes="*4010*20160719*" /stext=" 13:.+((prompt.+disp)|(slice.+state.+chan)|(ment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hidden="1" x14ac:dyDescent="0.25">
      <c r="A35" s="49" t="s">
        <v>395</v>
      </c>
      <c r="B35" s="7">
        <v>4029</v>
      </c>
      <c r="C35" s="26" t="s">
        <v>59</v>
      </c>
      <c r="D35" s="26" t="s">
        <v>568</v>
      </c>
      <c r="E35" s="16">
        <v>42570.266342592593</v>
      </c>
      <c r="F35" s="16">
        <v>42570.267604166664</v>
      </c>
      <c r="G35" s="7">
        <v>1</v>
      </c>
      <c r="H35" s="16" t="s">
        <v>569</v>
      </c>
      <c r="I35" s="16">
        <v>42570.298182870371</v>
      </c>
      <c r="J35" s="7">
        <v>0</v>
      </c>
      <c r="K35" s="26" t="str">
        <f t="shared" si="15"/>
        <v>4029/4030</v>
      </c>
      <c r="L35" s="26" t="str">
        <f>VLOOKUP(A35,'Trips&amp;Operators'!$C$1:$E$10000,3,FALSE)</f>
        <v>DE LA ROSA</v>
      </c>
      <c r="M35" s="6">
        <f t="shared" si="16"/>
        <v>3.0578703706851229E-2</v>
      </c>
      <c r="N35" s="7">
        <f t="shared" si="2"/>
        <v>44.03333333786577</v>
      </c>
      <c r="O35" s="7"/>
      <c r="P35" s="7"/>
      <c r="Q35" s="27"/>
      <c r="R35" s="27"/>
      <c r="S35" s="45">
        <f t="shared" si="17"/>
        <v>1</v>
      </c>
      <c r="T35" s="69" t="str">
        <f t="shared" si="18"/>
        <v>NorthBound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05:23:32-0600',mode:absolute,to:'2016-07-19 08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5.0900000000000001E-2</v>
      </c>
      <c r="Z35" s="89">
        <f t="shared" si="23"/>
        <v>23.310199999999998</v>
      </c>
      <c r="AA35" s="89">
        <f t="shared" si="24"/>
        <v>23.2593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0123-19</v>
      </c>
      <c r="AE35" s="75" t="str">
        <f t="shared" si="26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35" s="75" t="str">
        <f t="shared" si="27"/>
        <v>"C:\Program Files (x86)\AstroGrep\AstroGrep.exe" /spath="C:\Users\stu\Documents\Analysis\2016-02-23 RTDC Observations" /stypes="*4029*20160719*"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hidden="1" x14ac:dyDescent="0.25">
      <c r="A36" s="49" t="s">
        <v>361</v>
      </c>
      <c r="B36" s="7">
        <v>4030</v>
      </c>
      <c r="C36" s="26" t="s">
        <v>59</v>
      </c>
      <c r="D36" s="26" t="s">
        <v>570</v>
      </c>
      <c r="E36" s="16">
        <v>42570.303414351853</v>
      </c>
      <c r="F36" s="16">
        <v>42570.304629629631</v>
      </c>
      <c r="G36" s="7">
        <v>1</v>
      </c>
      <c r="H36" s="16" t="s">
        <v>571</v>
      </c>
      <c r="I36" s="16">
        <v>42570.339247685188</v>
      </c>
      <c r="J36" s="7">
        <v>0</v>
      </c>
      <c r="K36" s="26" t="str">
        <f t="shared" si="15"/>
        <v>4029/4030</v>
      </c>
      <c r="L36" s="26" t="str">
        <f>VLOOKUP(A36,'Trips&amp;Operators'!$C$1:$E$10000,3,FALSE)</f>
        <v>DE LA ROSA</v>
      </c>
      <c r="M36" s="6">
        <f t="shared" si="16"/>
        <v>3.4618055557075422E-2</v>
      </c>
      <c r="N36" s="7">
        <f t="shared" si="2"/>
        <v>49.850000002188608</v>
      </c>
      <c r="O36" s="7"/>
      <c r="P36" s="7"/>
      <c r="Q36" s="27"/>
      <c r="R36" s="27"/>
      <c r="S36" s="45">
        <f t="shared" si="17"/>
        <v>1</v>
      </c>
      <c r="T36" s="69" t="str">
        <f t="shared" si="18"/>
        <v>Southbound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06:16:55-0600',mode:absolute,to:'2016-07-19 09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23.294899999999998</v>
      </c>
      <c r="Z36" s="89">
        <f t="shared" si="23"/>
        <v>1.9800000000000002E-2</v>
      </c>
      <c r="AA36" s="89">
        <f t="shared" si="24"/>
        <v>23.275099999999998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0124-19</v>
      </c>
      <c r="AE36" s="75" t="str">
        <f t="shared" si="26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36" s="75" t="str">
        <f t="shared" si="27"/>
        <v>"C:\Program Files (x86)\AstroGrep\AstroGrep.exe" /spath="C:\Users\stu\Documents\Analysis\2016-02-23 RTDC Observations" /stypes="*4030*20160719*" /stext=" 14:.+((prompt.+disp)|(slice.+state.+chan)|(ment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hidden="1" x14ac:dyDescent="0.25">
      <c r="A37" s="49" t="s">
        <v>394</v>
      </c>
      <c r="B37" s="7">
        <v>4027</v>
      </c>
      <c r="C37" s="26" t="s">
        <v>59</v>
      </c>
      <c r="D37" s="26" t="s">
        <v>179</v>
      </c>
      <c r="E37" s="16">
        <v>42570.278344907405</v>
      </c>
      <c r="F37" s="16">
        <v>42570.279791666668</v>
      </c>
      <c r="G37" s="7">
        <v>2</v>
      </c>
      <c r="H37" s="16" t="s">
        <v>572</v>
      </c>
      <c r="I37" s="16">
        <v>42570.305706018517</v>
      </c>
      <c r="J37" s="7">
        <v>0</v>
      </c>
      <c r="K37" s="26" t="str">
        <f t="shared" si="15"/>
        <v>4027/4028</v>
      </c>
      <c r="L37" s="26" t="str">
        <f>VLOOKUP(A37,'Trips&amp;Operators'!$C$1:$E$10000,3,FALSE)</f>
        <v>GEBRETEKLE</v>
      </c>
      <c r="M37" s="6">
        <f t="shared" si="16"/>
        <v>2.5914351848769002E-2</v>
      </c>
      <c r="N37" s="7">
        <f t="shared" si="2"/>
        <v>37.316666662227362</v>
      </c>
      <c r="O37" s="7"/>
      <c r="P37" s="7"/>
      <c r="Q37" s="27"/>
      <c r="R37" s="27"/>
      <c r="S37" s="45">
        <f t="shared" si="17"/>
        <v>1</v>
      </c>
      <c r="T37" s="69" t="str">
        <f t="shared" si="18"/>
        <v>NorthBound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05:40:49-0600',mode:absolute,to:'2016-07-19 08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4.6399999999999997E-2</v>
      </c>
      <c r="Z37" s="89">
        <f t="shared" si="23"/>
        <v>23.3307</v>
      </c>
      <c r="AA37" s="89">
        <f t="shared" si="24"/>
        <v>23.284300000000002</v>
      </c>
      <c r="AB37" s="86" t="e">
        <f>VLOOKUP(A37,Enforcements!$C$7:$J$23,8,0)</f>
        <v>#N/A</v>
      </c>
      <c r="AC37" s="82" t="e">
        <f>VLOOKUP(A37,Enforcements!$C$7:$E$23,3,0)</f>
        <v>#N/A</v>
      </c>
      <c r="AD37" s="83" t="str">
        <f t="shared" si="25"/>
        <v>0125-19</v>
      </c>
      <c r="AE37" s="75" t="str">
        <f t="shared" si="26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37" s="75" t="str">
        <f t="shared" si="27"/>
        <v>"C:\Program Files (x86)\AstroGrep\AstroGrep.exe" /spath="C:\Users\stu\Documents\Analysis\2016-02-23 RTDC Observations" /stypes="*4027*20160719*" /stext=" 13:.+((prompt.+disp)|(slice.+state.+chan)|(ment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hidden="1" x14ac:dyDescent="0.25">
      <c r="A38" s="49" t="s">
        <v>378</v>
      </c>
      <c r="B38" s="7">
        <v>4028</v>
      </c>
      <c r="C38" s="26" t="s">
        <v>59</v>
      </c>
      <c r="D38" s="26" t="s">
        <v>186</v>
      </c>
      <c r="E38" s="16">
        <v>42570.315648148149</v>
      </c>
      <c r="F38" s="16">
        <v>42570.316817129627</v>
      </c>
      <c r="G38" s="7">
        <v>1</v>
      </c>
      <c r="H38" s="16" t="s">
        <v>573</v>
      </c>
      <c r="I38" s="16">
        <v>42570.349641203706</v>
      </c>
      <c r="J38" s="7">
        <v>0</v>
      </c>
      <c r="K38" s="26" t="str">
        <f t="shared" si="15"/>
        <v>4027/4028</v>
      </c>
      <c r="L38" s="26" t="str">
        <f>VLOOKUP(A38,'Trips&amp;Operators'!$C$1:$E$10000,3,FALSE)</f>
        <v>GEBRETEKLE</v>
      </c>
      <c r="M38" s="6">
        <f t="shared" si="16"/>
        <v>3.2824074078234844E-2</v>
      </c>
      <c r="N38" s="7">
        <f t="shared" si="2"/>
        <v>47.266666672658175</v>
      </c>
      <c r="O38" s="7"/>
      <c r="P38" s="7"/>
      <c r="Q38" s="27"/>
      <c r="R38" s="27"/>
      <c r="S38" s="45">
        <f t="shared" si="17"/>
        <v>1</v>
      </c>
      <c r="T38" s="69" t="str">
        <f t="shared" si="18"/>
        <v>Southbound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06:34:32-0600',mode:absolute,to:'2016-07-19 09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23.298200000000001</v>
      </c>
      <c r="Z38" s="89">
        <f t="shared" si="23"/>
        <v>3.2500000000000001E-2</v>
      </c>
      <c r="AA38" s="89">
        <f t="shared" si="24"/>
        <v>23.265700000000002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0126-19</v>
      </c>
      <c r="AE38" s="75" t="str">
        <f t="shared" si="26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38" s="75" t="str">
        <f t="shared" si="27"/>
        <v>"C:\Program Files (x86)\AstroGrep\AstroGrep.exe" /spath="C:\Users\stu\Documents\Analysis\2016-02-23 RTDC Observations" /stypes="*4028*20160719*"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hidden="1" x14ac:dyDescent="0.25">
      <c r="A39" s="49" t="s">
        <v>377</v>
      </c>
      <c r="B39" s="7">
        <v>4007</v>
      </c>
      <c r="C39" s="26" t="s">
        <v>59</v>
      </c>
      <c r="D39" s="26" t="s">
        <v>183</v>
      </c>
      <c r="E39" s="16">
        <v>42570.305486111109</v>
      </c>
      <c r="F39" s="16">
        <v>42570.30636574074</v>
      </c>
      <c r="G39" s="7">
        <v>1</v>
      </c>
      <c r="H39" s="16" t="s">
        <v>206</v>
      </c>
      <c r="I39" s="16">
        <v>42570.33353009259</v>
      </c>
      <c r="J39" s="7">
        <v>0</v>
      </c>
      <c r="K39" s="26" t="str">
        <f t="shared" si="15"/>
        <v>4007/4008</v>
      </c>
      <c r="L39" s="26" t="str">
        <f>VLOOKUP(A39,'Trips&amp;Operators'!$C$1:$E$10000,3,FALSE)</f>
        <v>GRASTON</v>
      </c>
      <c r="M39" s="6">
        <f t="shared" si="16"/>
        <v>2.7164351849933155E-2</v>
      </c>
      <c r="N39" s="7">
        <f t="shared" si="2"/>
        <v>39.116666663903743</v>
      </c>
      <c r="O39" s="7"/>
      <c r="P39" s="7"/>
      <c r="Q39" s="27"/>
      <c r="R39" s="27"/>
      <c r="S39" s="45">
        <f t="shared" si="17"/>
        <v>1</v>
      </c>
      <c r="T39" s="69" t="str">
        <f t="shared" si="18"/>
        <v>NorthBound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06:19:54-0600',mode:absolute,to:'2016-07-19 09:00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74" t="str">
        <f t="shared" si="20"/>
        <v>N</v>
      </c>
      <c r="X39" s="92">
        <f t="shared" si="21"/>
        <v>3</v>
      </c>
      <c r="Y39" s="89">
        <f t="shared" si="22"/>
        <v>4.6199999999999998E-2</v>
      </c>
      <c r="Z39" s="89">
        <f t="shared" si="23"/>
        <v>23.331099999999999</v>
      </c>
      <c r="AA39" s="89">
        <f t="shared" si="24"/>
        <v>23.2849</v>
      </c>
      <c r="AB39" s="86" t="e">
        <f>VLOOKUP(A39,Enforcements!$C$7:$J$23,8,0)</f>
        <v>#N/A</v>
      </c>
      <c r="AC39" s="82" t="e">
        <f>VLOOKUP(A39,Enforcements!$C$7:$E$23,3,0)</f>
        <v>#N/A</v>
      </c>
      <c r="AD39" s="83" t="str">
        <f t="shared" si="25"/>
        <v>0129-19</v>
      </c>
      <c r="AE39" s="75" t="str">
        <f t="shared" si="26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39" s="75" t="str">
        <f t="shared" si="27"/>
        <v>"C:\Program Files (x86)\AstroGrep\AstroGrep.exe" /spath="C:\Users\stu\Documents\Analysis\2016-02-23 RTDC Observations" /stypes="*4007*20160719*"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hidden="1" x14ac:dyDescent="0.25">
      <c r="A40" s="49" t="s">
        <v>379</v>
      </c>
      <c r="B40" s="7">
        <v>4008</v>
      </c>
      <c r="C40" s="26" t="s">
        <v>59</v>
      </c>
      <c r="D40" s="26" t="s">
        <v>186</v>
      </c>
      <c r="E40" s="16">
        <v>42570.336493055554</v>
      </c>
      <c r="F40" s="16">
        <v>42570.338865740741</v>
      </c>
      <c r="G40" s="7">
        <v>3</v>
      </c>
      <c r="H40" s="16" t="s">
        <v>71</v>
      </c>
      <c r="I40" s="16">
        <v>42570.368101851855</v>
      </c>
      <c r="J40" s="7">
        <v>0</v>
      </c>
      <c r="K40" s="26" t="str">
        <f t="shared" si="15"/>
        <v>4007/4008</v>
      </c>
      <c r="L40" s="26" t="str">
        <f>VLOOKUP(A40,'Trips&amp;Operators'!$C$1:$E$10000,3,FALSE)</f>
        <v>GRASTON</v>
      </c>
      <c r="M40" s="6">
        <f t="shared" si="16"/>
        <v>2.923611111327773E-2</v>
      </c>
      <c r="N40" s="7">
        <f t="shared" si="2"/>
        <v>42.100000003119931</v>
      </c>
      <c r="O40" s="7"/>
      <c r="P40" s="7"/>
      <c r="Q40" s="27"/>
      <c r="R40" s="27"/>
      <c r="S40" s="45">
        <f t="shared" si="17"/>
        <v>1</v>
      </c>
      <c r="T40" s="69" t="str">
        <f t="shared" si="18"/>
        <v>Southbound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07:04:33-0600',mode:absolute,to:'2016-07-19 09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23.298200000000001</v>
      </c>
      <c r="Z40" s="89">
        <f t="shared" si="23"/>
        <v>1.49E-2</v>
      </c>
      <c r="AA40" s="89">
        <f t="shared" si="24"/>
        <v>23.283300000000001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0130-19</v>
      </c>
      <c r="AE40" s="75" t="str">
        <f t="shared" si="26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40" s="75" t="str">
        <f t="shared" si="27"/>
        <v>"C:\Program Files (x86)\AstroGrep\AstroGrep.exe" /spath="C:\Users\stu\Documents\Analysis\2016-02-23 RTDC Observations" /stypes="*4008*20160719*"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392</v>
      </c>
      <c r="B41" s="7">
        <v>4038</v>
      </c>
      <c r="C41" s="26" t="s">
        <v>59</v>
      </c>
      <c r="D41" s="26" t="s">
        <v>574</v>
      </c>
      <c r="E41" s="16">
        <v>42570.312789351854</v>
      </c>
      <c r="F41" s="16">
        <v>42570.313657407409</v>
      </c>
      <c r="G41" s="7">
        <v>1</v>
      </c>
      <c r="H41" s="16" t="s">
        <v>575</v>
      </c>
      <c r="I41" s="16">
        <v>42570.317719907405</v>
      </c>
      <c r="J41" s="7">
        <v>2</v>
      </c>
      <c r="K41" s="26" t="str">
        <f t="shared" si="15"/>
        <v>4037/4038</v>
      </c>
      <c r="L41" s="26" t="str">
        <f>VLOOKUP(A41,'Trips&amp;Operators'!$C$1:$E$10000,3,FALSE)</f>
        <v>ROCHA</v>
      </c>
      <c r="M41" s="6">
        <f t="shared" si="16"/>
        <v>4.0624999965075403E-3</v>
      </c>
      <c r="N41" s="7"/>
      <c r="O41" s="7"/>
      <c r="P41" s="7">
        <f>24*60*SUM($M41:$M42)</f>
        <v>39.516666663112119</v>
      </c>
      <c r="Q41" s="27"/>
      <c r="R41" s="27" t="s">
        <v>650</v>
      </c>
      <c r="S41" s="45">
        <f>SUM(U41:U42)/12</f>
        <v>1</v>
      </c>
      <c r="T41" s="69" t="str">
        <f t="shared" si="18"/>
        <v>NorthBound</v>
      </c>
      <c r="U41" s="96">
        <f>COUNTIFS(Variables!$M$2:$M$19,IF(T41="NorthBound","&gt;=","&lt;=")&amp;Y41,Variables!$M$2:$M$19,IF(T41="NorthBound","&lt;=","&gt;=")&amp;Z41)</f>
        <v>0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06:30:25-0600',mode:absolute,to:'2016-07-19 08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1" s="74" t="str">
        <f t="shared" si="20"/>
        <v>Y</v>
      </c>
      <c r="X41" s="92">
        <f t="shared" si="21"/>
        <v>1</v>
      </c>
      <c r="Y41" s="89">
        <f t="shared" si="22"/>
        <v>0.15279999999999999</v>
      </c>
      <c r="Z41" s="89">
        <f t="shared" si="23"/>
        <v>0.19189999999999999</v>
      </c>
      <c r="AA41" s="89">
        <f t="shared" si="24"/>
        <v>3.9099999999999996E-2</v>
      </c>
      <c r="AB41" s="86">
        <f>VLOOKUP(A41,Enforcements!$C$7:$J$23,8,0)</f>
        <v>1692</v>
      </c>
      <c r="AC41" s="82" t="str">
        <f>VLOOKUP(A41,Enforcements!$C$7:$E$23,3,0)</f>
        <v>SIGNAL</v>
      </c>
      <c r="AD41" s="83" t="str">
        <f t="shared" si="25"/>
        <v>0131-19</v>
      </c>
      <c r="AE41" s="75" t="str">
        <f t="shared" si="26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41" s="75" t="str">
        <f t="shared" si="27"/>
        <v>"C:\Program Files (x86)\AstroGrep\AstroGrep.exe" /spath="C:\Users\stu\Documents\Analysis\2016-02-23 RTDC Observations" /stypes="*4038*20160719*"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hidden="1" x14ac:dyDescent="0.25">
      <c r="A42" s="49" t="s">
        <v>392</v>
      </c>
      <c r="B42" s="7">
        <v>4038</v>
      </c>
      <c r="C42" s="26" t="s">
        <v>59</v>
      </c>
      <c r="D42" s="26" t="s">
        <v>576</v>
      </c>
      <c r="E42" s="16">
        <v>42570.320636574077</v>
      </c>
      <c r="F42" s="16">
        <v>42570.321388888886</v>
      </c>
      <c r="G42" s="7">
        <v>1</v>
      </c>
      <c r="H42" s="16" t="s">
        <v>577</v>
      </c>
      <c r="I42" s="16">
        <v>42570.344768518517</v>
      </c>
      <c r="J42" s="7">
        <v>1</v>
      </c>
      <c r="K42" s="26" t="str">
        <f t="shared" si="15"/>
        <v>4037/4038</v>
      </c>
      <c r="L42" s="26" t="str">
        <f>VLOOKUP(A42,'Trips&amp;Operators'!$C$1:$E$10000,3,FALSE)</f>
        <v>ROCHA</v>
      </c>
      <c r="M42" s="6">
        <f t="shared" si="16"/>
        <v>2.3379629630653653E-2</v>
      </c>
      <c r="N42" s="7"/>
      <c r="O42" s="7"/>
      <c r="P42" s="7"/>
      <c r="Q42" s="27"/>
      <c r="R42" s="27"/>
      <c r="S42" s="45"/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06:41:43-0600',mode:absolute,to:'2016-07-19 09:16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2" s="74" t="str">
        <f t="shared" si="20"/>
        <v>Y</v>
      </c>
      <c r="X42" s="92">
        <f t="shared" si="21"/>
        <v>0</v>
      </c>
      <c r="Y42" s="89">
        <f t="shared" si="22"/>
        <v>1.9126000000000001</v>
      </c>
      <c r="Z42" s="89">
        <f t="shared" si="23"/>
        <v>23.3306</v>
      </c>
      <c r="AA42" s="89">
        <f t="shared" si="24"/>
        <v>21.417999999999999</v>
      </c>
      <c r="AB42" s="86">
        <f>VLOOKUP(A42,Enforcements!$C$7:$J$23,8,0)</f>
        <v>1692</v>
      </c>
      <c r="AC42" s="82" t="str">
        <f>VLOOKUP(A42,Enforcements!$C$7:$E$23,3,0)</f>
        <v>SIGNAL</v>
      </c>
      <c r="AD42" s="83" t="str">
        <f t="shared" si="25"/>
        <v>0131-19</v>
      </c>
      <c r="AE42" s="75" t="str">
        <f t="shared" si="26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42" s="75" t="str">
        <f t="shared" si="27"/>
        <v>"C:\Program Files (x86)\AstroGrep\AstroGrep.exe" /spath="C:\Users\stu\Documents\Analysis\2016-02-23 RTDC Observations" /stypes="*4038*20160719*"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hidden="1" x14ac:dyDescent="0.25">
      <c r="A43" s="49" t="s">
        <v>391</v>
      </c>
      <c r="B43" s="7">
        <v>4037</v>
      </c>
      <c r="C43" s="26" t="s">
        <v>59</v>
      </c>
      <c r="D43" s="26" t="s">
        <v>220</v>
      </c>
      <c r="E43" s="16">
        <v>42570.351689814815</v>
      </c>
      <c r="F43" s="16">
        <v>42570.352731481478</v>
      </c>
      <c r="G43" s="7">
        <v>1</v>
      </c>
      <c r="H43" s="16" t="s">
        <v>578</v>
      </c>
      <c r="I43" s="16">
        <v>42570.377511574072</v>
      </c>
      <c r="J43" s="7">
        <v>1</v>
      </c>
      <c r="K43" s="26" t="str">
        <f t="shared" si="15"/>
        <v>4037/4038</v>
      </c>
      <c r="L43" s="26" t="str">
        <f>VLOOKUP(A43,'Trips&amp;Operators'!$C$1:$E$10000,3,FALSE)</f>
        <v>ROCHA</v>
      </c>
      <c r="M43" s="6">
        <f t="shared" si="16"/>
        <v>2.4780092593573499E-2</v>
      </c>
      <c r="N43" s="7">
        <f t="shared" si="2"/>
        <v>35.683333334745839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07:26:26-0600',mode:absolute,to:'2016-07-19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23.298500000000001</v>
      </c>
      <c r="Z43" s="89">
        <f t="shared" si="23"/>
        <v>3.3099999999999997E-2</v>
      </c>
      <c r="AA43" s="89">
        <f t="shared" si="24"/>
        <v>23.2654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0132-19</v>
      </c>
      <c r="AE43" s="75" t="str">
        <f t="shared" si="26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43" s="75" t="str">
        <f t="shared" si="27"/>
        <v>"C:\Program Files (x86)\AstroGrep\AstroGrep.exe" /spath="C:\Users\stu\Documents\Analysis\2016-02-23 RTDC Observations" /stypes="*4037*20160719*" /stext=" 15:.+((prompt.+disp)|(slice.+state.+chan)|(ment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360</v>
      </c>
      <c r="B44" s="7">
        <v>4011</v>
      </c>
      <c r="C44" s="26" t="s">
        <v>59</v>
      </c>
      <c r="D44" s="26" t="s">
        <v>579</v>
      </c>
      <c r="E44" s="16">
        <v>42570.327349537038</v>
      </c>
      <c r="F44" s="16">
        <v>42570.328368055554</v>
      </c>
      <c r="G44" s="7">
        <v>1</v>
      </c>
      <c r="H44" s="16" t="s">
        <v>193</v>
      </c>
      <c r="I44" s="16">
        <v>42570.350127314814</v>
      </c>
      <c r="J44" s="7">
        <v>0</v>
      </c>
      <c r="K44" s="26" t="str">
        <f t="shared" si="15"/>
        <v>4011/4012</v>
      </c>
      <c r="L44" s="26" t="str">
        <f>VLOOKUP(A44,'Trips&amp;Operators'!$C$1:$E$10000,3,FALSE)</f>
        <v>ACKERMAN</v>
      </c>
      <c r="M44" s="6">
        <f t="shared" si="16"/>
        <v>2.1759259259852115E-2</v>
      </c>
      <c r="N44" s="7"/>
      <c r="O44" s="7"/>
      <c r="P44" s="7">
        <f t="shared" si="2"/>
        <v>31.333333334187046</v>
      </c>
      <c r="Q44" s="27"/>
      <c r="R44" s="27" t="s">
        <v>651</v>
      </c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06:51:23-0600',mode:absolute,to:'2016-07-19 09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4" s="74" t="str">
        <f t="shared" si="20"/>
        <v>Y</v>
      </c>
      <c r="X44" s="92">
        <f t="shared" si="21"/>
        <v>1</v>
      </c>
      <c r="Y44" s="89">
        <f t="shared" si="22"/>
        <v>1.9137</v>
      </c>
      <c r="Z44" s="89">
        <f t="shared" si="23"/>
        <v>23.330500000000001</v>
      </c>
      <c r="AA44" s="89">
        <f t="shared" si="24"/>
        <v>21.416800000000002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0133-19</v>
      </c>
      <c r="AE44" s="75" t="str">
        <f t="shared" si="26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44" s="75" t="str">
        <f t="shared" si="27"/>
        <v>"C:\Program Files (x86)\AstroGrep\AstroGrep.exe" /spath="C:\Users\stu\Documents\Analysis\2016-02-23 RTDC Observations" /stypes="*4011*20160719*"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390</v>
      </c>
      <c r="B45" s="7">
        <v>4012</v>
      </c>
      <c r="C45" s="26" t="s">
        <v>59</v>
      </c>
      <c r="D45" s="26" t="s">
        <v>186</v>
      </c>
      <c r="E45" s="16">
        <v>42570.355717592596</v>
      </c>
      <c r="F45" s="16">
        <v>42570.356759259259</v>
      </c>
      <c r="G45" s="7">
        <v>1</v>
      </c>
      <c r="H45" s="16" t="s">
        <v>580</v>
      </c>
      <c r="I45" s="16">
        <v>42570.38071759259</v>
      </c>
      <c r="J45" s="7">
        <v>1</v>
      </c>
      <c r="K45" s="26" t="str">
        <f t="shared" si="15"/>
        <v>4011/4012</v>
      </c>
      <c r="L45" s="26" t="str">
        <f>VLOOKUP(A45,'Trips&amp;Operators'!$C$1:$E$10000,3,FALSE)</f>
        <v>ACKERMAN</v>
      </c>
      <c r="M45" s="6">
        <f t="shared" si="16"/>
        <v>2.3958333331393078E-2</v>
      </c>
      <c r="N45" s="7"/>
      <c r="O45" s="7"/>
      <c r="P45" s="7">
        <f t="shared" si="2"/>
        <v>34.499999997206032</v>
      </c>
      <c r="Q45" s="27"/>
      <c r="R45" s="27" t="s">
        <v>402</v>
      </c>
      <c r="S45" s="45">
        <f t="shared" si="17"/>
        <v>0.75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9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07:32:14-0600',mode:absolute,to:'2016-07-19 10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5" s="74" t="str">
        <f t="shared" si="20"/>
        <v>Y</v>
      </c>
      <c r="X45" s="92">
        <f t="shared" si="21"/>
        <v>1</v>
      </c>
      <c r="Y45" s="89">
        <f t="shared" si="22"/>
        <v>23.298200000000001</v>
      </c>
      <c r="Z45" s="89">
        <f t="shared" si="23"/>
        <v>3.7863000000000002</v>
      </c>
      <c r="AA45" s="89">
        <f t="shared" si="24"/>
        <v>19.511900000000001</v>
      </c>
      <c r="AB45" s="86">
        <f>VLOOKUP(A45,Enforcements!$C$7:$J$23,8,0)</f>
        <v>38656</v>
      </c>
      <c r="AC45" s="82" t="str">
        <f>VLOOKUP(A45,Enforcements!$C$7:$E$23,3,0)</f>
        <v>SIGNAL</v>
      </c>
      <c r="AD45" s="83" t="str">
        <f t="shared" si="25"/>
        <v>0134-19</v>
      </c>
      <c r="AE45" s="75" t="str">
        <f t="shared" si="26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45" s="75" t="str">
        <f t="shared" si="27"/>
        <v>"C:\Program Files (x86)\AstroGrep\AstroGrep.exe" /spath="C:\Users\stu\Documents\Analysis\2016-02-23 RTDC Observations" /stypes="*4012*20160719*"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hidden="1" x14ac:dyDescent="0.25">
      <c r="A46" s="49" t="s">
        <v>400</v>
      </c>
      <c r="B46" s="7">
        <v>4044</v>
      </c>
      <c r="C46" s="26" t="s">
        <v>59</v>
      </c>
      <c r="D46" s="26" t="s">
        <v>112</v>
      </c>
      <c r="E46" s="16">
        <v>42570.326145833336</v>
      </c>
      <c r="F46" s="16">
        <v>42570.327164351853</v>
      </c>
      <c r="G46" s="7">
        <v>1</v>
      </c>
      <c r="H46" s="16" t="s">
        <v>554</v>
      </c>
      <c r="I46" s="16">
        <v>42570.35837962963</v>
      </c>
      <c r="J46" s="7">
        <v>0</v>
      </c>
      <c r="K46" s="26" t="str">
        <f t="shared" si="15"/>
        <v>4043/4044</v>
      </c>
      <c r="L46" s="26" t="str">
        <f>VLOOKUP(A46,'Trips&amp;Operators'!$C$1:$E$10000,3,FALSE)</f>
        <v>SANTIZO</v>
      </c>
      <c r="M46" s="6">
        <f t="shared" si="16"/>
        <v>3.1215277776937E-2</v>
      </c>
      <c r="N46" s="7">
        <f t="shared" si="2"/>
        <v>44.949999998789281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06:49:39-0600',mode:absolute,to:'2016-07-19 09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4.5100000000000001E-2</v>
      </c>
      <c r="Z46" s="89">
        <f t="shared" si="23"/>
        <v>23.3325</v>
      </c>
      <c r="AA46" s="89">
        <f t="shared" si="24"/>
        <v>23.287399999999998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0135-19</v>
      </c>
      <c r="AE46" s="75" t="str">
        <f t="shared" si="26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46" s="75" t="str">
        <f t="shared" si="27"/>
        <v>"C:\Program Files (x86)\AstroGrep\AstroGrep.exe" /spath="C:\Users\stu\Documents\Analysis\2016-02-23 RTDC Observations" /stypes="*4044*20160719*"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hidden="1" x14ac:dyDescent="0.25">
      <c r="A47" s="49" t="s">
        <v>359</v>
      </c>
      <c r="B47" s="7">
        <v>4043</v>
      </c>
      <c r="C47" s="26" t="s">
        <v>59</v>
      </c>
      <c r="D47" s="26" t="s">
        <v>318</v>
      </c>
      <c r="E47" s="16">
        <v>42570.359976851854</v>
      </c>
      <c r="F47" s="16">
        <v>42570.360717592594</v>
      </c>
      <c r="G47" s="7">
        <v>1</v>
      </c>
      <c r="H47" s="16" t="s">
        <v>573</v>
      </c>
      <c r="I47" s="16">
        <v>42570.398449074077</v>
      </c>
      <c r="J47" s="7">
        <v>0</v>
      </c>
      <c r="K47" s="26" t="str">
        <f t="shared" si="15"/>
        <v>4043/4044</v>
      </c>
      <c r="L47" s="26" t="str">
        <f>VLOOKUP(A47,'Trips&amp;Operators'!$C$1:$E$10000,3,FALSE)</f>
        <v>SANTIZO</v>
      </c>
      <c r="M47" s="6">
        <f t="shared" si="16"/>
        <v>3.7731481483206153E-2</v>
      </c>
      <c r="N47" s="7">
        <f t="shared" si="2"/>
        <v>54.33333333581686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07:38:22-0600',mode:absolute,to:'2016-07-19 10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23.302499999999998</v>
      </c>
      <c r="Z47" s="89">
        <f t="shared" si="23"/>
        <v>3.2500000000000001E-2</v>
      </c>
      <c r="AA47" s="89">
        <f t="shared" si="24"/>
        <v>23.27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0136-19</v>
      </c>
      <c r="AE47" s="75" t="str">
        <f t="shared" si="26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47" s="75" t="str">
        <f t="shared" si="27"/>
        <v>"C:\Program Files (x86)\AstroGrep\AstroGrep.exe" /spath="C:\Users\stu\Documents\Analysis\2016-02-23 RTDC Observations" /stypes="*4043*20160719*"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hidden="1" x14ac:dyDescent="0.25">
      <c r="A48" s="49" t="s">
        <v>387</v>
      </c>
      <c r="B48" s="7">
        <v>4009</v>
      </c>
      <c r="C48" s="26" t="s">
        <v>59</v>
      </c>
      <c r="D48" s="26" t="s">
        <v>581</v>
      </c>
      <c r="E48" s="16">
        <v>42570.337546296294</v>
      </c>
      <c r="F48" s="16">
        <v>42570.338333333333</v>
      </c>
      <c r="G48" s="7">
        <v>1</v>
      </c>
      <c r="H48" s="16" t="s">
        <v>315</v>
      </c>
      <c r="I48" s="16">
        <v>42570.368252314816</v>
      </c>
      <c r="J48" s="7">
        <v>0</v>
      </c>
      <c r="K48" s="26" t="str">
        <f t="shared" si="15"/>
        <v>4009/4010</v>
      </c>
      <c r="L48" s="26" t="str">
        <f>VLOOKUP(A48,'Trips&amp;Operators'!$C$1:$E$10000,3,FALSE)</f>
        <v>SPECTOR</v>
      </c>
      <c r="M48" s="6">
        <f t="shared" si="16"/>
        <v>2.9918981483206153E-2</v>
      </c>
      <c r="N48" s="7">
        <f t="shared" si="2"/>
        <v>43.08333333581686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07:06:04-0600',mode:absolute,to:'2016-07-19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6.88E-2</v>
      </c>
      <c r="Z48" s="89">
        <f t="shared" si="23"/>
        <v>23.3324</v>
      </c>
      <c r="AA48" s="89">
        <f t="shared" si="24"/>
        <v>23.2636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0137-19</v>
      </c>
      <c r="AE48" s="75" t="str">
        <f t="shared" si="26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48" s="75" t="str">
        <f t="shared" si="27"/>
        <v>"C:\Program Files (x86)\AstroGrep\AstroGrep.exe" /spath="C:\Users\stu\Documents\Analysis\2016-02-23 RTDC Observations" /stypes="*4009*20160719*"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hidden="1" x14ac:dyDescent="0.25">
      <c r="A49" s="49" t="s">
        <v>380</v>
      </c>
      <c r="B49" s="7">
        <v>4010</v>
      </c>
      <c r="C49" s="26" t="s">
        <v>59</v>
      </c>
      <c r="D49" s="26" t="s">
        <v>331</v>
      </c>
      <c r="E49" s="16">
        <v>42570.377245370371</v>
      </c>
      <c r="F49" s="16">
        <v>42570.378275462965</v>
      </c>
      <c r="G49" s="7">
        <v>1</v>
      </c>
      <c r="H49" s="16" t="s">
        <v>177</v>
      </c>
      <c r="I49" s="16">
        <v>42570.408668981479</v>
      </c>
      <c r="J49" s="7">
        <v>0</v>
      </c>
      <c r="K49" s="26" t="str">
        <f t="shared" si="15"/>
        <v>4009/4010</v>
      </c>
      <c r="L49" s="26" t="str">
        <f>VLOOKUP(A49,'Trips&amp;Operators'!$C$1:$E$10000,3,FALSE)</f>
        <v>SPECTOR</v>
      </c>
      <c r="M49" s="6">
        <f t="shared" si="16"/>
        <v>3.0393518514756579E-2</v>
      </c>
      <c r="N49" s="7">
        <f t="shared" si="2"/>
        <v>43.766666661249474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08:03:14-0600',mode:absolute,to:'2016-07-19 10:48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23.301300000000001</v>
      </c>
      <c r="Z49" s="89">
        <f t="shared" si="23"/>
        <v>1.54E-2</v>
      </c>
      <c r="AA49" s="89">
        <f t="shared" si="24"/>
        <v>23.285900000000002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0138-19</v>
      </c>
      <c r="AE49" s="75" t="str">
        <f t="shared" si="26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49" s="75" t="str">
        <f t="shared" si="27"/>
        <v>"C:\Program Files (x86)\AstroGrep\AstroGrep.exe" /spath="C:\Users\stu\Documents\Analysis\2016-02-23 RTDC Observations" /stypes="*4010*20160719*"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hidden="1" x14ac:dyDescent="0.25">
      <c r="A50" s="49" t="s">
        <v>389</v>
      </c>
      <c r="B50" s="7">
        <v>4029</v>
      </c>
      <c r="C50" s="26" t="s">
        <v>59</v>
      </c>
      <c r="D50" s="26" t="s">
        <v>582</v>
      </c>
      <c r="E50" s="16">
        <v>42570.348553240743</v>
      </c>
      <c r="F50" s="16">
        <v>42570.350729166668</v>
      </c>
      <c r="G50" s="7">
        <v>3</v>
      </c>
      <c r="H50" s="16" t="s">
        <v>317</v>
      </c>
      <c r="I50" s="16">
        <v>42570.378831018519</v>
      </c>
      <c r="J50" s="7">
        <v>0</v>
      </c>
      <c r="K50" s="26" t="str">
        <f t="shared" si="15"/>
        <v>4029/4030</v>
      </c>
      <c r="L50" s="26" t="str">
        <f>VLOOKUP(A50,'Trips&amp;Operators'!$C$1:$E$10000,3,FALSE)</f>
        <v>DE LA ROSA</v>
      </c>
      <c r="M50" s="6">
        <f t="shared" si="16"/>
        <v>2.810185185080627E-2</v>
      </c>
      <c r="N50" s="7">
        <f t="shared" si="2"/>
        <v>40.466666665161029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07:21:55-0600',mode:absolute,to:'2016-07-19 10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4.8399999999999999E-2</v>
      </c>
      <c r="Z50" s="89">
        <f t="shared" si="23"/>
        <v>23.3323</v>
      </c>
      <c r="AA50" s="89">
        <f t="shared" si="24"/>
        <v>23.283899999999999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0139-19</v>
      </c>
      <c r="AE50" s="75" t="str">
        <f t="shared" si="26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50" s="75" t="str">
        <f t="shared" si="27"/>
        <v>"C:\Program Files (x86)\AstroGrep\AstroGrep.exe" /spath="C:\Users\stu\Documents\Analysis\2016-02-23 RTDC Observations" /stypes="*4029*20160719*" /stext=" 15:.+((prompt.+disp)|(slice.+state.+chan)|(ment ac)|(system.+state.+chan)|(\|lc)|(penalty)|(\[timeout))" /e /r /s</v>
      </c>
      <c r="AG50" s="1" t="str">
        <f t="shared" si="28"/>
        <v>EC</v>
      </c>
    </row>
    <row r="51" spans="1:33" hidden="1" x14ac:dyDescent="0.25">
      <c r="A51" s="49" t="s">
        <v>381</v>
      </c>
      <c r="B51" s="7">
        <v>4030</v>
      </c>
      <c r="C51" s="26" t="s">
        <v>59</v>
      </c>
      <c r="D51" s="26" t="s">
        <v>331</v>
      </c>
      <c r="E51" s="16">
        <v>42570.390844907408</v>
      </c>
      <c r="F51" s="16">
        <v>42570.391562500001</v>
      </c>
      <c r="G51" s="7">
        <v>1</v>
      </c>
      <c r="H51" s="16" t="s">
        <v>583</v>
      </c>
      <c r="I51" s="16">
        <v>42570.418854166666</v>
      </c>
      <c r="J51" s="7">
        <v>1</v>
      </c>
      <c r="K51" s="26" t="str">
        <f t="shared" si="15"/>
        <v>4029/4030</v>
      </c>
      <c r="L51" s="26" t="str">
        <f>VLOOKUP(A51,'Trips&amp;Operators'!$C$1:$E$10000,3,FALSE)</f>
        <v>DE LA ROSA</v>
      </c>
      <c r="M51" s="6">
        <f t="shared" si="16"/>
        <v>2.7291666665405501E-2</v>
      </c>
      <c r="N51" s="7">
        <f t="shared" si="2"/>
        <v>39.299999998183921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08:22:49-0600',mode:absolute,to:'2016-07-19 11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23.301300000000001</v>
      </c>
      <c r="Z51" s="89">
        <f t="shared" si="23"/>
        <v>1.78E-2</v>
      </c>
      <c r="AA51" s="89">
        <f t="shared" si="24"/>
        <v>23.2835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0140-19</v>
      </c>
      <c r="AE51" s="75" t="str">
        <f t="shared" si="26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51" s="75" t="str">
        <f t="shared" si="27"/>
        <v>"C:\Program Files (x86)\AstroGrep\AstroGrep.exe" /spath="C:\Users\stu\Documents\Analysis\2016-02-23 RTDC Observations" /stypes="*4030*20160719*" /stext=" 16:.+((prompt.+disp)|(slice.+state.+chan)|(ment ac)|(system.+state.+chan)|(\|lc)|(penalty)|(\[timeout))" /e /r /s</v>
      </c>
      <c r="AG51" s="1" t="str">
        <f t="shared" si="28"/>
        <v>EC</v>
      </c>
    </row>
    <row r="52" spans="1:33" hidden="1" x14ac:dyDescent="0.25">
      <c r="A52" s="64" t="s">
        <v>388</v>
      </c>
      <c r="B52" s="7">
        <v>4027</v>
      </c>
      <c r="C52" s="26" t="s">
        <v>59</v>
      </c>
      <c r="D52" s="26" t="s">
        <v>584</v>
      </c>
      <c r="E52" s="16">
        <v>42570.356249999997</v>
      </c>
      <c r="F52" s="16">
        <v>42570.357268518521</v>
      </c>
      <c r="G52" s="7">
        <v>1</v>
      </c>
      <c r="H52" s="16" t="s">
        <v>585</v>
      </c>
      <c r="I52" s="16">
        <v>42570.392592592594</v>
      </c>
      <c r="J52" s="7">
        <v>0</v>
      </c>
      <c r="K52" s="26" t="str">
        <f t="shared" si="15"/>
        <v>4027/4028</v>
      </c>
      <c r="L52" s="26" t="str">
        <f>VLOOKUP(A52,'Trips&amp;Operators'!$C$1:$E$10000,3,FALSE)</f>
        <v>GEBRETEKLE</v>
      </c>
      <c r="M52" s="6">
        <f t="shared" si="16"/>
        <v>3.5324074073287193E-2</v>
      </c>
      <c r="N52" s="7">
        <f t="shared" si="2"/>
        <v>50.866666665533558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07:33:00-0600',mode:absolute,to:'2016-07-19 10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6.2799999999999995E-2</v>
      </c>
      <c r="Z52" s="89">
        <f t="shared" si="23"/>
        <v>23.335999999999999</v>
      </c>
      <c r="AA52" s="89">
        <f t="shared" si="24"/>
        <v>23.273199999999999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0141-19</v>
      </c>
      <c r="AE52" s="75" t="str">
        <f t="shared" si="26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52" s="75" t="str">
        <f t="shared" si="27"/>
        <v>"C:\Program Files (x86)\AstroGrep\AstroGrep.exe" /spath="C:\Users\stu\Documents\Analysis\2016-02-23 RTDC Observations" /stypes="*4027*20160719*"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hidden="1" x14ac:dyDescent="0.25">
      <c r="A53" s="49" t="s">
        <v>544</v>
      </c>
      <c r="B53" s="7">
        <v>4028</v>
      </c>
      <c r="C53" s="26" t="s">
        <v>59</v>
      </c>
      <c r="D53" s="26" t="s">
        <v>270</v>
      </c>
      <c r="E53" s="16">
        <v>42570.401782407411</v>
      </c>
      <c r="F53" s="16">
        <v>42570.402453703704</v>
      </c>
      <c r="G53" s="7">
        <v>0</v>
      </c>
      <c r="H53" s="16" t="s">
        <v>108</v>
      </c>
      <c r="I53" s="16">
        <v>42570.428831018522</v>
      </c>
      <c r="J53" s="7">
        <v>0</v>
      </c>
      <c r="K53" s="26" t="str">
        <f t="shared" si="15"/>
        <v>4027/4028</v>
      </c>
      <c r="L53" s="26" t="str">
        <f>VLOOKUP(A53,'Trips&amp;Operators'!$C$1:$E$10000,3,FALSE)</f>
        <v>GEBRETEKLE</v>
      </c>
      <c r="M53" s="6">
        <f t="shared" si="16"/>
        <v>2.6377314818091691E-2</v>
      </c>
      <c r="N53" s="7">
        <f t="shared" si="2"/>
        <v>37.983333338052034</v>
      </c>
      <c r="O53" s="7"/>
      <c r="P53" s="7"/>
      <c r="Q53" s="27"/>
      <c r="R53" s="27"/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08:38:34-0600',mode:absolute,to:'2016-07-19 11:17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3" s="74" t="str">
        <f t="shared" si="20"/>
        <v>N</v>
      </c>
      <c r="X53" s="92">
        <f t="shared" si="21"/>
        <v>1</v>
      </c>
      <c r="Y53" s="89">
        <f t="shared" si="22"/>
        <v>23.3</v>
      </c>
      <c r="Z53" s="89">
        <f t="shared" si="23"/>
        <v>1.43E-2</v>
      </c>
      <c r="AA53" s="89">
        <f t="shared" si="24"/>
        <v>23.285700000000002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0142-19</v>
      </c>
      <c r="AE53" s="75" t="str">
        <f t="shared" si="26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53" s="75" t="str">
        <f t="shared" si="27"/>
        <v>"C:\Program Files (x86)\AstroGrep\AstroGrep.exe" /spath="C:\Users\stu\Documents\Analysis\2016-02-23 RTDC Observations" /stypes="*4028*20160719*" /stext=" 16:.+((prompt.+disp)|(slice.+state.+chan)|(ment ac)|(system.+state.+chan)|(\|lc)|(penalty)|(\[timeout))" /e /r /s</v>
      </c>
      <c r="AG53" s="1" t="str">
        <f t="shared" si="28"/>
        <v>EC</v>
      </c>
    </row>
    <row r="54" spans="1:33" hidden="1" x14ac:dyDescent="0.25">
      <c r="A54" s="49" t="s">
        <v>358</v>
      </c>
      <c r="B54" s="7">
        <v>4007</v>
      </c>
      <c r="C54" s="26" t="s">
        <v>59</v>
      </c>
      <c r="D54" s="26" t="s">
        <v>179</v>
      </c>
      <c r="E54" s="16">
        <v>42570.373020833336</v>
      </c>
      <c r="F54" s="16">
        <v>42570.37358796296</v>
      </c>
      <c r="G54" s="7">
        <v>0</v>
      </c>
      <c r="H54" s="16" t="s">
        <v>586</v>
      </c>
      <c r="I54" s="16">
        <v>42570.399675925924</v>
      </c>
      <c r="J54" s="7">
        <v>0</v>
      </c>
      <c r="K54" s="26" t="str">
        <f t="shared" si="15"/>
        <v>4007/4008</v>
      </c>
      <c r="L54" s="26" t="str">
        <f>VLOOKUP(A54,'Trips&amp;Operators'!$C$1:$E$10000,3,FALSE)</f>
        <v>GRASTON</v>
      </c>
      <c r="M54" s="6">
        <f t="shared" si="16"/>
        <v>2.6087962964083999E-2</v>
      </c>
      <c r="N54" s="7">
        <f t="shared" si="2"/>
        <v>37.566666668280959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07:57:09-0600',mode:absolute,to:'2016-07-19 10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4.6399999999999997E-2</v>
      </c>
      <c r="Z54" s="89">
        <f t="shared" si="23"/>
        <v>23.333400000000001</v>
      </c>
      <c r="AA54" s="89">
        <f t="shared" si="24"/>
        <v>23.287000000000003</v>
      </c>
      <c r="AB54" s="86" t="e">
        <f>VLOOKUP(A54,Enforcements!$C$7:$J$23,8,0)</f>
        <v>#N/A</v>
      </c>
      <c r="AC54" s="82" t="e">
        <f>VLOOKUP(A54,Enforcements!$C$7:$E$23,3,0)</f>
        <v>#N/A</v>
      </c>
      <c r="AD54" s="83" t="str">
        <f t="shared" si="25"/>
        <v>0143-19</v>
      </c>
      <c r="AE54" s="75" t="str">
        <f t="shared" si="26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54" s="75" t="str">
        <f t="shared" si="27"/>
        <v>"C:\Program Files (x86)\AstroGrep\AstroGrep.exe" /spath="C:\Users\stu\Documents\Analysis\2016-02-23 RTDC Observations" /stypes="*4007*20160719*" /stext=" 15:.+((prompt.+disp)|(slice.+state.+chan)|(ment ac)|(system.+state.+chan)|(\|lc)|(penalty)|(\[timeout))" /e /r /s</v>
      </c>
      <c r="AG54" s="1" t="str">
        <f t="shared" si="28"/>
        <v>EC</v>
      </c>
    </row>
    <row r="55" spans="1:33" hidden="1" x14ac:dyDescent="0.25">
      <c r="A55" s="49" t="s">
        <v>474</v>
      </c>
      <c r="B55" s="7">
        <v>4008</v>
      </c>
      <c r="C55" s="26" t="s">
        <v>59</v>
      </c>
      <c r="D55" s="26" t="s">
        <v>587</v>
      </c>
      <c r="E55" s="16">
        <v>42570.410520833335</v>
      </c>
      <c r="F55" s="16">
        <v>42570.411203703705</v>
      </c>
      <c r="G55" s="7">
        <v>0</v>
      </c>
      <c r="H55" s="16" t="s">
        <v>123</v>
      </c>
      <c r="I55" s="16">
        <v>42570.439479166664</v>
      </c>
      <c r="J55" s="7">
        <v>0</v>
      </c>
      <c r="K55" s="26" t="str">
        <f t="shared" si="15"/>
        <v>4007/4008</v>
      </c>
      <c r="L55" s="26" t="str">
        <f>VLOOKUP(A55,'Trips&amp;Operators'!$C$1:$E$10000,3,FALSE)</f>
        <v>GRASTON</v>
      </c>
      <c r="M55" s="6">
        <f t="shared" si="16"/>
        <v>2.827546295884531E-2</v>
      </c>
      <c r="N55" s="7">
        <f t="shared" si="2"/>
        <v>40.716666660737246</v>
      </c>
      <c r="O55" s="7"/>
      <c r="P55" s="7"/>
      <c r="Q55" s="27"/>
      <c r="R55" s="27"/>
      <c r="S55" s="45">
        <f t="shared" si="17"/>
        <v>1</v>
      </c>
      <c r="T55" s="69" t="str">
        <f t="shared" si="18"/>
        <v>Southbound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08:51:09-0600',mode:absolute,to:'2016-07-19 11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5" s="74" t="str">
        <f t="shared" si="20"/>
        <v>N</v>
      </c>
      <c r="X55" s="92">
        <f t="shared" si="21"/>
        <v>1</v>
      </c>
      <c r="Y55" s="89">
        <f t="shared" si="22"/>
        <v>23.300799999999999</v>
      </c>
      <c r="Z55" s="89">
        <f t="shared" si="23"/>
        <v>1.5599999999999999E-2</v>
      </c>
      <c r="AA55" s="89">
        <f t="shared" si="24"/>
        <v>23.2852</v>
      </c>
      <c r="AB55" s="86" t="e">
        <f>VLOOKUP(A55,Enforcements!$C$7:$J$23,8,0)</f>
        <v>#N/A</v>
      </c>
      <c r="AC55" s="82" t="e">
        <f>VLOOKUP(A55,Enforcements!$C$7:$E$23,3,0)</f>
        <v>#N/A</v>
      </c>
      <c r="AD55" s="83" t="str">
        <f t="shared" si="25"/>
        <v>0144-19</v>
      </c>
      <c r="AE55" s="75" t="str">
        <f t="shared" si="26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55" s="75" t="str">
        <f t="shared" si="27"/>
        <v>"C:\Program Files (x86)\AstroGrep\AstroGrep.exe" /spath="C:\Users\stu\Documents\Analysis\2016-02-23 RTDC Observations" /stypes="*4008*20160719*" /stext=" 16:.+((prompt.+disp)|(slice.+state.+chan)|(ment ac)|(system.+state.+chan)|(\|lc)|(penalty)|(\[timeout))" /e /r /s</v>
      </c>
      <c r="AG55" s="1" t="str">
        <f t="shared" si="28"/>
        <v>EC</v>
      </c>
    </row>
    <row r="56" spans="1:33" hidden="1" x14ac:dyDescent="0.25">
      <c r="A56" s="49" t="s">
        <v>357</v>
      </c>
      <c r="B56" s="7">
        <v>4038</v>
      </c>
      <c r="C56" s="26" t="s">
        <v>59</v>
      </c>
      <c r="D56" s="26" t="s">
        <v>588</v>
      </c>
      <c r="E56" s="16">
        <v>42570.384027777778</v>
      </c>
      <c r="F56" s="16">
        <v>42570.38490740741</v>
      </c>
      <c r="G56" s="7">
        <v>1</v>
      </c>
      <c r="H56" s="16" t="s">
        <v>312</v>
      </c>
      <c r="I56" s="16">
        <v>42570.410243055558</v>
      </c>
      <c r="J56" s="7">
        <v>1</v>
      </c>
      <c r="K56" s="26" t="str">
        <f t="shared" si="15"/>
        <v>4037/4038</v>
      </c>
      <c r="L56" s="26" t="str">
        <f>VLOOKUP(A56,'Trips&amp;Operators'!$C$1:$E$10000,3,FALSE)</f>
        <v>ROCHA</v>
      </c>
      <c r="M56" s="6">
        <f t="shared" si="16"/>
        <v>2.5335648148029577E-2</v>
      </c>
      <c r="N56" s="7">
        <f t="shared" si="2"/>
        <v>36.483333333162591</v>
      </c>
      <c r="O56" s="7"/>
      <c r="P56" s="7"/>
      <c r="Q56" s="27"/>
      <c r="R56" s="27"/>
      <c r="S56" s="45">
        <f t="shared" si="17"/>
        <v>1</v>
      </c>
      <c r="T56" s="69" t="str">
        <f t="shared" si="18"/>
        <v>NorthBound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08:13:00-0600',mode:absolute,to:'2016-07-19 10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6.6199999999999995E-2</v>
      </c>
      <c r="Z56" s="89">
        <f t="shared" si="23"/>
        <v>23.3291</v>
      </c>
      <c r="AA56" s="89">
        <f t="shared" si="24"/>
        <v>23.262900000000002</v>
      </c>
      <c r="AB56" s="86" t="e">
        <f>VLOOKUP(A56,Enforcements!$C$7:$J$23,8,0)</f>
        <v>#N/A</v>
      </c>
      <c r="AC56" s="82" t="e">
        <f>VLOOKUP(A56,Enforcements!$C$7:$E$23,3,0)</f>
        <v>#N/A</v>
      </c>
      <c r="AD56" s="83" t="str">
        <f t="shared" si="25"/>
        <v>0145-19</v>
      </c>
      <c r="AE56" s="75" t="str">
        <f t="shared" si="26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56" s="75" t="str">
        <f t="shared" si="27"/>
        <v>"C:\Program Files (x86)\AstroGrep\AstroGrep.exe" /spath="C:\Users\stu\Documents\Analysis\2016-02-23 RTDC Observations" /stypes="*4038*20160719*" /stext=" 15:.+((prompt.+disp)|(slice.+state.+chan)|(ment ac)|(system.+state.+chan)|(\|lc)|(penalty)|(\[timeout))" /e /r /s</v>
      </c>
      <c r="AG56" s="1" t="str">
        <f t="shared" si="28"/>
        <v>EC</v>
      </c>
    </row>
    <row r="57" spans="1:33" hidden="1" x14ac:dyDescent="0.25">
      <c r="A57" s="49" t="s">
        <v>477</v>
      </c>
      <c r="B57" s="7">
        <v>4037</v>
      </c>
      <c r="C57" s="26" t="s">
        <v>59</v>
      </c>
      <c r="D57" s="26" t="s">
        <v>182</v>
      </c>
      <c r="E57" s="16">
        <v>42570.421226851853</v>
      </c>
      <c r="F57" s="16">
        <v>42570.422500000001</v>
      </c>
      <c r="G57" s="7">
        <v>1</v>
      </c>
      <c r="H57" s="16" t="s">
        <v>61</v>
      </c>
      <c r="I57" s="16">
        <v>42570.449479166666</v>
      </c>
      <c r="J57" s="7">
        <v>0</v>
      </c>
      <c r="K57" s="26" t="str">
        <f t="shared" si="15"/>
        <v>4037/4038</v>
      </c>
      <c r="L57" s="26" t="str">
        <f>VLOOKUP(A57,'Trips&amp;Operators'!$C$1:$E$10000,3,FALSE)</f>
        <v>ROCHA</v>
      </c>
      <c r="M57" s="6">
        <f t="shared" si="16"/>
        <v>2.6979166665114462E-2</v>
      </c>
      <c r="N57" s="7">
        <f t="shared" si="2"/>
        <v>38.849999997764826</v>
      </c>
      <c r="O57" s="7"/>
      <c r="P57" s="7"/>
      <c r="Q57" s="27"/>
      <c r="R57" s="27"/>
      <c r="S57" s="45">
        <f t="shared" si="17"/>
        <v>1</v>
      </c>
      <c r="T57" s="69" t="str">
        <f t="shared" si="18"/>
        <v>Southbound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09:06:34-0600',mode:absolute,to:'2016-07-19 11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23.2986</v>
      </c>
      <c r="Z57" s="89">
        <f t="shared" si="23"/>
        <v>1.52E-2</v>
      </c>
      <c r="AA57" s="89">
        <f t="shared" si="24"/>
        <v>23.2834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0146-19</v>
      </c>
      <c r="AE57" s="75" t="str">
        <f t="shared" si="26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57" s="75" t="str">
        <f t="shared" si="27"/>
        <v>"C:\Program Files (x86)\AstroGrep\AstroGrep.exe" /spath="C:\Users\stu\Documents\Analysis\2016-02-23 RTDC Observations" /stypes="*4037*20160719*" /stext=" 16:.+((prompt.+disp)|(slice.+state.+chan)|(ment ac)|(system.+state.+chan)|(\|lc)|(penalty)|(\[timeout))" /e /r /s</v>
      </c>
      <c r="AG57" s="1" t="str">
        <f t="shared" si="28"/>
        <v>EC</v>
      </c>
    </row>
    <row r="58" spans="1:33" hidden="1" x14ac:dyDescent="0.25">
      <c r="A58" s="49" t="s">
        <v>356</v>
      </c>
      <c r="B58" s="7">
        <v>4011</v>
      </c>
      <c r="C58" s="26" t="s">
        <v>59</v>
      </c>
      <c r="D58" s="26" t="s">
        <v>319</v>
      </c>
      <c r="E58" s="16">
        <v>42570.392337962963</v>
      </c>
      <c r="F58" s="16">
        <v>42570.393518518518</v>
      </c>
      <c r="G58" s="7">
        <v>1</v>
      </c>
      <c r="H58" s="16" t="s">
        <v>295</v>
      </c>
      <c r="I58" s="16">
        <v>42570.420231481483</v>
      </c>
      <c r="J58" s="7">
        <v>0</v>
      </c>
      <c r="K58" s="26" t="str">
        <f t="shared" si="15"/>
        <v>4011/4012</v>
      </c>
      <c r="L58" s="26" t="str">
        <f>VLOOKUP(A58,'Trips&amp;Operators'!$C$1:$E$10000,3,FALSE)</f>
        <v>ACKERMAN</v>
      </c>
      <c r="M58" s="6">
        <f t="shared" si="16"/>
        <v>2.6712962964666076E-2</v>
      </c>
      <c r="N58" s="7">
        <f t="shared" si="2"/>
        <v>38.466666669119149</v>
      </c>
      <c r="O58" s="7"/>
      <c r="P58" s="7"/>
      <c r="Q58" s="27"/>
      <c r="R58" s="27"/>
      <c r="S58" s="45">
        <f t="shared" si="17"/>
        <v>1</v>
      </c>
      <c r="T58" s="69" t="str">
        <f t="shared" si="18"/>
        <v>NorthBound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08:24:58-0600',mode:absolute,to:'2016-07-19 11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4.4200000000000003E-2</v>
      </c>
      <c r="Z58" s="89">
        <f t="shared" si="23"/>
        <v>23.332899999999999</v>
      </c>
      <c r="AA58" s="89">
        <f t="shared" si="24"/>
        <v>23.288699999999999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0147-19</v>
      </c>
      <c r="AE58" s="75" t="str">
        <f t="shared" si="26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58" s="75" t="str">
        <f t="shared" si="27"/>
        <v>"C:\Program Files (x86)\AstroGrep\AstroGrep.exe" /spath="C:\Users\stu\Documents\Analysis\2016-02-23 RTDC Observations" /stypes="*4011*20160719*" /stext=" 16:.+((prompt.+disp)|(slice.+state.+chan)|(ment ac)|(system.+state.+chan)|(\|lc)|(penalty)|(\[timeout))" /e /r /s</v>
      </c>
      <c r="AG58" s="1" t="str">
        <f t="shared" si="28"/>
        <v>EC</v>
      </c>
    </row>
    <row r="59" spans="1:33" hidden="1" x14ac:dyDescent="0.25">
      <c r="A59" s="49" t="s">
        <v>485</v>
      </c>
      <c r="B59" s="7">
        <v>4012</v>
      </c>
      <c r="C59" s="26" t="s">
        <v>59</v>
      </c>
      <c r="D59" s="26" t="s">
        <v>331</v>
      </c>
      <c r="E59" s="16">
        <v>42570.429375</v>
      </c>
      <c r="F59" s="16">
        <v>42570.43037037037</v>
      </c>
      <c r="G59" s="7">
        <v>1</v>
      </c>
      <c r="H59" s="16" t="s">
        <v>589</v>
      </c>
      <c r="I59" s="16">
        <v>42570.460532407407</v>
      </c>
      <c r="J59" s="7">
        <v>0</v>
      </c>
      <c r="K59" s="26" t="str">
        <f t="shared" si="15"/>
        <v>4011/4012</v>
      </c>
      <c r="L59" s="26" t="str">
        <f>VLOOKUP(A59,'Trips&amp;Operators'!$C$1:$E$10000,3,FALSE)</f>
        <v>ACKERMAN</v>
      </c>
      <c r="M59" s="6">
        <f t="shared" si="16"/>
        <v>3.0162037037371192E-2</v>
      </c>
      <c r="N59" s="7">
        <f t="shared" si="2"/>
        <v>43.433333333814517</v>
      </c>
      <c r="O59" s="7"/>
      <c r="P59" s="7"/>
      <c r="Q59" s="27"/>
      <c r="R59" s="27"/>
      <c r="S59" s="45">
        <f t="shared" si="17"/>
        <v>1</v>
      </c>
      <c r="T59" s="69" t="str">
        <f t="shared" si="18"/>
        <v>Southbound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09:18:18-0600',mode:absolute,to:'2016-07-19 12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23.301300000000001</v>
      </c>
      <c r="Z59" s="89">
        <f t="shared" si="23"/>
        <v>1.21E-2</v>
      </c>
      <c r="AA59" s="89">
        <f t="shared" si="24"/>
        <v>23.289200000000001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0148-19</v>
      </c>
      <c r="AE59" s="75" t="str">
        <f t="shared" si="26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59" s="75" t="str">
        <f t="shared" si="27"/>
        <v>"C:\Program Files (x86)\AstroGrep\AstroGrep.exe" /spath="C:\Users\stu\Documents\Analysis\2016-02-23 RTDC Observations" /stypes="*4012*20160719*" /stext=" 17:.+((prompt.+disp)|(slice.+state.+chan)|(ment ac)|(system.+state.+chan)|(\|lc)|(penalty)|(\[timeout))" /e /r /s</v>
      </c>
      <c r="AG59" s="1" t="str">
        <f t="shared" si="28"/>
        <v>EC</v>
      </c>
    </row>
    <row r="60" spans="1:33" hidden="1" x14ac:dyDescent="0.25">
      <c r="A60" s="49" t="s">
        <v>514</v>
      </c>
      <c r="B60" s="7">
        <v>4044</v>
      </c>
      <c r="C60" s="26" t="s">
        <v>59</v>
      </c>
      <c r="D60" s="26" t="s">
        <v>584</v>
      </c>
      <c r="E60" s="16">
        <v>42570.40357638889</v>
      </c>
      <c r="F60" s="16">
        <v>42570.404606481483</v>
      </c>
      <c r="G60" s="7">
        <v>1</v>
      </c>
      <c r="H60" s="16" t="s">
        <v>572</v>
      </c>
      <c r="I60" s="16">
        <v>42570.431250000001</v>
      </c>
      <c r="J60" s="7">
        <v>0</v>
      </c>
      <c r="K60" s="26" t="str">
        <f t="shared" si="15"/>
        <v>4043/4044</v>
      </c>
      <c r="L60" s="26" t="str">
        <f>VLOOKUP(A60,'Trips&amp;Operators'!$C$1:$E$10000,3,FALSE)</f>
        <v>SANTIZO</v>
      </c>
      <c r="M60" s="6">
        <f t="shared" si="16"/>
        <v>2.6643518518540077E-2</v>
      </c>
      <c r="N60" s="7">
        <f t="shared" si="2"/>
        <v>38.366666666697711</v>
      </c>
      <c r="O60" s="7"/>
      <c r="P60" s="7"/>
      <c r="Q60" s="27"/>
      <c r="R60" s="27"/>
      <c r="S60" s="45">
        <f t="shared" si="17"/>
        <v>1</v>
      </c>
      <c r="T60" s="69" t="str">
        <f t="shared" si="18"/>
        <v>NorthBound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08:41:09-0600',mode:absolute,to:'2016-07-19 11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6.2799999999999995E-2</v>
      </c>
      <c r="Z60" s="89">
        <f t="shared" si="23"/>
        <v>23.3307</v>
      </c>
      <c r="AA60" s="89">
        <f t="shared" si="24"/>
        <v>23.267900000000001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0149-19</v>
      </c>
      <c r="AE60" s="75" t="str">
        <f t="shared" si="26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60" s="75" t="str">
        <f t="shared" si="27"/>
        <v>"C:\Program Files (x86)\AstroGrep\AstroGrep.exe" /spath="C:\Users\stu\Documents\Analysis\2016-02-23 RTDC Observations" /stypes="*4044*20160719*" /stext=" 16:.+((prompt.+disp)|(slice.+state.+chan)|(ment ac)|(system.+state.+chan)|(\|lc)|(penalty)|(\[timeout))" /e /r /s</v>
      </c>
      <c r="AG60" s="1" t="str">
        <f t="shared" si="28"/>
        <v>EC</v>
      </c>
    </row>
    <row r="61" spans="1:33" hidden="1" x14ac:dyDescent="0.25">
      <c r="A61" s="49" t="s">
        <v>403</v>
      </c>
      <c r="B61" s="7">
        <v>4043</v>
      </c>
      <c r="C61" s="26" t="s">
        <v>59</v>
      </c>
      <c r="D61" s="26" t="s">
        <v>590</v>
      </c>
      <c r="E61" s="16">
        <v>42570.433067129627</v>
      </c>
      <c r="F61" s="16">
        <v>42570.433865740742</v>
      </c>
      <c r="G61" s="7">
        <v>1</v>
      </c>
      <c r="H61" s="16" t="s">
        <v>201</v>
      </c>
      <c r="I61" s="16">
        <v>42570.470925925925</v>
      </c>
      <c r="J61" s="7">
        <v>1</v>
      </c>
      <c r="K61" s="26" t="str">
        <f t="shared" si="15"/>
        <v>4043/4044</v>
      </c>
      <c r="L61" s="26" t="str">
        <f>VLOOKUP(A61,'Trips&amp;Operators'!$C$1:$E$10000,3,FALSE)</f>
        <v>SANTIZO</v>
      </c>
      <c r="M61" s="6">
        <f t="shared" si="16"/>
        <v>3.7060185182781424E-2</v>
      </c>
      <c r="N61" s="7">
        <f t="shared" si="2"/>
        <v>53.366666663205251</v>
      </c>
      <c r="O61" s="7"/>
      <c r="P61" s="7"/>
      <c r="Q61" s="27"/>
      <c r="R61" s="27"/>
      <c r="S61" s="45">
        <f t="shared" si="17"/>
        <v>1</v>
      </c>
      <c r="T61" s="69" t="str">
        <f t="shared" si="18"/>
        <v>Southbound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09:23:37-0600',mode:absolute,to:'2016-07-19 12:18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23.3003</v>
      </c>
      <c r="Z61" s="89">
        <f t="shared" si="23"/>
        <v>1.41E-2</v>
      </c>
      <c r="AA61" s="89">
        <f t="shared" si="24"/>
        <v>23.286200000000001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0150-19</v>
      </c>
      <c r="AE61" s="75" t="str">
        <f t="shared" si="26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61" s="75" t="str">
        <f t="shared" si="27"/>
        <v>"C:\Program Files (x86)\AstroGrep\AstroGrep.exe" /spath="C:\Users\stu\Documents\Analysis\2016-02-23 RTDC Observations" /stypes="*4043*20160719*" /stext=" 17:.+((prompt.+disp)|(slice.+state.+chan)|(ment ac)|(system.+state.+chan)|(\|lc)|(penalty)|(\[timeout))" /e /r /s</v>
      </c>
      <c r="AG61" s="1" t="str">
        <f t="shared" si="28"/>
        <v>EC</v>
      </c>
    </row>
    <row r="62" spans="1:33" hidden="1" x14ac:dyDescent="0.25">
      <c r="A62" s="49" t="s">
        <v>475</v>
      </c>
      <c r="B62" s="7">
        <v>4009</v>
      </c>
      <c r="C62" s="26" t="s">
        <v>59</v>
      </c>
      <c r="D62" s="26" t="s">
        <v>147</v>
      </c>
      <c r="E62" s="16">
        <v>42570.412708333337</v>
      </c>
      <c r="F62" s="16">
        <v>42570.413680555554</v>
      </c>
      <c r="G62" s="7">
        <v>1</v>
      </c>
      <c r="H62" s="16" t="s">
        <v>586</v>
      </c>
      <c r="I62" s="16">
        <v>42570.441192129627</v>
      </c>
      <c r="J62" s="7">
        <v>0</v>
      </c>
      <c r="K62" s="26" t="str">
        <f t="shared" si="15"/>
        <v>4009/4010</v>
      </c>
      <c r="L62" s="26" t="str">
        <f>VLOOKUP(A62,'Trips&amp;Operators'!$C$1:$E$10000,3,FALSE)</f>
        <v>SPECTOR</v>
      </c>
      <c r="M62" s="6">
        <f t="shared" si="16"/>
        <v>2.7511574073287193E-2</v>
      </c>
      <c r="N62" s="7">
        <f t="shared" si="2"/>
        <v>39.616666665533558</v>
      </c>
      <c r="O62" s="7"/>
      <c r="P62" s="7"/>
      <c r="Q62" s="27"/>
      <c r="R62" s="27"/>
      <c r="S62" s="45">
        <f t="shared" si="17"/>
        <v>1</v>
      </c>
      <c r="T62" s="69" t="str">
        <f t="shared" si="18"/>
        <v>NorthBound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08:54:18-0600',mode:absolute,to:'2016-07-19 11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4.58E-2</v>
      </c>
      <c r="Z62" s="89">
        <f t="shared" si="23"/>
        <v>23.333400000000001</v>
      </c>
      <c r="AA62" s="89">
        <f t="shared" si="24"/>
        <v>23.287600000000001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0151-19</v>
      </c>
      <c r="AE62" s="75" t="str">
        <f t="shared" si="26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62" s="75" t="str">
        <f t="shared" si="27"/>
        <v>"C:\Program Files (x86)\AstroGrep\AstroGrep.exe" /spath="C:\Users\stu\Documents\Analysis\2016-02-23 RTDC Observations" /stypes="*4009*20160719*" /stext=" 16:.+((prompt.+disp)|(slice.+state.+chan)|(ment ac)|(system.+state.+chan)|(\|lc)|(penalty)|(\[timeout))" /e /r /s</v>
      </c>
      <c r="AG62" s="1" t="str">
        <f t="shared" si="28"/>
        <v>EC</v>
      </c>
    </row>
    <row r="63" spans="1:33" hidden="1" x14ac:dyDescent="0.25">
      <c r="A63" s="49" t="s">
        <v>475</v>
      </c>
      <c r="B63" s="7">
        <v>4009</v>
      </c>
      <c r="C63" s="26" t="s">
        <v>59</v>
      </c>
      <c r="D63" s="26" t="s">
        <v>179</v>
      </c>
      <c r="E63" s="16">
        <v>42570.410497685189</v>
      </c>
      <c r="F63" s="16">
        <v>42570.411516203705</v>
      </c>
      <c r="G63" s="7">
        <v>1</v>
      </c>
      <c r="H63" s="16" t="s">
        <v>586</v>
      </c>
      <c r="I63" s="16">
        <v>42570.441192129627</v>
      </c>
      <c r="J63" s="7">
        <v>0</v>
      </c>
      <c r="K63" s="26" t="str">
        <f t="shared" si="15"/>
        <v>4009/4010</v>
      </c>
      <c r="L63" s="26" t="str">
        <f>VLOOKUP(A63,'Trips&amp;Operators'!$C$1:$E$10000,3,FALSE)</f>
        <v>SPECTOR</v>
      </c>
      <c r="M63" s="6">
        <f t="shared" si="16"/>
        <v>2.9675925921765156E-2</v>
      </c>
      <c r="N63" s="7">
        <f t="shared" si="2"/>
        <v>42.733333327341825</v>
      </c>
      <c r="O63" s="7"/>
      <c r="P63" s="7"/>
      <c r="Q63" s="27"/>
      <c r="R63" s="27"/>
      <c r="S63" s="45">
        <f t="shared" si="17"/>
        <v>1</v>
      </c>
      <c r="T63" s="69" t="str">
        <f t="shared" si="18"/>
        <v>NorthBound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08:51:07-0600',mode:absolute,to:'2016-07-19 11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3" s="74" t="str">
        <f t="shared" si="20"/>
        <v>N</v>
      </c>
      <c r="X63" s="92">
        <f t="shared" si="21"/>
        <v>0</v>
      </c>
      <c r="Y63" s="89">
        <f t="shared" si="22"/>
        <v>4.6399999999999997E-2</v>
      </c>
      <c r="Z63" s="89">
        <f t="shared" si="23"/>
        <v>23.333400000000001</v>
      </c>
      <c r="AA63" s="89">
        <f t="shared" si="24"/>
        <v>23.287000000000003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0151-19</v>
      </c>
      <c r="AE63" s="75" t="str">
        <f t="shared" si="26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63" s="75" t="str">
        <f t="shared" si="27"/>
        <v>"C:\Program Files (x86)\AstroGrep\AstroGrep.exe" /spath="C:\Users\stu\Documents\Analysis\2016-02-23 RTDC Observations" /stypes="*4009*20160719*" /stext=" 16:.+((prompt.+disp)|(slice.+state.+chan)|(ment ac)|(system.+state.+chan)|(\|lc)|(penalty)|(\[timeout))" /e /r /s</v>
      </c>
      <c r="AG63" s="1" t="str">
        <f t="shared" si="28"/>
        <v>EC</v>
      </c>
    </row>
    <row r="64" spans="1:33" hidden="1" x14ac:dyDescent="0.25">
      <c r="A64" s="49" t="s">
        <v>431</v>
      </c>
      <c r="B64" s="7">
        <v>4010</v>
      </c>
      <c r="C64" s="26" t="s">
        <v>59</v>
      </c>
      <c r="D64" s="26" t="s">
        <v>591</v>
      </c>
      <c r="E64" s="16">
        <v>42570.452106481483</v>
      </c>
      <c r="F64" s="16">
        <v>42570.455717592595</v>
      </c>
      <c r="G64" s="7">
        <v>5</v>
      </c>
      <c r="H64" s="16" t="s">
        <v>61</v>
      </c>
      <c r="I64" s="16">
        <v>42570.481481481482</v>
      </c>
      <c r="J64" s="7">
        <v>0</v>
      </c>
      <c r="K64" s="26" t="str">
        <f t="shared" si="15"/>
        <v>4009/4010</v>
      </c>
      <c r="L64" s="26" t="str">
        <f>VLOOKUP(A64,'Trips&amp;Operators'!$C$1:$E$10000,3,FALSE)</f>
        <v>SPECTOR</v>
      </c>
      <c r="M64" s="6">
        <f t="shared" si="16"/>
        <v>2.5763888887013309E-2</v>
      </c>
      <c r="N64" s="7">
        <f t="shared" si="2"/>
        <v>37.099999997299165</v>
      </c>
      <c r="O64" s="7"/>
      <c r="P64" s="7"/>
      <c r="Q64" s="27"/>
      <c r="R64" s="27"/>
      <c r="S64" s="45">
        <f t="shared" si="17"/>
        <v>1</v>
      </c>
      <c r="T64" s="69" t="str">
        <f t="shared" si="18"/>
        <v>Southbound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09:51:02-0600',mode:absolute,to:'2016-07-19 12:33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23.301100000000002</v>
      </c>
      <c r="Z64" s="89">
        <f t="shared" si="23"/>
        <v>1.52E-2</v>
      </c>
      <c r="AA64" s="89">
        <f t="shared" si="24"/>
        <v>23.285900000000002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0152-19</v>
      </c>
      <c r="AE64" s="75" t="str">
        <f t="shared" si="26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64" s="75" t="str">
        <f t="shared" si="27"/>
        <v>"C:\Program Files (x86)\AstroGrep\AstroGrep.exe" /spath="C:\Users\stu\Documents\Analysis\2016-02-23 RTDC Observations" /stypes="*4010*20160719*" /stext=" 17:.+((prompt.+disp)|(slice.+state.+chan)|(ment ac)|(system.+state.+chan)|(\|lc)|(penalty)|(\[timeout))" /e /r /s</v>
      </c>
      <c r="AG64" s="1" t="str">
        <f t="shared" si="28"/>
        <v>EC</v>
      </c>
    </row>
    <row r="65" spans="1:33" hidden="1" x14ac:dyDescent="0.25">
      <c r="A65" s="49" t="s">
        <v>430</v>
      </c>
      <c r="B65" s="7">
        <v>4029</v>
      </c>
      <c r="C65" s="26" t="s">
        <v>59</v>
      </c>
      <c r="D65" s="26" t="s">
        <v>592</v>
      </c>
      <c r="E65" s="16">
        <v>42570.420856481483</v>
      </c>
      <c r="F65" s="16">
        <v>42570.421793981484</v>
      </c>
      <c r="G65" s="7">
        <v>1</v>
      </c>
      <c r="H65" s="16" t="s">
        <v>593</v>
      </c>
      <c r="I65" s="16">
        <v>42570.451608796298</v>
      </c>
      <c r="J65" s="7">
        <v>0</v>
      </c>
      <c r="K65" s="26" t="str">
        <f t="shared" si="15"/>
        <v>4029/4030</v>
      </c>
      <c r="L65" s="26" t="str">
        <f>VLOOKUP(A65,'Trips&amp;Operators'!$C$1:$E$10000,3,FALSE)</f>
        <v>DE LA ROSA</v>
      </c>
      <c r="M65" s="6">
        <f t="shared" si="16"/>
        <v>2.9814814814017154E-2</v>
      </c>
      <c r="N65" s="7">
        <f t="shared" si="2"/>
        <v>42.933333332184702</v>
      </c>
      <c r="O65" s="7"/>
      <c r="P65" s="7"/>
      <c r="Q65" s="27"/>
      <c r="R65" s="27"/>
      <c r="S65" s="45">
        <f t="shared" si="17"/>
        <v>1</v>
      </c>
      <c r="T65" s="69" t="str">
        <f t="shared" si="18"/>
        <v>NorthBound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09:06:02-0600',mode:absolute,to:'2016-07-19 11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4.9299999999999997E-2</v>
      </c>
      <c r="Z65" s="89">
        <f t="shared" si="23"/>
        <v>23.333200000000001</v>
      </c>
      <c r="AA65" s="89">
        <f t="shared" si="24"/>
        <v>23.283900000000003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0153-19</v>
      </c>
      <c r="AE65" s="75" t="str">
        <f t="shared" si="26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65" s="75" t="str">
        <f t="shared" si="27"/>
        <v>"C:\Program Files (x86)\AstroGrep\AstroGrep.exe" /spath="C:\Users\stu\Documents\Analysis\2016-02-23 RTDC Observations" /stypes="*4029*20160719*" /stext=" 16:.+((prompt.+disp)|(slice.+state.+chan)|(ment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hidden="1" x14ac:dyDescent="0.25">
      <c r="A66" s="49" t="s">
        <v>516</v>
      </c>
      <c r="B66" s="7">
        <v>4030</v>
      </c>
      <c r="C66" s="26" t="s">
        <v>59</v>
      </c>
      <c r="D66" s="26" t="s">
        <v>154</v>
      </c>
      <c r="E66" s="16">
        <v>42570.461388888885</v>
      </c>
      <c r="F66" s="16">
        <v>42570.462164351855</v>
      </c>
      <c r="G66" s="7">
        <v>1</v>
      </c>
      <c r="H66" s="16" t="s">
        <v>342</v>
      </c>
      <c r="I66" s="16">
        <v>42570.491944444446</v>
      </c>
      <c r="J66" s="7">
        <v>0</v>
      </c>
      <c r="K66" s="26" t="str">
        <f t="shared" si="15"/>
        <v>4029/4030</v>
      </c>
      <c r="L66" s="26" t="str">
        <f>VLOOKUP(A66,'Trips&amp;Operators'!$C$1:$E$10000,3,FALSE)</f>
        <v>DE LA ROSA</v>
      </c>
      <c r="M66" s="6">
        <f t="shared" si="16"/>
        <v>2.9780092590954155E-2</v>
      </c>
      <c r="N66" s="7">
        <f t="shared" si="2"/>
        <v>42.883333330973983</v>
      </c>
      <c r="O66" s="7"/>
      <c r="P66" s="7"/>
      <c r="Q66" s="27"/>
      <c r="R66" s="27"/>
      <c r="S66" s="45">
        <f t="shared" si="17"/>
        <v>1</v>
      </c>
      <c r="T66" s="69" t="str">
        <f t="shared" si="18"/>
        <v>Southbound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10:04:24-0600',mode:absolute,to:'2016-07-19 12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23.299600000000002</v>
      </c>
      <c r="Z66" s="89">
        <f t="shared" si="23"/>
        <v>1.6899999999999998E-2</v>
      </c>
      <c r="AA66" s="89">
        <f t="shared" si="24"/>
        <v>23.282700000000002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0154-19</v>
      </c>
      <c r="AE66" s="75" t="str">
        <f t="shared" si="26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66" s="75" t="str">
        <f t="shared" si="27"/>
        <v>"C:\Program Files (x86)\AstroGrep\AstroGrep.exe" /spath="C:\Users\stu\Documents\Analysis\2016-02-23 RTDC Observations" /stypes="*4030*20160719*" /stext=" 17:.+((prompt.+disp)|(slice.+state.+chan)|(ment ac)|(system.+state.+chan)|(\|lc)|(penalty)|(\[timeout))" /e /r /s</v>
      </c>
      <c r="AG66" s="1" t="str">
        <f t="shared" si="28"/>
        <v>EC</v>
      </c>
    </row>
    <row r="67" spans="1:33" hidden="1" x14ac:dyDescent="0.25">
      <c r="A67" s="49" t="s">
        <v>478</v>
      </c>
      <c r="B67" s="7">
        <v>4027</v>
      </c>
      <c r="C67" s="26" t="s">
        <v>59</v>
      </c>
      <c r="D67" s="26" t="s">
        <v>594</v>
      </c>
      <c r="E67" s="16">
        <v>42570.433298611111</v>
      </c>
      <c r="F67" s="16">
        <v>42570.434340277781</v>
      </c>
      <c r="G67" s="7">
        <v>1</v>
      </c>
      <c r="H67" s="16" t="s">
        <v>266</v>
      </c>
      <c r="I67" s="16">
        <v>42570.463587962964</v>
      </c>
      <c r="J67" s="7">
        <v>0</v>
      </c>
      <c r="K67" s="26" t="str">
        <f t="shared" si="15"/>
        <v>4027/4028</v>
      </c>
      <c r="L67" s="26" t="str">
        <f>VLOOKUP(A67,'Trips&amp;Operators'!$C$1:$E$10000,3,FALSE)</f>
        <v>GEBRETEKLE</v>
      </c>
      <c r="M67" s="6">
        <f t="shared" si="16"/>
        <v>2.9247685182781424E-2</v>
      </c>
      <c r="N67" s="7">
        <f t="shared" si="2"/>
        <v>42.116666663205251</v>
      </c>
      <c r="O67" s="7"/>
      <c r="P67" s="7"/>
      <c r="Q67" s="27"/>
      <c r="R67" s="27"/>
      <c r="S67" s="45">
        <f t="shared" si="17"/>
        <v>1</v>
      </c>
      <c r="T67" s="69" t="str">
        <f t="shared" si="18"/>
        <v>NorthBound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09:23:57-0600',mode:absolute,to:'2016-07-19 12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4.2599999999999999E-2</v>
      </c>
      <c r="Z67" s="89">
        <f t="shared" si="23"/>
        <v>23.331700000000001</v>
      </c>
      <c r="AA67" s="89">
        <f t="shared" si="24"/>
        <v>23.289100000000001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0155-19</v>
      </c>
      <c r="AE67" s="75" t="str">
        <f t="shared" si="26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67" s="75" t="str">
        <f t="shared" si="27"/>
        <v>"C:\Program Files (x86)\AstroGrep\AstroGrep.exe" /spath="C:\Users\stu\Documents\Analysis\2016-02-23 RTDC Observations" /stypes="*4027*20160719*"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hidden="1" x14ac:dyDescent="0.25">
      <c r="A68" s="49" t="s">
        <v>433</v>
      </c>
      <c r="B68" s="7">
        <v>4028</v>
      </c>
      <c r="C68" s="26" t="s">
        <v>59</v>
      </c>
      <c r="D68" s="26" t="s">
        <v>329</v>
      </c>
      <c r="E68" s="16">
        <v>42570.474479166667</v>
      </c>
      <c r="F68" s="16">
        <v>42570.475254629629</v>
      </c>
      <c r="G68" s="7">
        <v>1</v>
      </c>
      <c r="H68" s="16" t="s">
        <v>264</v>
      </c>
      <c r="I68" s="16">
        <v>42570.502557870372</v>
      </c>
      <c r="J68" s="7">
        <v>0</v>
      </c>
      <c r="K68" s="26" t="str">
        <f t="shared" si="15"/>
        <v>4027/4028</v>
      </c>
      <c r="L68" s="26" t="str">
        <f>VLOOKUP(A68,'Trips&amp;Operators'!$C$1:$E$10000,3,FALSE)</f>
        <v>GEBRETEKLE</v>
      </c>
      <c r="M68" s="6">
        <f t="shared" si="16"/>
        <v>2.7303240742185153E-2</v>
      </c>
      <c r="N68" s="7">
        <f t="shared" si="2"/>
        <v>39.31666666874662</v>
      </c>
      <c r="O68" s="7"/>
      <c r="P68" s="7"/>
      <c r="Q68" s="27"/>
      <c r="R68" s="27"/>
      <c r="S68" s="45">
        <f t="shared" si="17"/>
        <v>1</v>
      </c>
      <c r="T68" s="69" t="str">
        <f t="shared" si="18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10:23:15-0600',mode:absolute,to:'2016-07-19 13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23.300999999999998</v>
      </c>
      <c r="Z68" s="89">
        <f t="shared" si="23"/>
        <v>1.6E-2</v>
      </c>
      <c r="AA68" s="89">
        <f t="shared" si="24"/>
        <v>23.285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0156-19</v>
      </c>
      <c r="AE68" s="75" t="str">
        <f t="shared" si="26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68" s="75" t="str">
        <f t="shared" si="27"/>
        <v>"C:\Program Files (x86)\AstroGrep\AstroGrep.exe" /spath="C:\Users\stu\Documents\Analysis\2016-02-23 RTDC Observations" /stypes="*4028*20160719*" /stext=" 18:.+((prompt.+disp)|(slice.+state.+chan)|(ment ac)|(system.+state.+chan)|(\|lc)|(penalty)|(\[timeout))" /e /r /s</v>
      </c>
      <c r="AG68" s="1" t="str">
        <f t="shared" si="28"/>
        <v>EC</v>
      </c>
    </row>
    <row r="69" spans="1:33" hidden="1" x14ac:dyDescent="0.25">
      <c r="A69" s="49" t="s">
        <v>532</v>
      </c>
      <c r="B69" s="7">
        <v>4007</v>
      </c>
      <c r="C69" s="26" t="s">
        <v>59</v>
      </c>
      <c r="D69" s="26" t="s">
        <v>112</v>
      </c>
      <c r="E69" s="16">
        <v>42570.443599537037</v>
      </c>
      <c r="F69" s="16">
        <v>42570.445208333331</v>
      </c>
      <c r="G69" s="7">
        <v>2</v>
      </c>
      <c r="H69" s="16" t="s">
        <v>315</v>
      </c>
      <c r="I69" s="16">
        <v>42570.473449074074</v>
      </c>
      <c r="J69" s="7">
        <v>0</v>
      </c>
      <c r="K69" s="26" t="str">
        <f t="shared" si="15"/>
        <v>4007/4008</v>
      </c>
      <c r="L69" s="26" t="str">
        <f>VLOOKUP(A69,'Trips&amp;Operators'!$C$1:$E$10000,3,FALSE)</f>
        <v>STARKS</v>
      </c>
      <c r="M69" s="6">
        <f t="shared" si="16"/>
        <v>2.8240740743058268E-2</v>
      </c>
      <c r="N69" s="7">
        <f t="shared" si="2"/>
        <v>40.666666670003906</v>
      </c>
      <c r="O69" s="7"/>
      <c r="P69" s="7"/>
      <c r="Q69" s="27"/>
      <c r="R69" s="27"/>
      <c r="S69" s="45">
        <f t="shared" si="17"/>
        <v>1</v>
      </c>
      <c r="T69" s="69" t="str">
        <f t="shared" si="18"/>
        <v>NorthBound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09:38:47-0600',mode:absolute,to:'2016-07-19 12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4.5100000000000001E-2</v>
      </c>
      <c r="Z69" s="89">
        <f t="shared" si="23"/>
        <v>23.3324</v>
      </c>
      <c r="AA69" s="89">
        <f t="shared" si="24"/>
        <v>23.287299999999998</v>
      </c>
      <c r="AB69" s="86" t="e">
        <f>VLOOKUP(A69,Enforcements!$C$7:$J$23,8,0)</f>
        <v>#N/A</v>
      </c>
      <c r="AC69" s="82" t="e">
        <f>VLOOKUP(A69,Enforcements!$C$7:$E$23,3,0)</f>
        <v>#N/A</v>
      </c>
      <c r="AD69" s="83" t="str">
        <f t="shared" si="25"/>
        <v>0157-19</v>
      </c>
      <c r="AE69" s="75" t="str">
        <f t="shared" si="26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69" s="75" t="str">
        <f t="shared" si="27"/>
        <v>"C:\Program Files (x86)\AstroGrep\AstroGrep.exe" /spath="C:\Users\stu\Documents\Analysis\2016-02-23 RTDC Observations" /stypes="*4007*20160719*" /stext=" 17:.+((prompt.+disp)|(slice.+state.+chan)|(ment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hidden="1" x14ac:dyDescent="0.25">
      <c r="A70" s="49" t="s">
        <v>405</v>
      </c>
      <c r="B70" s="7">
        <v>4008</v>
      </c>
      <c r="C70" s="26" t="s">
        <v>59</v>
      </c>
      <c r="D70" s="26" t="s">
        <v>595</v>
      </c>
      <c r="E70" s="16">
        <v>42570.485046296293</v>
      </c>
      <c r="F70" s="16">
        <v>42570.487858796296</v>
      </c>
      <c r="G70" s="7">
        <v>4</v>
      </c>
      <c r="H70" s="16" t="s">
        <v>108</v>
      </c>
      <c r="I70" s="16">
        <v>42570.512442129628</v>
      </c>
      <c r="J70" s="7">
        <v>1</v>
      </c>
      <c r="K70" s="26" t="str">
        <f t="shared" si="15"/>
        <v>4007/4008</v>
      </c>
      <c r="L70" s="26" t="str">
        <f>VLOOKUP(A70,'Trips&amp;Operators'!$C$1:$E$10000,3,FALSE)</f>
        <v>STARKS</v>
      </c>
      <c r="M70" s="6">
        <f t="shared" si="16"/>
        <v>2.4583333331975155E-2</v>
      </c>
      <c r="N70" s="7">
        <f t="shared" si="2"/>
        <v>35.399999998044223</v>
      </c>
      <c r="O70" s="7"/>
      <c r="P70" s="7"/>
      <c r="Q70" s="27"/>
      <c r="R70" s="27"/>
      <c r="S70" s="45">
        <f t="shared" si="17"/>
        <v>1</v>
      </c>
      <c r="T70" s="69" t="str">
        <f t="shared" si="18"/>
        <v>Southbound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10:38:28-0600',mode:absolute,to:'2016-07-19 13:17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23.298999999999999</v>
      </c>
      <c r="Z70" s="89">
        <f t="shared" si="23"/>
        <v>1.43E-2</v>
      </c>
      <c r="AA70" s="89">
        <f t="shared" si="24"/>
        <v>23.284700000000001</v>
      </c>
      <c r="AB70" s="86" t="e">
        <f>VLOOKUP(A70,Enforcements!$C$7:$J$23,8,0)</f>
        <v>#N/A</v>
      </c>
      <c r="AC70" s="82" t="e">
        <f>VLOOKUP(A70,Enforcements!$C$7:$E$23,3,0)</f>
        <v>#N/A</v>
      </c>
      <c r="AD70" s="83" t="str">
        <f t="shared" si="25"/>
        <v>0158-19</v>
      </c>
      <c r="AE70" s="75" t="str">
        <f t="shared" si="26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70" s="75" t="str">
        <f t="shared" si="27"/>
        <v>"C:\Program Files (x86)\AstroGrep\AstroGrep.exe" /spath="C:\Users\stu\Documents\Analysis\2016-02-23 RTDC Observations" /stypes="*4008*20160719*" /stext=" 18:.+((prompt.+disp)|(slice.+state.+chan)|(ment ac)|(system.+state.+chan)|(\|lc)|(penalty)|(\[timeout))" /e /r /s</v>
      </c>
      <c r="AG70" s="1" t="str">
        <f t="shared" si="28"/>
        <v>EC</v>
      </c>
    </row>
    <row r="71" spans="1:33" hidden="1" x14ac:dyDescent="0.25">
      <c r="A71" s="49" t="s">
        <v>404</v>
      </c>
      <c r="B71" s="7">
        <v>4038</v>
      </c>
      <c r="C71" s="26" t="s">
        <v>59</v>
      </c>
      <c r="D71" s="26" t="s">
        <v>175</v>
      </c>
      <c r="E71" s="16">
        <v>42570.454351851855</v>
      </c>
      <c r="F71" s="16">
        <v>42570.455497685187</v>
      </c>
      <c r="G71" s="7">
        <v>1</v>
      </c>
      <c r="H71" s="16" t="s">
        <v>596</v>
      </c>
      <c r="I71" s="16">
        <v>42570.483553240738</v>
      </c>
      <c r="J71" s="7">
        <v>1</v>
      </c>
      <c r="K71" s="26" t="str">
        <f t="shared" si="15"/>
        <v>4037/4038</v>
      </c>
      <c r="L71" s="26" t="str">
        <f>VLOOKUP(A71,'Trips&amp;Operators'!$C$1:$E$10000,3,FALSE)</f>
        <v>STORY</v>
      </c>
      <c r="M71" s="6">
        <f t="shared" si="16"/>
        <v>2.8055555550963618E-2</v>
      </c>
      <c r="N71" s="7">
        <f t="shared" si="2"/>
        <v>40.39999999338761</v>
      </c>
      <c r="O71" s="7"/>
      <c r="P71" s="7"/>
      <c r="Q71" s="27"/>
      <c r="R71" s="27"/>
      <c r="S71" s="45">
        <f t="shared" si="17"/>
        <v>1</v>
      </c>
      <c r="T71" s="69" t="str">
        <f t="shared" si="18"/>
        <v>NorthBound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09:54:16-0600',mode:absolute,to:'2016-07-19 12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4.6899999999999997E-2</v>
      </c>
      <c r="Z71" s="89">
        <f t="shared" si="23"/>
        <v>23.337399999999999</v>
      </c>
      <c r="AA71" s="89">
        <f t="shared" si="24"/>
        <v>23.290499999999998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0159-19</v>
      </c>
      <c r="AE71" s="75" t="str">
        <f t="shared" si="26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71" s="75" t="str">
        <f t="shared" si="27"/>
        <v>"C:\Program Files (x86)\AstroGrep\AstroGrep.exe" /spath="C:\Users\stu\Documents\Analysis\2016-02-23 RTDC Observations" /stypes="*4038*20160719*" /stext=" 17:.+((prompt.+disp)|(slice.+state.+chan)|(ment ac)|(system.+state.+chan)|(\|lc)|(penalty)|(\[timeout))" /e /r /s</v>
      </c>
      <c r="AG71" s="1" t="str">
        <f t="shared" si="28"/>
        <v>EC</v>
      </c>
    </row>
    <row r="72" spans="1:33" hidden="1" x14ac:dyDescent="0.25">
      <c r="A72" s="49" t="s">
        <v>406</v>
      </c>
      <c r="B72" s="7">
        <v>4037</v>
      </c>
      <c r="C72" s="26" t="s">
        <v>59</v>
      </c>
      <c r="D72" s="26" t="s">
        <v>597</v>
      </c>
      <c r="E72" s="16">
        <v>42570.49015046296</v>
      </c>
      <c r="F72" s="16">
        <v>42570.491481481484</v>
      </c>
      <c r="G72" s="7">
        <v>1</v>
      </c>
      <c r="H72" s="16" t="s">
        <v>60</v>
      </c>
      <c r="I72" s="16">
        <v>42570.523402777777</v>
      </c>
      <c r="J72" s="7">
        <v>1</v>
      </c>
      <c r="K72" s="26" t="str">
        <f t="shared" si="15"/>
        <v>4037/4038</v>
      </c>
      <c r="L72" s="26" t="str">
        <f>VLOOKUP(A72,'Trips&amp;Operators'!$C$1:$E$10000,3,FALSE)</f>
        <v>STORY</v>
      </c>
      <c r="M72" s="6">
        <f t="shared" si="16"/>
        <v>3.1921296293148771E-2</v>
      </c>
      <c r="N72" s="7">
        <f t="shared" si="2"/>
        <v>45.96666666213423</v>
      </c>
      <c r="O72" s="7"/>
      <c r="P72" s="7"/>
      <c r="Q72" s="27"/>
      <c r="R72" s="27"/>
      <c r="S72" s="45">
        <f t="shared" si="17"/>
        <v>1</v>
      </c>
      <c r="T72" s="69" t="str">
        <f t="shared" si="18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10:45:49-0600',mode:absolute,to:'2016-07-19 13:33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2" s="74" t="str">
        <f t="shared" si="20"/>
        <v>N</v>
      </c>
      <c r="X72" s="92">
        <f t="shared" si="21"/>
        <v>1</v>
      </c>
      <c r="Y72" s="89">
        <f t="shared" si="22"/>
        <v>23.3062</v>
      </c>
      <c r="Z72" s="89">
        <f t="shared" si="23"/>
        <v>1.4500000000000001E-2</v>
      </c>
      <c r="AA72" s="89">
        <f t="shared" si="24"/>
        <v>23.291699999999999</v>
      </c>
      <c r="AB72" s="86">
        <f>VLOOKUP(A72,Enforcements!$C$7:$J$23,8,0)</f>
        <v>21848</v>
      </c>
      <c r="AC72" s="82" t="str">
        <f>VLOOKUP(A72,Enforcements!$C$7:$E$23,3,0)</f>
        <v>PERMANENT SPEED RESTRICTION</v>
      </c>
      <c r="AD72" s="83" t="str">
        <f t="shared" si="25"/>
        <v>0160-19</v>
      </c>
      <c r="AE72" s="75" t="str">
        <f t="shared" si="26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72" s="75" t="str">
        <f t="shared" si="27"/>
        <v>"C:\Program Files (x86)\AstroGrep\AstroGrep.exe" /spath="C:\Users\stu\Documents\Analysis\2016-02-23 RTDC Observations" /stypes="*4037*20160719*" /stext=" 18:.+((prompt.+disp)|(slice.+state.+chan)|(ment ac)|(system.+state.+chan)|(\|lc)|(penalty)|(\[timeout))" /e /r /s</v>
      </c>
      <c r="AG72" s="1" t="str">
        <f t="shared" si="28"/>
        <v>EC</v>
      </c>
    </row>
    <row r="73" spans="1:33" hidden="1" x14ac:dyDescent="0.25">
      <c r="A73" s="49" t="s">
        <v>432</v>
      </c>
      <c r="B73" s="7">
        <v>4011</v>
      </c>
      <c r="C73" s="26" t="s">
        <v>59</v>
      </c>
      <c r="D73" s="26" t="s">
        <v>330</v>
      </c>
      <c r="E73" s="16">
        <v>42570.463506944441</v>
      </c>
      <c r="F73" s="16">
        <v>42570.464849537035</v>
      </c>
      <c r="G73" s="7">
        <v>1</v>
      </c>
      <c r="H73" s="16" t="s">
        <v>207</v>
      </c>
      <c r="I73" s="16">
        <v>42570.495138888888</v>
      </c>
      <c r="J73" s="7">
        <v>0</v>
      </c>
      <c r="K73" s="26" t="str">
        <f t="shared" si="15"/>
        <v>4011/4012</v>
      </c>
      <c r="L73" s="26" t="str">
        <f>VLOOKUP(A73,'Trips&amp;Operators'!$C$1:$E$10000,3,FALSE)</f>
        <v>STEWART</v>
      </c>
      <c r="M73" s="6">
        <f t="shared" si="16"/>
        <v>3.0289351852843538E-2</v>
      </c>
      <c r="N73" s="7">
        <f t="shared" si="2"/>
        <v>43.616666668094695</v>
      </c>
      <c r="O73" s="7"/>
      <c r="P73" s="7"/>
      <c r="Q73" s="27"/>
      <c r="R73" s="27"/>
      <c r="S73" s="45">
        <f t="shared" si="17"/>
        <v>1</v>
      </c>
      <c r="T73" s="69" t="str">
        <f t="shared" si="18"/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10:07:27-0600',mode:absolute,to:'2016-07-19 12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3" s="74" t="str">
        <f t="shared" si="20"/>
        <v>N</v>
      </c>
      <c r="X73" s="92">
        <f t="shared" si="21"/>
        <v>1</v>
      </c>
      <c r="Y73" s="89">
        <f t="shared" si="22"/>
        <v>4.3299999999999998E-2</v>
      </c>
      <c r="Z73" s="89">
        <f t="shared" si="23"/>
        <v>23.328800000000001</v>
      </c>
      <c r="AA73" s="89">
        <f t="shared" si="24"/>
        <v>23.285500000000003</v>
      </c>
      <c r="AB73" s="86" t="e">
        <f>VLOOKUP(A73,Enforcements!$C$7:$J$23,8,0)</f>
        <v>#N/A</v>
      </c>
      <c r="AC73" s="82" t="e">
        <f>VLOOKUP(A73,Enforcements!$C$7:$E$23,3,0)</f>
        <v>#N/A</v>
      </c>
      <c r="AD73" s="83" t="str">
        <f t="shared" si="25"/>
        <v>0161-19</v>
      </c>
      <c r="AE73" s="75" t="str">
        <f t="shared" si="26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73" s="75" t="str">
        <f t="shared" si="27"/>
        <v>"C:\Program Files (x86)\AstroGrep\AstroGrep.exe" /spath="C:\Users\stu\Documents\Analysis\2016-02-23 RTDC Observations" /stypes="*4011*20160719*" /stext=" 17:.+((prompt.+disp)|(slice.+state.+chan)|(ment ac)|(system.+state.+chan)|(\|lc)|(penalty)|(\[timeout))" /e /r /s</v>
      </c>
      <c r="AG73" s="1" t="str">
        <f t="shared" si="28"/>
        <v>EC</v>
      </c>
    </row>
    <row r="74" spans="1:33" hidden="1" x14ac:dyDescent="0.25">
      <c r="A74" s="49" t="s">
        <v>519</v>
      </c>
      <c r="B74" s="7">
        <v>4012</v>
      </c>
      <c r="C74" s="26" t="s">
        <v>59</v>
      </c>
      <c r="D74" s="26" t="s">
        <v>598</v>
      </c>
      <c r="E74" s="16">
        <v>42570.503958333335</v>
      </c>
      <c r="F74" s="16">
        <v>42570.50513888889</v>
      </c>
      <c r="G74" s="7">
        <v>1</v>
      </c>
      <c r="H74" s="16" t="s">
        <v>264</v>
      </c>
      <c r="I74" s="16">
        <v>42570.534722222219</v>
      </c>
      <c r="J74" s="7">
        <v>0</v>
      </c>
      <c r="K74" s="26" t="str">
        <f t="shared" si="15"/>
        <v>4011/4012</v>
      </c>
      <c r="L74" s="26" t="str">
        <f>VLOOKUP(A74,'Trips&amp;Operators'!$C$1:$E$10000,3,FALSE)</f>
        <v>STEWART</v>
      </c>
      <c r="M74" s="6">
        <f t="shared" si="16"/>
        <v>2.958333332935581E-2</v>
      </c>
      <c r="N74" s="7">
        <f t="shared" si="2"/>
        <v>42.599999994272366</v>
      </c>
      <c r="O74" s="7"/>
      <c r="P74" s="7"/>
      <c r="Q74" s="27"/>
      <c r="R74" s="27"/>
      <c r="S74" s="45">
        <f t="shared" si="17"/>
        <v>1</v>
      </c>
      <c r="T74" s="69" t="str">
        <f t="shared" si="18"/>
        <v>Southbound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11:05:42-0600',mode:absolute,to:'2016-07-19 13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4" s="74" t="str">
        <f t="shared" si="20"/>
        <v>N</v>
      </c>
      <c r="X74" s="92">
        <f t="shared" si="21"/>
        <v>1</v>
      </c>
      <c r="Y74" s="89">
        <f t="shared" si="22"/>
        <v>23.2973</v>
      </c>
      <c r="Z74" s="89">
        <f t="shared" si="23"/>
        <v>1.6E-2</v>
      </c>
      <c r="AA74" s="89">
        <f t="shared" si="24"/>
        <v>23.281300000000002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0162-19</v>
      </c>
      <c r="AE74" s="75" t="str">
        <f t="shared" si="26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74" s="75" t="str">
        <f t="shared" si="27"/>
        <v>"C:\Program Files (x86)\AstroGrep\AstroGrep.exe" /spath="C:\Users\stu\Documents\Analysis\2016-02-23 RTDC Observations" /stypes="*4012*20160719*" /stext=" 18:.+((prompt.+disp)|(slice.+state.+chan)|(ment ac)|(system.+state.+chan)|(\|lc)|(penalty)|(\[timeout))" /e /r /s</v>
      </c>
      <c r="AG74" s="1" t="str">
        <f t="shared" si="28"/>
        <v>EC</v>
      </c>
    </row>
    <row r="75" spans="1:33" hidden="1" x14ac:dyDescent="0.25">
      <c r="A75" s="49" t="s">
        <v>484</v>
      </c>
      <c r="B75" s="7">
        <v>4044</v>
      </c>
      <c r="C75" s="26" t="s">
        <v>59</v>
      </c>
      <c r="D75" s="26" t="s">
        <v>66</v>
      </c>
      <c r="E75" s="16">
        <v>42570.472199074073</v>
      </c>
      <c r="F75" s="16">
        <v>42570.473530092589</v>
      </c>
      <c r="G75" s="7">
        <v>1</v>
      </c>
      <c r="H75" s="16" t="s">
        <v>593</v>
      </c>
      <c r="I75" s="16">
        <v>42570.504155092596</v>
      </c>
      <c r="J75" s="7">
        <v>0</v>
      </c>
      <c r="K75" s="26" t="str">
        <f t="shared" si="15"/>
        <v>4043/4044</v>
      </c>
      <c r="L75" s="26" t="str">
        <f>VLOOKUP(A75,'Trips&amp;Operators'!$C$1:$E$10000,3,FALSE)</f>
        <v>LOCKLEAR</v>
      </c>
      <c r="M75" s="6">
        <f t="shared" si="16"/>
        <v>3.0625000006693881E-2</v>
      </c>
      <c r="N75" s="7">
        <f t="shared" si="2"/>
        <v>44.100000009639189</v>
      </c>
      <c r="O75" s="7"/>
      <c r="P75" s="7"/>
      <c r="Q75" s="27"/>
      <c r="R75" s="27"/>
      <c r="S75" s="45">
        <f t="shared" si="17"/>
        <v>1</v>
      </c>
      <c r="T75" s="69" t="str">
        <f t="shared" si="18"/>
        <v>NorthBound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10:19:58-0600',mode:absolute,to:'2016-07-19 13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5" s="74" t="str">
        <f t="shared" si="20"/>
        <v>N</v>
      </c>
      <c r="X75" s="92">
        <f t="shared" si="21"/>
        <v>1</v>
      </c>
      <c r="Y75" s="89">
        <f t="shared" si="22"/>
        <v>4.5999999999999999E-2</v>
      </c>
      <c r="Z75" s="89">
        <f t="shared" si="23"/>
        <v>23.333200000000001</v>
      </c>
      <c r="AA75" s="89">
        <f t="shared" si="24"/>
        <v>23.287200000000002</v>
      </c>
      <c r="AB75" s="86" t="e">
        <f>VLOOKUP(A75,Enforcements!$C$7:$J$23,8,0)</f>
        <v>#N/A</v>
      </c>
      <c r="AC75" s="82" t="e">
        <f>VLOOKUP(A75,Enforcements!$C$7:$E$23,3,0)</f>
        <v>#N/A</v>
      </c>
      <c r="AD75" s="83" t="str">
        <f t="shared" si="25"/>
        <v>0163-19</v>
      </c>
      <c r="AE75" s="75" t="str">
        <f t="shared" si="26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75" s="75" t="str">
        <f t="shared" si="27"/>
        <v>"C:\Program Files (x86)\AstroGrep\AstroGrep.exe" /spath="C:\Users\stu\Documents\Analysis\2016-02-23 RTDC Observations" /stypes="*4044*20160719*" /stext=" 18:.+((prompt.+disp)|(slice.+state.+chan)|(ment ac)|(system.+state.+chan)|(\|lc)|(penalty)|(\[timeout))" /e /r /s</v>
      </c>
      <c r="AG75" s="1" t="str">
        <f t="shared" si="28"/>
        <v>EC</v>
      </c>
    </row>
    <row r="76" spans="1:33" hidden="1" x14ac:dyDescent="0.25">
      <c r="A76" s="49" t="s">
        <v>529</v>
      </c>
      <c r="B76" s="7">
        <v>4043</v>
      </c>
      <c r="C76" s="26" t="s">
        <v>59</v>
      </c>
      <c r="D76" s="26" t="s">
        <v>599</v>
      </c>
      <c r="E76" s="16">
        <v>42570.515439814815</v>
      </c>
      <c r="F76" s="16">
        <v>42570.516527777778</v>
      </c>
      <c r="G76" s="7">
        <v>1</v>
      </c>
      <c r="H76" s="16" t="s">
        <v>137</v>
      </c>
      <c r="I76" s="16">
        <v>42570.544907407406</v>
      </c>
      <c r="J76" s="7">
        <v>0</v>
      </c>
      <c r="K76" s="26" t="str">
        <f t="shared" si="15"/>
        <v>4043/4044</v>
      </c>
      <c r="L76" s="26" t="str">
        <f>VLOOKUP(A76,'Trips&amp;Operators'!$C$1:$E$10000,3,FALSE)</f>
        <v>LOCKLEAR</v>
      </c>
      <c r="M76" s="6">
        <f t="shared" si="16"/>
        <v>2.8379629628034309E-2</v>
      </c>
      <c r="N76" s="7">
        <f t="shared" ref="N76:P138" si="29">24*60*SUM($M76:$M76)</f>
        <v>40.866666664369404</v>
      </c>
      <c r="O76" s="7"/>
      <c r="P76" s="7"/>
      <c r="Q76" s="27"/>
      <c r="R76" s="27"/>
      <c r="S76" s="45">
        <f t="shared" si="17"/>
        <v>1</v>
      </c>
      <c r="T76" s="69" t="str">
        <f t="shared" si="18"/>
        <v>Southbound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11:22:14-0600',mode:absolute,to:'2016-07-19 14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6" s="74" t="str">
        <f t="shared" si="20"/>
        <v>N</v>
      </c>
      <c r="X76" s="92">
        <f t="shared" si="21"/>
        <v>1</v>
      </c>
      <c r="Y76" s="89">
        <f t="shared" si="22"/>
        <v>23.303799999999999</v>
      </c>
      <c r="Z76" s="89">
        <f t="shared" si="23"/>
        <v>1.61E-2</v>
      </c>
      <c r="AA76" s="89">
        <f t="shared" si="24"/>
        <v>23.287699999999997</v>
      </c>
      <c r="AB76" s="86" t="e">
        <f>VLOOKUP(A76,Enforcements!$C$7:$J$23,8,0)</f>
        <v>#N/A</v>
      </c>
      <c r="AC76" s="82" t="e">
        <f>VLOOKUP(A76,Enforcements!$C$7:$E$23,3,0)</f>
        <v>#N/A</v>
      </c>
      <c r="AD76" s="83" t="str">
        <f t="shared" si="25"/>
        <v>0164-19</v>
      </c>
      <c r="AE76" s="75" t="str">
        <f t="shared" si="26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76" s="75" t="str">
        <f t="shared" si="27"/>
        <v>"C:\Program Files (x86)\AstroGrep\AstroGrep.exe" /spath="C:\Users\stu\Documents\Analysis\2016-02-23 RTDC Observations" /stypes="*4043*20160719*" /stext=" 19:.+((prompt.+disp)|(slice.+state.+chan)|(ment ac)|(system.+state.+chan)|(\|lc)|(penalty)|(\[timeout))" /e /r /s</v>
      </c>
      <c r="AG76" s="1" t="str">
        <f t="shared" si="28"/>
        <v>EC</v>
      </c>
    </row>
    <row r="77" spans="1:33" hidden="1" x14ac:dyDescent="0.25">
      <c r="A77" s="49" t="s">
        <v>434</v>
      </c>
      <c r="B77" s="7">
        <v>4009</v>
      </c>
      <c r="C77" s="26" t="s">
        <v>59</v>
      </c>
      <c r="D77" s="26" t="s">
        <v>66</v>
      </c>
      <c r="E77" s="16">
        <v>42570.486203703702</v>
      </c>
      <c r="F77" s="16">
        <v>42570.487141203703</v>
      </c>
      <c r="G77" s="7">
        <v>1</v>
      </c>
      <c r="H77" s="16" t="s">
        <v>600</v>
      </c>
      <c r="I77" s="16">
        <v>42570.514560185184</v>
      </c>
      <c r="J77" s="7">
        <v>0</v>
      </c>
      <c r="K77" s="26" t="str">
        <f t="shared" si="15"/>
        <v>4009/4010</v>
      </c>
      <c r="L77" s="26" t="str">
        <f>VLOOKUP(A77,'Trips&amp;Operators'!$C$1:$E$10000,3,FALSE)</f>
        <v>DAVIS</v>
      </c>
      <c r="M77" s="6">
        <f t="shared" si="16"/>
        <v>2.7418981480877846E-2</v>
      </c>
      <c r="N77" s="7">
        <f t="shared" si="29"/>
        <v>39.483333332464099</v>
      </c>
      <c r="O77" s="7"/>
      <c r="P77" s="7"/>
      <c r="Q77" s="27"/>
      <c r="R77" s="27"/>
      <c r="S77" s="45">
        <f t="shared" si="17"/>
        <v>1</v>
      </c>
      <c r="T77" s="69" t="str">
        <f t="shared" si="18"/>
        <v>NorthBound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10:40:08-0600',mode:absolute,to:'2016-07-19 13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4.5999999999999999E-2</v>
      </c>
      <c r="Z77" s="89">
        <f t="shared" si="23"/>
        <v>23.334900000000001</v>
      </c>
      <c r="AA77" s="89">
        <f t="shared" si="24"/>
        <v>23.288900000000002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0165-19</v>
      </c>
      <c r="AE77" s="75" t="str">
        <f t="shared" si="26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77" s="75" t="str">
        <f t="shared" si="27"/>
        <v>"C:\Program Files (x86)\AstroGrep\AstroGrep.exe" /spath="C:\Users\stu\Documents\Analysis\2016-02-23 RTDC Observations" /stypes="*4009*20160719*" /stext=" 18:.+((prompt.+disp)|(slice.+state.+chan)|(ment ac)|(system.+state.+chan)|(\|lc)|(penalty)|(\[timeout))" /e /r /s</v>
      </c>
      <c r="AG77" s="1" t="str">
        <f t="shared" si="28"/>
        <v>EC</v>
      </c>
    </row>
    <row r="78" spans="1:33" hidden="1" x14ac:dyDescent="0.25">
      <c r="A78" s="49" t="s">
        <v>410</v>
      </c>
      <c r="B78" s="7">
        <v>4010</v>
      </c>
      <c r="C78" s="26" t="s">
        <v>59</v>
      </c>
      <c r="D78" s="26" t="s">
        <v>331</v>
      </c>
      <c r="E78" s="16">
        <v>42570.519780092596</v>
      </c>
      <c r="F78" s="16">
        <v>42570.520925925928</v>
      </c>
      <c r="G78" s="7">
        <v>1</v>
      </c>
      <c r="H78" s="16" t="s">
        <v>601</v>
      </c>
      <c r="I78" s="16">
        <v>42570.554918981485</v>
      </c>
      <c r="J78" s="7">
        <v>1</v>
      </c>
      <c r="K78" s="26" t="str">
        <f t="shared" si="15"/>
        <v>4009/4010</v>
      </c>
      <c r="L78" s="26" t="str">
        <f>VLOOKUP(A78,'Trips&amp;Operators'!$C$1:$E$10000,3,FALSE)</f>
        <v>DAVIS</v>
      </c>
      <c r="M78" s="6">
        <f t="shared" si="16"/>
        <v>3.3993055556493346E-2</v>
      </c>
      <c r="N78" s="7">
        <f t="shared" si="29"/>
        <v>48.950000001350418</v>
      </c>
      <c r="O78" s="7"/>
      <c r="P78" s="7"/>
      <c r="Q78" s="27"/>
      <c r="R78" s="27"/>
      <c r="S78" s="45">
        <f t="shared" si="17"/>
        <v>1</v>
      </c>
      <c r="T78" s="69" t="str">
        <f t="shared" si="18"/>
        <v>Southbound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https://search-rtdc-monitor-bjffxe2xuh6vdkpspy63sjmuny.us-east-1.es.amazonaws.com/_plugin/kibana/#/discover/Steve-Slow-Train-Analysis-(2080s-and-2083s)?_g=(refreshInterval:(display:Off,section:0,value:0),time:(from:'2016-07-19 11:28:29-0600',mode:absolute,to:'2016-07-19 14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8" s="74" t="str">
        <f t="shared" si="20"/>
        <v>N</v>
      </c>
      <c r="X78" s="92">
        <f t="shared" si="21"/>
        <v>1</v>
      </c>
      <c r="Y78" s="89">
        <f t="shared" si="22"/>
        <v>23.301300000000001</v>
      </c>
      <c r="Z78" s="89">
        <f t="shared" si="23"/>
        <v>1.29E-2</v>
      </c>
      <c r="AA78" s="89">
        <f t="shared" si="24"/>
        <v>23.288400000000003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si="25"/>
        <v>0166-19</v>
      </c>
      <c r="AE78" s="75" t="str">
        <f t="shared" si="26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78" s="75" t="str">
        <f t="shared" si="27"/>
        <v>"C:\Program Files (x86)\AstroGrep\AstroGrep.exe" /spath="C:\Users\stu\Documents\Analysis\2016-02-23 RTDC Observations" /stypes="*4010*20160719*" /stext=" 19:.+((prompt.+disp)|(slice.+state.+chan)|(ment ac)|(system.+state.+chan)|(\|lc)|(penalty)|(\[timeout))" /e /r /s</v>
      </c>
      <c r="AG78" s="1" t="str">
        <f t="shared" si="28"/>
        <v>EC</v>
      </c>
    </row>
    <row r="79" spans="1:33" hidden="1" x14ac:dyDescent="0.25">
      <c r="A79" s="49" t="s">
        <v>408</v>
      </c>
      <c r="B79" s="7">
        <v>4029</v>
      </c>
      <c r="C79" s="26" t="s">
        <v>59</v>
      </c>
      <c r="D79" s="26" t="s">
        <v>147</v>
      </c>
      <c r="E79" s="16">
        <v>42570.495162037034</v>
      </c>
      <c r="F79" s="16">
        <v>42570.496469907404</v>
      </c>
      <c r="G79" s="7">
        <v>1</v>
      </c>
      <c r="H79" s="16" t="s">
        <v>317</v>
      </c>
      <c r="I79" s="16">
        <v>42570.526759259257</v>
      </c>
      <c r="J79" s="7">
        <v>1</v>
      </c>
      <c r="K79" s="26" t="str">
        <f t="shared" ref="K79:K141" si="30">IF(ISEVEN(B79),(B79-1)&amp;"/"&amp;B79,B79&amp;"/"&amp;(B79+1))</f>
        <v>4029/4030</v>
      </c>
      <c r="L79" s="26" t="str">
        <f>VLOOKUP(A79,'Trips&amp;Operators'!$C$1:$E$10000,3,FALSE)</f>
        <v>YOUNG</v>
      </c>
      <c r="M79" s="6">
        <f t="shared" ref="M79:M141" si="31">I79-F79</f>
        <v>3.0289351852843538E-2</v>
      </c>
      <c r="N79" s="7">
        <f t="shared" si="29"/>
        <v>43.616666668094695</v>
      </c>
      <c r="O79" s="7"/>
      <c r="P79" s="7"/>
      <c r="Q79" s="27"/>
      <c r="R79" s="27"/>
      <c r="S79" s="45">
        <f t="shared" ref="S79:S141" si="32">SUM(U79:U79)/12</f>
        <v>1</v>
      </c>
      <c r="T79" s="69" t="str">
        <f t="shared" ref="T79:T141" si="33">IF(ISEVEN(LEFT(A79,3)),"Southbound","NorthBound")</f>
        <v>NorthBound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1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https://search-rtdc-monitor-bjffxe2xuh6vdkpspy63sjmuny.us-east-1.es.amazonaws.com/_plugin/kibana/#/discover/Steve-Slow-Train-Analysis-(2080s-and-2083s)?_g=(refreshInterval:(display:Off,section:0,value:0),time:(from:'2016-07-19 10:53:02-0600',mode:absolute,to:'2016-07-19 13:38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9" s="74" t="str">
        <f t="shared" ref="W79:W141" si="35">IF(AA79&lt;23,"Y","N")</f>
        <v>N</v>
      </c>
      <c r="X79" s="92">
        <f t="shared" ref="X79:X141" si="36">VALUE(LEFT(A79,3))-VALUE(LEFT(A78,3))</f>
        <v>1</v>
      </c>
      <c r="Y79" s="89">
        <f t="shared" ref="Y79:Y141" si="37">RIGHT(D79,LEN(D79)-4)/10000</f>
        <v>4.58E-2</v>
      </c>
      <c r="Z79" s="89">
        <f t="shared" ref="Z79:Z141" si="38">RIGHT(H79,LEN(H79)-4)/10000</f>
        <v>23.3323</v>
      </c>
      <c r="AA79" s="89">
        <f t="shared" ref="AA79:AA141" si="39">ABS(Z79-Y79)</f>
        <v>23.2865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ref="AD79:AD141" si="40">IF(LEN(A79)=6,"0"&amp;A79,A79)</f>
        <v>0167-19</v>
      </c>
      <c r="AE79" s="75" t="str">
        <f t="shared" ref="AE79:AE141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79" s="75" t="str">
        <f t="shared" ref="AF79:AF141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/stypes="*4029*20160719*" /stext=" 18:.+((prompt.+disp)|(slice.+state.+chan)|(ment ac)|(system.+state.+chan)|(\|lc)|(penalty)|(\[timeout))" /e /r /s</v>
      </c>
      <c r="AG79" s="1" t="str">
        <f t="shared" ref="AG79:AG141" si="43">IF(VALUE(LEFT(A79,3))&lt;300,"EC","NWGL")</f>
        <v>EC</v>
      </c>
    </row>
    <row r="80" spans="1:33" hidden="1" x14ac:dyDescent="0.25">
      <c r="A80" s="49" t="s">
        <v>481</v>
      </c>
      <c r="B80" s="7">
        <v>4030</v>
      </c>
      <c r="C80" s="26" t="s">
        <v>59</v>
      </c>
      <c r="D80" s="26" t="s">
        <v>270</v>
      </c>
      <c r="E80" s="16">
        <v>42570.534641203703</v>
      </c>
      <c r="F80" s="16">
        <v>42570.535671296297</v>
      </c>
      <c r="G80" s="7">
        <v>1</v>
      </c>
      <c r="H80" s="16" t="s">
        <v>602</v>
      </c>
      <c r="I80" s="16">
        <v>42570.56795138889</v>
      </c>
      <c r="J80" s="7">
        <v>0</v>
      </c>
      <c r="K80" s="26" t="str">
        <f t="shared" si="30"/>
        <v>4029/4030</v>
      </c>
      <c r="L80" s="26" t="str">
        <f>VLOOKUP(A80,'Trips&amp;Operators'!$C$1:$E$10000,3,FALSE)</f>
        <v>YOUNG</v>
      </c>
      <c r="M80" s="6">
        <f t="shared" si="31"/>
        <v>3.2280092593282461E-2</v>
      </c>
      <c r="N80" s="7">
        <f t="shared" si="29"/>
        <v>46.483333334326744</v>
      </c>
      <c r="O80" s="7"/>
      <c r="P80" s="7"/>
      <c r="Q80" s="27"/>
      <c r="R80" s="27"/>
      <c r="S80" s="45">
        <f t="shared" si="32"/>
        <v>1</v>
      </c>
      <c r="T80" s="69" t="str">
        <f t="shared" si="33"/>
        <v>Southbound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11:49:53-0600',mode:absolute,to:'2016-07-19 14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0" s="74" t="str">
        <f t="shared" si="35"/>
        <v>N</v>
      </c>
      <c r="X80" s="92">
        <f t="shared" si="36"/>
        <v>1</v>
      </c>
      <c r="Y80" s="89">
        <f t="shared" si="37"/>
        <v>23.3</v>
      </c>
      <c r="Z80" s="89">
        <f t="shared" si="38"/>
        <v>2.1600000000000001E-2</v>
      </c>
      <c r="AA80" s="89">
        <f t="shared" si="39"/>
        <v>23.278400000000001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0"/>
        <v>0168-19</v>
      </c>
      <c r="AE80" s="75" t="str">
        <f t="shared" si="41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80" s="75" t="str">
        <f t="shared" si="42"/>
        <v>"C:\Program Files (x86)\AstroGrep\AstroGrep.exe" /spath="C:\Users\stu\Documents\Analysis\2016-02-23 RTDC Observations" /stypes="*4030*20160719*" /stext=" 19:.+((prompt.+disp)|(slice.+state.+chan)|(ment ac)|(system.+state.+chan)|(\|lc)|(penalty)|(\[timeout))" /e /r /s</v>
      </c>
      <c r="AG80" s="1" t="str">
        <f t="shared" si="43"/>
        <v>EC</v>
      </c>
    </row>
    <row r="81" spans="1:33" hidden="1" x14ac:dyDescent="0.25">
      <c r="A81" s="49" t="s">
        <v>407</v>
      </c>
      <c r="B81" s="7">
        <v>4027</v>
      </c>
      <c r="C81" s="26" t="s">
        <v>59</v>
      </c>
      <c r="D81" s="26" t="s">
        <v>221</v>
      </c>
      <c r="E81" s="16">
        <v>42570.505150462966</v>
      </c>
      <c r="F81" s="16">
        <v>42570.507071759261</v>
      </c>
      <c r="G81" s="7">
        <v>2</v>
      </c>
      <c r="H81" s="16" t="s">
        <v>296</v>
      </c>
      <c r="I81" s="16">
        <v>42570.535590277781</v>
      </c>
      <c r="J81" s="7">
        <v>1</v>
      </c>
      <c r="K81" s="26" t="str">
        <f t="shared" si="30"/>
        <v>4027/4028</v>
      </c>
      <c r="L81" s="26" t="str">
        <f>VLOOKUP(A81,'Trips&amp;Operators'!$C$1:$E$10000,3,FALSE)</f>
        <v>MAYBERRY</v>
      </c>
      <c r="M81" s="6">
        <f t="shared" si="31"/>
        <v>2.8518518520286307E-2</v>
      </c>
      <c r="N81" s="7">
        <f t="shared" si="29"/>
        <v>41.066666669212282</v>
      </c>
      <c r="O81" s="7"/>
      <c r="P81" s="7"/>
      <c r="Q81" s="27"/>
      <c r="R81" s="27"/>
      <c r="S81" s="45">
        <f t="shared" si="32"/>
        <v>1</v>
      </c>
      <c r="T81" s="69" t="str">
        <f t="shared" si="33"/>
        <v>NorthBound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11:07:25-0600',mode:absolute,to:'2016-07-19 13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1" s="74" t="str">
        <f t="shared" si="35"/>
        <v>N</v>
      </c>
      <c r="X81" s="92">
        <f t="shared" si="36"/>
        <v>1</v>
      </c>
      <c r="Y81" s="89">
        <f t="shared" si="37"/>
        <v>4.3999999999999997E-2</v>
      </c>
      <c r="Z81" s="89">
        <f t="shared" si="38"/>
        <v>23.331800000000001</v>
      </c>
      <c r="AA81" s="89">
        <f t="shared" si="39"/>
        <v>23.287800000000001</v>
      </c>
      <c r="AB81" s="86">
        <f>VLOOKUP(A81,Enforcements!$C$7:$J$23,8,0)</f>
        <v>119716</v>
      </c>
      <c r="AC81" s="82" t="str">
        <f>VLOOKUP(A81,Enforcements!$C$7:$E$23,3,0)</f>
        <v>PERMANENT SPEED RESTRICTION</v>
      </c>
      <c r="AD81" s="83" t="str">
        <f t="shared" si="40"/>
        <v>0169-19</v>
      </c>
      <c r="AE81" s="75" t="str">
        <f t="shared" si="41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81" s="75" t="str">
        <f t="shared" si="42"/>
        <v>"C:\Program Files (x86)\AstroGrep\AstroGrep.exe" /spath="C:\Users\stu\Documents\Analysis\2016-02-23 RTDC Observations" /stypes="*4027*20160719*" /stext=" 18:.+((prompt.+disp)|(slice.+state.+chan)|(ment ac)|(system.+state.+chan)|(\|lc)|(penalty)|(\[timeout))" /e /r /s</v>
      </c>
      <c r="AG81" s="1" t="str">
        <f t="shared" si="43"/>
        <v>EC</v>
      </c>
    </row>
    <row r="82" spans="1:33" hidden="1" x14ac:dyDescent="0.25">
      <c r="A82" s="49" t="s">
        <v>412</v>
      </c>
      <c r="B82" s="7">
        <v>4028</v>
      </c>
      <c r="C82" s="26" t="s">
        <v>59</v>
      </c>
      <c r="D82" s="26" t="s">
        <v>209</v>
      </c>
      <c r="E82" s="16">
        <v>42570.539166666669</v>
      </c>
      <c r="F82" s="16">
        <v>42570.540393518517</v>
      </c>
      <c r="G82" s="7">
        <v>1</v>
      </c>
      <c r="H82" s="16" t="s">
        <v>71</v>
      </c>
      <c r="I82" s="16">
        <v>42570.576516203706</v>
      </c>
      <c r="J82" s="7">
        <v>1</v>
      </c>
      <c r="K82" s="26" t="str">
        <f t="shared" si="30"/>
        <v>4027/4028</v>
      </c>
      <c r="L82" s="26" t="str">
        <f>VLOOKUP(A82,'Trips&amp;Operators'!$C$1:$E$10000,3,FALSE)</f>
        <v>MAYBERRY</v>
      </c>
      <c r="M82" s="6">
        <f t="shared" si="31"/>
        <v>3.6122685189184267E-2</v>
      </c>
      <c r="N82" s="7">
        <f t="shared" si="29"/>
        <v>52.016666672425345</v>
      </c>
      <c r="O82" s="7"/>
      <c r="P82" s="7"/>
      <c r="Q82" s="27"/>
      <c r="R82" s="27"/>
      <c r="S82" s="45">
        <f t="shared" si="32"/>
        <v>1</v>
      </c>
      <c r="T82" s="69" t="str">
        <f t="shared" si="33"/>
        <v>Southbound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11:56:24-0600',mode:absolute,to:'2016-07-19 14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2" s="74" t="str">
        <f t="shared" si="35"/>
        <v>N</v>
      </c>
      <c r="X82" s="92">
        <f t="shared" si="36"/>
        <v>1</v>
      </c>
      <c r="Y82" s="89">
        <f t="shared" si="37"/>
        <v>23.296500000000002</v>
      </c>
      <c r="Z82" s="89">
        <f t="shared" si="38"/>
        <v>1.49E-2</v>
      </c>
      <c r="AA82" s="89">
        <f t="shared" si="39"/>
        <v>23.281600000000001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0"/>
        <v>0170-19</v>
      </c>
      <c r="AE82" s="75" t="str">
        <f t="shared" si="41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82" s="75" t="str">
        <f t="shared" si="42"/>
        <v>"C:\Program Files (x86)\AstroGrep\AstroGrep.exe" /spath="C:\Users\stu\Documents\Analysis\2016-02-23 RTDC Observations" /stypes="*4028*20160719*" /stext=" 19:.+((prompt.+disp)|(slice.+state.+chan)|(ment ac)|(system.+state.+chan)|(\|lc)|(penalty)|(\[timeout))" /e /r /s</v>
      </c>
      <c r="AG82" s="1" t="str">
        <f t="shared" si="43"/>
        <v>EC</v>
      </c>
    </row>
    <row r="83" spans="1:33" hidden="1" x14ac:dyDescent="0.25">
      <c r="A83" s="49" t="s">
        <v>521</v>
      </c>
      <c r="B83" s="7">
        <v>4007</v>
      </c>
      <c r="C83" s="26" t="s">
        <v>59</v>
      </c>
      <c r="D83" s="26" t="s">
        <v>265</v>
      </c>
      <c r="E83" s="16">
        <v>42570.516076388885</v>
      </c>
      <c r="F83" s="16">
        <v>42570.517418981479</v>
      </c>
      <c r="G83" s="7">
        <v>1</v>
      </c>
      <c r="H83" s="16" t="s">
        <v>325</v>
      </c>
      <c r="I83" s="16">
        <v>42570.547442129631</v>
      </c>
      <c r="J83" s="7">
        <v>0</v>
      </c>
      <c r="K83" s="26" t="str">
        <f t="shared" si="30"/>
        <v>4007/4008</v>
      </c>
      <c r="L83" s="26" t="str">
        <f>VLOOKUP(A83,'Trips&amp;Operators'!$C$1:$E$10000,3,FALSE)</f>
        <v>SHOOK</v>
      </c>
      <c r="M83" s="6">
        <f t="shared" si="31"/>
        <v>3.0023148152395152E-2</v>
      </c>
      <c r="N83" s="7">
        <f t="shared" si="29"/>
        <v>43.233333339449018</v>
      </c>
      <c r="O83" s="7"/>
      <c r="P83" s="7"/>
      <c r="Q83" s="27"/>
      <c r="R83" s="27"/>
      <c r="S83" s="45">
        <f t="shared" si="32"/>
        <v>1</v>
      </c>
      <c r="T83" s="69" t="str">
        <f t="shared" si="33"/>
        <v>NorthBound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11:23:09-0600',mode:absolute,to:'2016-07-19 14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3" s="74" t="str">
        <f t="shared" si="35"/>
        <v>N</v>
      </c>
      <c r="X83" s="92">
        <f t="shared" si="36"/>
        <v>1</v>
      </c>
      <c r="Y83" s="89">
        <f t="shared" si="37"/>
        <v>4.7300000000000002E-2</v>
      </c>
      <c r="Z83" s="89">
        <f t="shared" si="38"/>
        <v>23.337800000000001</v>
      </c>
      <c r="AA83" s="89">
        <f t="shared" si="39"/>
        <v>23.290500000000002</v>
      </c>
      <c r="AB83" s="86" t="e">
        <f>VLOOKUP(A83,Enforcements!$C$7:$J$23,8,0)</f>
        <v>#N/A</v>
      </c>
      <c r="AC83" s="82" t="e">
        <f>VLOOKUP(A83,Enforcements!$C$7:$E$23,3,0)</f>
        <v>#N/A</v>
      </c>
      <c r="AD83" s="83" t="str">
        <f t="shared" si="40"/>
        <v>0171-19</v>
      </c>
      <c r="AE83" s="75" t="str">
        <f t="shared" si="41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83" s="75" t="str">
        <f t="shared" si="42"/>
        <v>"C:\Program Files (x86)\AstroGrep\AstroGrep.exe" /spath="C:\Users\stu\Documents\Analysis\2016-02-23 RTDC Observations" /stypes="*4007*20160719*" /stext=" 19:.+((prompt.+disp)|(slice.+state.+chan)|(ment ac)|(system.+state.+chan)|(\|lc)|(penalty)|(\[timeout))" /e /r /s</v>
      </c>
      <c r="AG83" s="1" t="str">
        <f t="shared" si="43"/>
        <v>EC</v>
      </c>
    </row>
    <row r="84" spans="1:33" hidden="1" x14ac:dyDescent="0.25">
      <c r="A84" s="49" t="s">
        <v>527</v>
      </c>
      <c r="B84" s="7">
        <v>4008</v>
      </c>
      <c r="C84" s="26" t="s">
        <v>59</v>
      </c>
      <c r="D84" s="26" t="s">
        <v>603</v>
      </c>
      <c r="E84" s="16">
        <v>42570.554224537038</v>
      </c>
      <c r="F84" s="16">
        <v>42570.555520833332</v>
      </c>
      <c r="G84" s="7">
        <v>1</v>
      </c>
      <c r="H84" s="16" t="s">
        <v>60</v>
      </c>
      <c r="I84" s="16">
        <v>42570.590416666666</v>
      </c>
      <c r="J84" s="7">
        <v>0</v>
      </c>
      <c r="K84" s="26" t="str">
        <f t="shared" si="30"/>
        <v>4007/4008</v>
      </c>
      <c r="L84" s="26" t="str">
        <f>VLOOKUP(A84,'Trips&amp;Operators'!$C$1:$E$10000,3,FALSE)</f>
        <v>SHOOK</v>
      </c>
      <c r="M84" s="6">
        <f t="shared" si="31"/>
        <v>3.4895833334303461E-2</v>
      </c>
      <c r="N84" s="7">
        <f t="shared" si="29"/>
        <v>50.250000001396984</v>
      </c>
      <c r="O84" s="7"/>
      <c r="P84" s="7"/>
      <c r="Q84" s="27"/>
      <c r="R84" s="27"/>
      <c r="S84" s="45">
        <f t="shared" si="32"/>
        <v>1</v>
      </c>
      <c r="T84" s="69" t="str">
        <f t="shared" si="33"/>
        <v>Southbound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12:18:05-0600',mode:absolute,to:'2016-07-19 15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4" s="74" t="str">
        <f t="shared" si="35"/>
        <v>N</v>
      </c>
      <c r="X84" s="92">
        <f t="shared" si="36"/>
        <v>1</v>
      </c>
      <c r="Y84" s="89">
        <f t="shared" si="37"/>
        <v>23.304500000000001</v>
      </c>
      <c r="Z84" s="89">
        <f t="shared" si="38"/>
        <v>1.4500000000000001E-2</v>
      </c>
      <c r="AA84" s="89">
        <f t="shared" si="39"/>
        <v>23.29</v>
      </c>
      <c r="AB84" s="86" t="e">
        <f>VLOOKUP(A84,Enforcements!$C$7:$J$23,8,0)</f>
        <v>#N/A</v>
      </c>
      <c r="AC84" s="82" t="e">
        <f>VLOOKUP(A84,Enforcements!$C$7:$E$23,3,0)</f>
        <v>#N/A</v>
      </c>
      <c r="AD84" s="83" t="str">
        <f t="shared" si="40"/>
        <v>0172-19</v>
      </c>
      <c r="AE84" s="75" t="str">
        <f t="shared" si="41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84" s="75" t="str">
        <f t="shared" si="42"/>
        <v>"C:\Program Files (x86)\AstroGrep\AstroGrep.exe" /spath="C:\Users\stu\Documents\Analysis\2016-02-23 RTDC Observations" /stypes="*4008*20160719*" /stext=" 20:.+((prompt.+disp)|(slice.+state.+chan)|(ment ac)|(system.+state.+chan)|(\|lc)|(penalty)|(\[timeout))" /e /r /s</v>
      </c>
      <c r="AG84" s="1" t="str">
        <f t="shared" si="43"/>
        <v>EC</v>
      </c>
    </row>
    <row r="85" spans="1:33" hidden="1" x14ac:dyDescent="0.25">
      <c r="A85" s="49" t="s">
        <v>411</v>
      </c>
      <c r="B85" s="7">
        <v>4038</v>
      </c>
      <c r="C85" s="26" t="s">
        <v>59</v>
      </c>
      <c r="D85" s="26" t="s">
        <v>112</v>
      </c>
      <c r="E85" s="16">
        <v>42570.524942129632</v>
      </c>
      <c r="F85" s="16">
        <v>42570.526273148149</v>
      </c>
      <c r="G85" s="7">
        <v>1</v>
      </c>
      <c r="H85" s="16" t="s">
        <v>604</v>
      </c>
      <c r="I85" s="16">
        <v>42570.556631944448</v>
      </c>
      <c r="J85" s="7">
        <v>2</v>
      </c>
      <c r="K85" s="26" t="str">
        <f t="shared" si="30"/>
        <v>4037/4038</v>
      </c>
      <c r="L85" s="26" t="str">
        <f>VLOOKUP(A85,'Trips&amp;Operators'!$C$1:$E$10000,3,FALSE)</f>
        <v>STORY</v>
      </c>
      <c r="M85" s="6">
        <f t="shared" si="31"/>
        <v>3.0358796298969537E-2</v>
      </c>
      <c r="N85" s="7">
        <f t="shared" si="29"/>
        <v>43.716666670516133</v>
      </c>
      <c r="O85" s="7"/>
      <c r="P85" s="7"/>
      <c r="Q85" s="27"/>
      <c r="R85" s="27"/>
      <c r="S85" s="45">
        <f t="shared" si="32"/>
        <v>1</v>
      </c>
      <c r="T85" s="69" t="str">
        <f t="shared" si="33"/>
        <v>NorthBound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11:35:55-0600',mode:absolute,to:'2016-07-19 14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5" s="74" t="str">
        <f t="shared" si="35"/>
        <v>N</v>
      </c>
      <c r="X85" s="92">
        <f t="shared" si="36"/>
        <v>1</v>
      </c>
      <c r="Y85" s="89">
        <f t="shared" si="37"/>
        <v>4.5100000000000001E-2</v>
      </c>
      <c r="Z85" s="89">
        <f t="shared" si="38"/>
        <v>23.311699999999998</v>
      </c>
      <c r="AA85" s="89">
        <f t="shared" si="39"/>
        <v>23.266599999999997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0"/>
        <v>0173-19</v>
      </c>
      <c r="AE85" s="75" t="str">
        <f t="shared" si="41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85" s="75" t="str">
        <f t="shared" si="42"/>
        <v>"C:\Program Files (x86)\AstroGrep\AstroGrep.exe" /spath="C:\Users\stu\Documents\Analysis\2016-02-23 RTDC Observations" /stypes="*4038*20160719*" /stext=" 19:.+((prompt.+disp)|(slice.+state.+chan)|(ment ac)|(system.+state.+chan)|(\|lc)|(penalty)|(\[timeout))" /e /r /s</v>
      </c>
      <c r="AG85" s="1" t="str">
        <f t="shared" si="43"/>
        <v>EC</v>
      </c>
    </row>
    <row r="86" spans="1:33" hidden="1" x14ac:dyDescent="0.25">
      <c r="A86" s="49" t="s">
        <v>482</v>
      </c>
      <c r="B86" s="7">
        <v>4037</v>
      </c>
      <c r="C86" s="26" t="s">
        <v>59</v>
      </c>
      <c r="D86" s="26" t="s">
        <v>605</v>
      </c>
      <c r="E86" s="16">
        <v>42570.568020833336</v>
      </c>
      <c r="F86" s="16">
        <v>42570.569155092591</v>
      </c>
      <c r="G86" s="7">
        <v>1</v>
      </c>
      <c r="H86" s="16" t="s">
        <v>181</v>
      </c>
      <c r="I86" s="16">
        <v>42570.598761574074</v>
      </c>
      <c r="J86" s="7">
        <v>0</v>
      </c>
      <c r="K86" s="26" t="str">
        <f t="shared" si="30"/>
        <v>4037/4038</v>
      </c>
      <c r="L86" s="26" t="str">
        <f>VLOOKUP(A86,'Trips&amp;Operators'!$C$1:$E$10000,3,FALSE)</f>
        <v>STORY</v>
      </c>
      <c r="M86" s="6">
        <f t="shared" si="31"/>
        <v>2.9606481482915115E-2</v>
      </c>
      <c r="N86" s="7">
        <f t="shared" si="29"/>
        <v>42.633333335397765</v>
      </c>
      <c r="O86" s="7"/>
      <c r="P86" s="7"/>
      <c r="Q86" s="27"/>
      <c r="R86" s="27"/>
      <c r="S86" s="45">
        <f t="shared" si="32"/>
        <v>1</v>
      </c>
      <c r="T86" s="69" t="str">
        <f t="shared" si="33"/>
        <v>Southbound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12:37:57-0600',mode:absolute,to:'2016-07-19 15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6" s="74" t="str">
        <f t="shared" si="35"/>
        <v>N</v>
      </c>
      <c r="X86" s="92">
        <f t="shared" si="36"/>
        <v>1</v>
      </c>
      <c r="Y86" s="89">
        <f t="shared" si="37"/>
        <v>23.2804</v>
      </c>
      <c r="Z86" s="89">
        <f t="shared" si="38"/>
        <v>1.3899999999999999E-2</v>
      </c>
      <c r="AA86" s="89">
        <f t="shared" si="39"/>
        <v>23.266500000000001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si="40"/>
        <v>0174-19</v>
      </c>
      <c r="AE86" s="75" t="str">
        <f t="shared" si="41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86" s="75" t="str">
        <f t="shared" si="42"/>
        <v>"C:\Program Files (x86)\AstroGrep\AstroGrep.exe" /spath="C:\Users\stu\Documents\Analysis\2016-02-23 RTDC Observations" /stypes="*4037*20160719*" /stext=" 20:.+((prompt.+disp)|(slice.+state.+chan)|(ment ac)|(system.+state.+chan)|(\|lc)|(penalty)|(\[timeout))" /e /r /s</v>
      </c>
      <c r="AG86" s="1" t="str">
        <f t="shared" si="43"/>
        <v>EC</v>
      </c>
    </row>
    <row r="87" spans="1:33" hidden="1" x14ac:dyDescent="0.25">
      <c r="A87" s="49" t="s">
        <v>480</v>
      </c>
      <c r="B87" s="7">
        <v>4011</v>
      </c>
      <c r="C87" s="26" t="s">
        <v>59</v>
      </c>
      <c r="D87" s="26" t="s">
        <v>175</v>
      </c>
      <c r="E87" s="16">
        <v>42570.538252314815</v>
      </c>
      <c r="F87" s="16">
        <v>42570.539189814815</v>
      </c>
      <c r="G87" s="7">
        <v>1</v>
      </c>
      <c r="H87" s="16" t="s">
        <v>606</v>
      </c>
      <c r="I87" s="16">
        <v>42570.567291666666</v>
      </c>
      <c r="J87" s="7">
        <v>0</v>
      </c>
      <c r="K87" s="26" t="str">
        <f t="shared" si="30"/>
        <v>4011/4012</v>
      </c>
      <c r="L87" s="26" t="str">
        <f>VLOOKUP(A87,'Trips&amp;Operators'!$C$1:$E$10000,3,FALSE)</f>
        <v>STEWART</v>
      </c>
      <c r="M87" s="6">
        <f t="shared" si="31"/>
        <v>2.810185185080627E-2</v>
      </c>
      <c r="N87" s="7">
        <f t="shared" si="29"/>
        <v>40.466666665161029</v>
      </c>
      <c r="O87" s="7"/>
      <c r="P87" s="7"/>
      <c r="Q87" s="27"/>
      <c r="R87" s="27"/>
      <c r="S87" s="45">
        <f t="shared" si="32"/>
        <v>1</v>
      </c>
      <c r="T87" s="69" t="str">
        <f t="shared" si="33"/>
        <v>NorthBound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11:55:05-0600',mode:absolute,to:'2016-07-19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74" t="str">
        <f t="shared" si="35"/>
        <v>N</v>
      </c>
      <c r="X87" s="92">
        <f t="shared" si="36"/>
        <v>1</v>
      </c>
      <c r="Y87" s="89">
        <f t="shared" si="37"/>
        <v>4.6899999999999997E-2</v>
      </c>
      <c r="Z87" s="89">
        <f t="shared" si="38"/>
        <v>23.3278</v>
      </c>
      <c r="AA87" s="89">
        <f t="shared" si="39"/>
        <v>23.280899999999999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0"/>
        <v>0175-19</v>
      </c>
      <c r="AE87" s="75" t="str">
        <f t="shared" si="41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87" s="75" t="str">
        <f t="shared" si="42"/>
        <v>"C:\Program Files (x86)\AstroGrep\AstroGrep.exe" /spath="C:\Users\stu\Documents\Analysis\2016-02-23 RTDC Observations" /stypes="*4011*20160719*" /stext=" 19:.+((prompt.+disp)|(slice.+state.+chan)|(ment ac)|(system.+state.+chan)|(\|lc)|(penalty)|(\[timeout))" /e /r /s</v>
      </c>
      <c r="AG87" s="1" t="str">
        <f t="shared" si="43"/>
        <v>EC</v>
      </c>
    </row>
    <row r="88" spans="1:33" hidden="1" x14ac:dyDescent="0.25">
      <c r="A88" s="49" t="s">
        <v>483</v>
      </c>
      <c r="B88" s="7">
        <v>4012</v>
      </c>
      <c r="C88" s="26" t="s">
        <v>59</v>
      </c>
      <c r="D88" s="26" t="s">
        <v>220</v>
      </c>
      <c r="E88" s="16">
        <v>42570.577789351853</v>
      </c>
      <c r="F88" s="16">
        <v>42570.578750000001</v>
      </c>
      <c r="G88" s="7">
        <v>1</v>
      </c>
      <c r="H88" s="16" t="s">
        <v>177</v>
      </c>
      <c r="I88" s="16">
        <v>42570.611770833333</v>
      </c>
      <c r="J88" s="7">
        <v>0</v>
      </c>
      <c r="K88" s="26" t="str">
        <f t="shared" si="30"/>
        <v>4011/4012</v>
      </c>
      <c r="L88" s="26" t="str">
        <f>VLOOKUP(A88,'Trips&amp;Operators'!$C$1:$E$10000,3,FALSE)</f>
        <v>STEWART</v>
      </c>
      <c r="M88" s="6">
        <f t="shared" si="31"/>
        <v>3.3020833332557231E-2</v>
      </c>
      <c r="N88" s="7">
        <f t="shared" si="29"/>
        <v>47.549999998882413</v>
      </c>
      <c r="O88" s="7"/>
      <c r="P88" s="7"/>
      <c r="Q88" s="27"/>
      <c r="R88" s="27"/>
      <c r="S88" s="45">
        <f t="shared" si="32"/>
        <v>1</v>
      </c>
      <c r="T88" s="69" t="str">
        <f t="shared" si="33"/>
        <v>Southbound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12:52:01-0600',mode:absolute,to:'2016-07-19 15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74" t="str">
        <f t="shared" si="35"/>
        <v>N</v>
      </c>
      <c r="X88" s="92">
        <f t="shared" si="36"/>
        <v>1</v>
      </c>
      <c r="Y88" s="89">
        <f t="shared" si="37"/>
        <v>23.298500000000001</v>
      </c>
      <c r="Z88" s="89">
        <f t="shared" si="38"/>
        <v>1.54E-2</v>
      </c>
      <c r="AA88" s="89">
        <f t="shared" si="39"/>
        <v>23.283100000000001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0"/>
        <v>0176-19</v>
      </c>
      <c r="AE88" s="75" t="str">
        <f t="shared" si="41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88" s="75" t="str">
        <f t="shared" si="42"/>
        <v>"C:\Program Files (x86)\AstroGrep\AstroGrep.exe" /spath="C:\Users\stu\Documents\Analysis\2016-02-23 RTDC Observations" /stypes="*4012*20160719*" /stext=" 20:.+((prompt.+disp)|(slice.+state.+chan)|(ment ac)|(system.+state.+chan)|(\|lc)|(penalty)|(\[timeout))" /e /r /s</v>
      </c>
      <c r="AG88" s="1" t="str">
        <f t="shared" si="43"/>
        <v>EC</v>
      </c>
    </row>
    <row r="89" spans="1:33" hidden="1" x14ac:dyDescent="0.25">
      <c r="A89" s="49" t="s">
        <v>409</v>
      </c>
      <c r="B89" s="7">
        <v>4044</v>
      </c>
      <c r="C89" s="26" t="s">
        <v>59</v>
      </c>
      <c r="D89" s="26" t="s">
        <v>553</v>
      </c>
      <c r="E89" s="16">
        <v>42570.549155092594</v>
      </c>
      <c r="F89" s="16">
        <v>42570.550185185188</v>
      </c>
      <c r="G89" s="7">
        <v>1</v>
      </c>
      <c r="H89" s="16" t="s">
        <v>607</v>
      </c>
      <c r="I89" s="16">
        <v>42570.576747685183</v>
      </c>
      <c r="J89" s="7">
        <v>4</v>
      </c>
      <c r="K89" s="26" t="str">
        <f t="shared" si="30"/>
        <v>4043/4044</v>
      </c>
      <c r="L89" s="26" t="str">
        <f>VLOOKUP(A89,'Trips&amp;Operators'!$C$1:$E$10000,3,FALSE)</f>
        <v>LOCKLEAR</v>
      </c>
      <c r="M89" s="6">
        <f t="shared" si="31"/>
        <v>2.6562499995634425E-2</v>
      </c>
      <c r="N89" s="7">
        <f t="shared" si="29"/>
        <v>38.249999993713573</v>
      </c>
      <c r="O89" s="7"/>
      <c r="P89" s="7"/>
      <c r="Q89" s="27"/>
      <c r="R89" s="27"/>
      <c r="S89" s="45">
        <f t="shared" si="32"/>
        <v>1</v>
      </c>
      <c r="T89" s="69" t="str">
        <f t="shared" si="33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12:10:47-0600',mode:absolute,to:'2016-07-19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9" s="74" t="str">
        <f t="shared" si="35"/>
        <v>N</v>
      </c>
      <c r="X89" s="92">
        <f t="shared" si="36"/>
        <v>1</v>
      </c>
      <c r="Y89" s="89">
        <f t="shared" si="37"/>
        <v>4.6600000000000003E-2</v>
      </c>
      <c r="Z89" s="89">
        <f t="shared" si="38"/>
        <v>23.3368</v>
      </c>
      <c r="AA89" s="89">
        <f t="shared" si="39"/>
        <v>23.290199999999999</v>
      </c>
      <c r="AB89" s="86">
        <f>VLOOKUP(A89,Enforcements!$C$7:$J$23,8,0)</f>
        <v>0</v>
      </c>
      <c r="AC89" s="82" t="str">
        <f>VLOOKUP(A89,Enforcements!$C$7:$E$23,3,0)</f>
        <v>PERMANENT SPEED RESTRICTION</v>
      </c>
      <c r="AD89" s="83" t="str">
        <f t="shared" si="40"/>
        <v>0177-19</v>
      </c>
      <c r="AE89" s="75" t="str">
        <f t="shared" si="41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89" s="75" t="str">
        <f t="shared" si="42"/>
        <v>"C:\Program Files (x86)\AstroGrep\AstroGrep.exe" /spath="C:\Users\stu\Documents\Analysis\2016-02-23 RTDC Observations" /stypes="*4044*20160719*" /stext=" 19:.+((prompt.+disp)|(slice.+state.+chan)|(ment ac)|(system.+state.+chan)|(\|lc)|(penalty)|(\[timeout))" /e /r /s</v>
      </c>
      <c r="AG89" s="1" t="str">
        <f t="shared" si="43"/>
        <v>EC</v>
      </c>
    </row>
    <row r="90" spans="1:33" hidden="1" x14ac:dyDescent="0.25">
      <c r="A90" s="49" t="s">
        <v>486</v>
      </c>
      <c r="B90" s="7">
        <v>4043</v>
      </c>
      <c r="C90" s="26" t="s">
        <v>59</v>
      </c>
      <c r="D90" s="26" t="s">
        <v>608</v>
      </c>
      <c r="E90" s="16">
        <v>42570.58797453704</v>
      </c>
      <c r="F90" s="16">
        <v>42570.588831018518</v>
      </c>
      <c r="G90" s="7">
        <v>1</v>
      </c>
      <c r="H90" s="16" t="s">
        <v>178</v>
      </c>
      <c r="I90" s="16">
        <v>42570.619803240741</v>
      </c>
      <c r="J90" s="7">
        <v>0</v>
      </c>
      <c r="K90" s="26" t="str">
        <f t="shared" si="30"/>
        <v>4043/4044</v>
      </c>
      <c r="L90" s="26" t="str">
        <f>VLOOKUP(A90,'Trips&amp;Operators'!$C$1:$E$10000,3,FALSE)</f>
        <v>LOCKLEAR</v>
      </c>
      <c r="M90" s="6">
        <f t="shared" si="31"/>
        <v>3.0972222222771961E-2</v>
      </c>
      <c r="N90" s="7">
        <f t="shared" si="29"/>
        <v>44.600000000791624</v>
      </c>
      <c r="O90" s="7"/>
      <c r="P90" s="7"/>
      <c r="Q90" s="27"/>
      <c r="R90" s="27"/>
      <c r="S90" s="45">
        <f t="shared" si="32"/>
        <v>1</v>
      </c>
      <c r="T90" s="69" t="str">
        <f t="shared" si="33"/>
        <v>Southbound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13:06:41-0600',mode:absolute,to:'2016-07-19 15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0" s="74" t="str">
        <f t="shared" si="35"/>
        <v>N</v>
      </c>
      <c r="X90" s="92">
        <f t="shared" si="36"/>
        <v>1</v>
      </c>
      <c r="Y90" s="89">
        <f t="shared" si="37"/>
        <v>23.303000000000001</v>
      </c>
      <c r="Z90" s="89">
        <f t="shared" si="38"/>
        <v>1.4999999999999999E-2</v>
      </c>
      <c r="AA90" s="89">
        <f t="shared" si="39"/>
        <v>23.288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0"/>
        <v>0178-19</v>
      </c>
      <c r="AE90" s="75" t="str">
        <f t="shared" si="41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90" s="75" t="str">
        <f t="shared" si="42"/>
        <v>"C:\Program Files (x86)\AstroGrep\AstroGrep.exe" /spath="C:\Users\stu\Documents\Analysis\2016-02-23 RTDC Observations" /stypes="*4043*20160719*" /stext=" 20:.+((prompt.+disp)|(slice.+state.+chan)|(ment ac)|(system.+state.+chan)|(\|lc)|(penalty)|(\[timeout))" /e /r /s</v>
      </c>
      <c r="AG90" s="1" t="str">
        <f t="shared" si="43"/>
        <v>EC</v>
      </c>
    </row>
    <row r="91" spans="1:33" hidden="1" x14ac:dyDescent="0.25">
      <c r="A91" s="49" t="s">
        <v>413</v>
      </c>
      <c r="B91" s="7">
        <v>4009</v>
      </c>
      <c r="C91" s="26" t="s">
        <v>59</v>
      </c>
      <c r="D91" s="26" t="s">
        <v>609</v>
      </c>
      <c r="E91" s="16">
        <v>42570.557314814818</v>
      </c>
      <c r="F91" s="16">
        <v>42570.558310185188</v>
      </c>
      <c r="G91" s="7">
        <v>1</v>
      </c>
      <c r="H91" s="16" t="s">
        <v>223</v>
      </c>
      <c r="I91" s="16">
        <v>42570.590520833335</v>
      </c>
      <c r="J91" s="7">
        <v>1</v>
      </c>
      <c r="K91" s="26" t="str">
        <f t="shared" si="30"/>
        <v>4009/4010</v>
      </c>
      <c r="L91" s="26" t="str">
        <f>VLOOKUP(A91,'Trips&amp;Operators'!$C$1:$E$10000,3,FALSE)</f>
        <v>DAVIS</v>
      </c>
      <c r="M91" s="6">
        <f t="shared" si="31"/>
        <v>3.2210648147156462E-2</v>
      </c>
      <c r="N91" s="7">
        <f t="shared" si="29"/>
        <v>46.383333331905305</v>
      </c>
      <c r="O91" s="7"/>
      <c r="P91" s="7"/>
      <c r="Q91" s="27"/>
      <c r="R91" s="27"/>
      <c r="S91" s="45">
        <f t="shared" si="32"/>
        <v>1</v>
      </c>
      <c r="T91" s="69" t="str">
        <f t="shared" si="33"/>
        <v>NorthBound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12:22:32-0600',mode:absolute,to:'2016-07-19 15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1" s="74" t="str">
        <f t="shared" si="35"/>
        <v>N</v>
      </c>
      <c r="X91" s="92">
        <f t="shared" si="36"/>
        <v>1</v>
      </c>
      <c r="Y91" s="89">
        <f t="shared" si="37"/>
        <v>4.3799999999999999E-2</v>
      </c>
      <c r="Z91" s="89">
        <f t="shared" si="38"/>
        <v>23.3293</v>
      </c>
      <c r="AA91" s="89">
        <f t="shared" si="39"/>
        <v>23.285499999999999</v>
      </c>
      <c r="AB91" s="86" t="e">
        <f>VLOOKUP(A91,Enforcements!$C$7:$J$23,8,0)</f>
        <v>#N/A</v>
      </c>
      <c r="AC91" s="82" t="e">
        <f>VLOOKUP(A91,Enforcements!$C$7:$E$23,3,0)</f>
        <v>#N/A</v>
      </c>
      <c r="AD91" s="83" t="str">
        <f t="shared" si="40"/>
        <v>0179-19</v>
      </c>
      <c r="AE91" s="75" t="str">
        <f t="shared" si="41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91" s="75" t="str">
        <f t="shared" si="42"/>
        <v>"C:\Program Files (x86)\AstroGrep\AstroGrep.exe" /spath="C:\Users\stu\Documents\Analysis\2016-02-23 RTDC Observations" /stypes="*4009*20160719*" /stext=" 20:.+((prompt.+disp)|(slice.+state.+chan)|(ment ac)|(system.+state.+chan)|(\|lc)|(penalty)|(\[timeout))" /e /r /s</v>
      </c>
      <c r="AG91" s="1" t="str">
        <f t="shared" si="43"/>
        <v>EC</v>
      </c>
    </row>
    <row r="92" spans="1:33" hidden="1" x14ac:dyDescent="0.25">
      <c r="A92" s="49" t="s">
        <v>414</v>
      </c>
      <c r="B92" s="7">
        <v>4010</v>
      </c>
      <c r="C92" s="26" t="s">
        <v>59</v>
      </c>
      <c r="D92" s="26" t="s">
        <v>202</v>
      </c>
      <c r="E92" s="16">
        <v>42570.596377314818</v>
      </c>
      <c r="F92" s="16">
        <v>42570.59746527778</v>
      </c>
      <c r="G92" s="7">
        <v>1</v>
      </c>
      <c r="H92" s="16" t="s">
        <v>342</v>
      </c>
      <c r="I92" s="16">
        <v>42570.628229166665</v>
      </c>
      <c r="J92" s="7">
        <v>1</v>
      </c>
      <c r="K92" s="26" t="str">
        <f t="shared" si="30"/>
        <v>4009/4010</v>
      </c>
      <c r="L92" s="26" t="str">
        <f>VLOOKUP(A92,'Trips&amp;Operators'!$C$1:$E$10000,3,FALSE)</f>
        <v>DAVIS</v>
      </c>
      <c r="M92" s="6">
        <f t="shared" si="31"/>
        <v>3.0763888884393964E-2</v>
      </c>
      <c r="N92" s="7">
        <f t="shared" si="29"/>
        <v>44.299999993527308</v>
      </c>
      <c r="O92" s="7"/>
      <c r="P92" s="7"/>
      <c r="Q92" s="27"/>
      <c r="R92" s="27"/>
      <c r="S92" s="45">
        <f t="shared" si="32"/>
        <v>1</v>
      </c>
      <c r="T92" s="69" t="str">
        <f t="shared" si="33"/>
        <v>Southbound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13:18:47-0600',mode:absolute,to:'2016-07-19 16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2" s="74" t="str">
        <f t="shared" si="35"/>
        <v>N</v>
      </c>
      <c r="X92" s="92">
        <f t="shared" si="36"/>
        <v>1</v>
      </c>
      <c r="Y92" s="89">
        <f t="shared" si="37"/>
        <v>23.2989</v>
      </c>
      <c r="Z92" s="89">
        <f t="shared" si="38"/>
        <v>1.6899999999999998E-2</v>
      </c>
      <c r="AA92" s="89">
        <f t="shared" si="39"/>
        <v>23.282</v>
      </c>
      <c r="AB92" s="86" t="e">
        <f>VLOOKUP(A92,Enforcements!$C$7:$J$23,8,0)</f>
        <v>#N/A</v>
      </c>
      <c r="AC92" s="82" t="e">
        <f>VLOOKUP(A92,Enforcements!$C$7:$E$23,3,0)</f>
        <v>#N/A</v>
      </c>
      <c r="AD92" s="83" t="str">
        <f t="shared" si="40"/>
        <v>0180-19</v>
      </c>
      <c r="AE92" s="75" t="str">
        <f t="shared" si="41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92" s="75" t="str">
        <f t="shared" si="42"/>
        <v>"C:\Program Files (x86)\AstroGrep\AstroGrep.exe" /spath="C:\Users\stu\Documents\Analysis\2016-02-23 RTDC Observations" /stypes="*4010*20160719*" /stext=" 21:.+((prompt.+disp)|(slice.+state.+chan)|(ment ac)|(system.+state.+chan)|(\|lc)|(penalty)|(\[timeout))" /e /r /s</v>
      </c>
      <c r="AG92" s="1" t="str">
        <f t="shared" si="43"/>
        <v>EC</v>
      </c>
    </row>
    <row r="93" spans="1:33" hidden="1" x14ac:dyDescent="0.25">
      <c r="A93" s="49" t="s">
        <v>479</v>
      </c>
      <c r="B93" s="7">
        <v>4029</v>
      </c>
      <c r="C93" s="26" t="s">
        <v>59</v>
      </c>
      <c r="D93" s="26" t="s">
        <v>610</v>
      </c>
      <c r="E93" s="16">
        <v>42570.569652777776</v>
      </c>
      <c r="F93" s="16">
        <v>42570.570636574077</v>
      </c>
      <c r="G93" s="7">
        <v>1</v>
      </c>
      <c r="H93" s="16" t="s">
        <v>328</v>
      </c>
      <c r="I93" s="16">
        <v>42570.600555555553</v>
      </c>
      <c r="J93" s="7">
        <v>0</v>
      </c>
      <c r="K93" s="26" t="str">
        <f t="shared" si="30"/>
        <v>4029/4030</v>
      </c>
      <c r="L93" s="26" t="str">
        <f>VLOOKUP(A93,'Trips&amp;Operators'!$C$1:$E$10000,3,FALSE)</f>
        <v>YOUNG</v>
      </c>
      <c r="M93" s="6">
        <f t="shared" si="31"/>
        <v>2.9918981475930195E-2</v>
      </c>
      <c r="N93" s="7">
        <f t="shared" si="29"/>
        <v>43.083333325339481</v>
      </c>
      <c r="O93" s="7"/>
      <c r="P93" s="7"/>
      <c r="Q93" s="27"/>
      <c r="R93" s="27"/>
      <c r="S93" s="45">
        <f t="shared" si="32"/>
        <v>1</v>
      </c>
      <c r="T93" s="69" t="str">
        <f t="shared" si="33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12:40:18-0600',mode:absolute,to:'2016-07-19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3" s="74" t="str">
        <f t="shared" si="35"/>
        <v>N</v>
      </c>
      <c r="X93" s="92">
        <f t="shared" si="36"/>
        <v>1</v>
      </c>
      <c r="Y93" s="89">
        <f t="shared" si="37"/>
        <v>5.11E-2</v>
      </c>
      <c r="Z93" s="89">
        <f t="shared" si="38"/>
        <v>23.330300000000001</v>
      </c>
      <c r="AA93" s="89">
        <f t="shared" si="39"/>
        <v>23.279199999999999</v>
      </c>
      <c r="AB93" s="86" t="e">
        <f>VLOOKUP(A93,Enforcements!$C$7:$J$23,8,0)</f>
        <v>#N/A</v>
      </c>
      <c r="AC93" s="82" t="e">
        <f>VLOOKUP(A93,Enforcements!$C$7:$E$23,3,0)</f>
        <v>#N/A</v>
      </c>
      <c r="AD93" s="83" t="str">
        <f t="shared" si="40"/>
        <v>0181-19</v>
      </c>
      <c r="AE93" s="75" t="str">
        <f t="shared" si="41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93" s="75" t="str">
        <f t="shared" si="42"/>
        <v>"C:\Program Files (x86)\AstroGrep\AstroGrep.exe" /spath="C:\Users\stu\Documents\Analysis\2016-02-23 RTDC Observations" /stypes="*4029*20160719*" /stext=" 20:.+((prompt.+disp)|(slice.+state.+chan)|(ment ac)|(system.+state.+chan)|(\|lc)|(penalty)|(\[timeout))" /e /r /s</v>
      </c>
      <c r="AG93" s="1" t="str">
        <f t="shared" si="43"/>
        <v>EC</v>
      </c>
    </row>
    <row r="94" spans="1:33" hidden="1" x14ac:dyDescent="0.25">
      <c r="A94" s="49" t="s">
        <v>476</v>
      </c>
      <c r="B94" s="7">
        <v>4030</v>
      </c>
      <c r="C94" s="26" t="s">
        <v>59</v>
      </c>
      <c r="D94" s="26" t="s">
        <v>154</v>
      </c>
      <c r="E94" s="16">
        <v>42570.607037037036</v>
      </c>
      <c r="F94" s="16">
        <v>42570.608182870368</v>
      </c>
      <c r="G94" s="7">
        <v>1</v>
      </c>
      <c r="H94" s="16" t="s">
        <v>327</v>
      </c>
      <c r="I94" s="16">
        <v>42570.640844907408</v>
      </c>
      <c r="J94" s="7">
        <v>0</v>
      </c>
      <c r="K94" s="26" t="str">
        <f t="shared" si="30"/>
        <v>4029/4030</v>
      </c>
      <c r="L94" s="26" t="str">
        <f>VLOOKUP(A94,'Trips&amp;Operators'!$C$1:$E$10000,3,FALSE)</f>
        <v>YOUNG</v>
      </c>
      <c r="M94" s="6">
        <f t="shared" si="31"/>
        <v>3.2662037039699499E-2</v>
      </c>
      <c r="N94" s="7">
        <f t="shared" si="29"/>
        <v>47.033333337167278</v>
      </c>
      <c r="O94" s="7"/>
      <c r="P94" s="7"/>
      <c r="Q94" s="27"/>
      <c r="R94" s="27"/>
      <c r="S94" s="45">
        <f t="shared" si="32"/>
        <v>1</v>
      </c>
      <c r="T94" s="69" t="str">
        <f t="shared" si="33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13:34:08-0600',mode:absolute,to:'2016-07-19 16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4" s="74" t="str">
        <f t="shared" si="35"/>
        <v>N</v>
      </c>
      <c r="X94" s="92">
        <f t="shared" si="36"/>
        <v>1</v>
      </c>
      <c r="Y94" s="89">
        <f t="shared" si="37"/>
        <v>23.299600000000002</v>
      </c>
      <c r="Z94" s="89">
        <f t="shared" si="38"/>
        <v>2.0500000000000001E-2</v>
      </c>
      <c r="AA94" s="89">
        <f t="shared" si="39"/>
        <v>23.279100000000003</v>
      </c>
      <c r="AB94" s="86" t="e">
        <f>VLOOKUP(A94,Enforcements!$C$7:$J$23,8,0)</f>
        <v>#N/A</v>
      </c>
      <c r="AC94" s="82" t="e">
        <f>VLOOKUP(A94,Enforcements!$C$7:$E$23,3,0)</f>
        <v>#N/A</v>
      </c>
      <c r="AD94" s="83" t="str">
        <f t="shared" si="40"/>
        <v>0182-19</v>
      </c>
      <c r="AE94" s="75" t="str">
        <f t="shared" si="41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94" s="75" t="str">
        <f t="shared" si="42"/>
        <v>"C:\Program Files (x86)\AstroGrep\AstroGrep.exe" /spath="C:\Users\stu\Documents\Analysis\2016-02-23 RTDC Observations" /stypes="*4030*20160719*" /stext=" 21:.+((prompt.+disp)|(slice.+state.+chan)|(ment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49" t="s">
        <v>435</v>
      </c>
      <c r="B95" s="7">
        <v>4027</v>
      </c>
      <c r="C95" s="26" t="s">
        <v>59</v>
      </c>
      <c r="D95" s="26" t="s">
        <v>70</v>
      </c>
      <c r="E95" s="16">
        <v>42570.579861111109</v>
      </c>
      <c r="F95" s="16">
        <v>42570.583761574075</v>
      </c>
      <c r="G95" s="7">
        <v>5</v>
      </c>
      <c r="H95" s="16" t="s">
        <v>611</v>
      </c>
      <c r="I95" s="16">
        <v>42570.590601851851</v>
      </c>
      <c r="J95" s="7">
        <v>0</v>
      </c>
      <c r="K95" s="26" t="str">
        <f t="shared" si="30"/>
        <v>4027/4028</v>
      </c>
      <c r="L95" s="26" t="str">
        <f>VLOOKUP(A95,'Trips&amp;Operators'!$C$1:$E$10000,3,FALSE)</f>
        <v>MAYBERRY</v>
      </c>
      <c r="M95" s="6">
        <f t="shared" si="31"/>
        <v>6.8402777760638855E-3</v>
      </c>
      <c r="N95" s="7"/>
      <c r="O95" s="7"/>
      <c r="P95" s="7">
        <f>24*60*SUM($M95:$M96)</f>
        <v>31.533333328552544</v>
      </c>
      <c r="Q95" s="27"/>
      <c r="R95" s="27" t="s">
        <v>401</v>
      </c>
      <c r="S95" s="45">
        <f>SUM(U95:U96)/12</f>
        <v>0.41666666666666669</v>
      </c>
      <c r="T95" s="69" t="str">
        <f t="shared" si="33"/>
        <v>NorthBound</v>
      </c>
      <c r="U95" s="96">
        <f>COUNTIFS(Variables!$M$2:$M$19,IF(T95="NorthBound","&gt;=","&lt;=")&amp;Y95,Variables!$M$2:$M$19,IF(T95="NorthBound","&lt;=","&gt;=")&amp;Z95)</f>
        <v>3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12:55:00-0600',mode:absolute,to:'2016-07-19 15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5" s="74" t="str">
        <f t="shared" si="35"/>
        <v>Y</v>
      </c>
      <c r="X95" s="92">
        <f t="shared" si="36"/>
        <v>1</v>
      </c>
      <c r="Y95" s="89">
        <f t="shared" si="37"/>
        <v>4.5699999999999998E-2</v>
      </c>
      <c r="Z95" s="89">
        <f t="shared" si="38"/>
        <v>3.3443000000000001</v>
      </c>
      <c r="AA95" s="89">
        <f t="shared" si="39"/>
        <v>3.2986</v>
      </c>
      <c r="AB95" s="86" t="e">
        <f>VLOOKUP(A95,Enforcements!$C$7:$J$23,8,0)</f>
        <v>#N/A</v>
      </c>
      <c r="AC95" s="82" t="e">
        <f>VLOOKUP(A95,Enforcements!$C$7:$E$23,3,0)</f>
        <v>#N/A</v>
      </c>
      <c r="AD95" s="83" t="str">
        <f t="shared" si="40"/>
        <v>0183-19</v>
      </c>
      <c r="AE95" s="75" t="str">
        <f t="shared" si="41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95" s="75" t="str">
        <f t="shared" si="42"/>
        <v>"C:\Program Files (x86)\AstroGrep\AstroGrep.exe" /spath="C:\Users\stu\Documents\Analysis\2016-02-23 RTDC Observations" /stypes="*4027*20160719*" /stext=" 20:.+((prompt.+disp)|(slice.+state.+chan)|(ment ac)|(system.+state.+chan)|(\|lc)|(penalty)|(\[timeout))" /e /r /s</v>
      </c>
      <c r="AG95" s="1" t="str">
        <f t="shared" si="43"/>
        <v>EC</v>
      </c>
    </row>
    <row r="96" spans="1:33" hidden="1" x14ac:dyDescent="0.25">
      <c r="A96" s="49" t="s">
        <v>435</v>
      </c>
      <c r="B96" s="7">
        <v>4027</v>
      </c>
      <c r="C96" s="26" t="s">
        <v>59</v>
      </c>
      <c r="D96" s="26" t="s">
        <v>612</v>
      </c>
      <c r="E96" s="16">
        <v>42570.599189814813</v>
      </c>
      <c r="F96" s="16">
        <v>42570.600405092591</v>
      </c>
      <c r="G96" s="7">
        <v>1</v>
      </c>
      <c r="H96" s="16" t="s">
        <v>192</v>
      </c>
      <c r="I96" s="16">
        <v>42570.61546296296</v>
      </c>
      <c r="J96" s="7">
        <v>0</v>
      </c>
      <c r="K96" s="26" t="str">
        <f t="shared" si="30"/>
        <v>4027/4028</v>
      </c>
      <c r="L96" s="26" t="str">
        <f>VLOOKUP(A96,'Trips&amp;Operators'!$C$1:$E$10000,3,FALSE)</f>
        <v>MAYBERRY</v>
      </c>
      <c r="M96" s="6">
        <f t="shared" si="31"/>
        <v>1.505787036876427E-2</v>
      </c>
      <c r="N96" s="7"/>
      <c r="O96" s="7"/>
      <c r="P96" s="7"/>
      <c r="Q96" s="27"/>
      <c r="R96" s="27"/>
      <c r="S96" s="45"/>
      <c r="T96" s="69" t="str">
        <f t="shared" si="33"/>
        <v>NorthBound</v>
      </c>
      <c r="U96" s="96">
        <f>COUNTIFS(Variables!$M$2:$M$19,IF(T96="NorthBound","&gt;=","&lt;=")&amp;Y96,Variables!$M$2:$M$19,IF(T96="NorthBound","&lt;=","&gt;=")&amp;Z96)</f>
        <v>2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13:22:50-0600',mode:absolute,to:'2016-07-19 15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6" s="74" t="str">
        <f t="shared" si="35"/>
        <v>Y</v>
      </c>
      <c r="X96" s="92">
        <f t="shared" si="36"/>
        <v>0</v>
      </c>
      <c r="Y96" s="89">
        <f t="shared" si="37"/>
        <v>8.6374999999999993</v>
      </c>
      <c r="Z96" s="89">
        <f t="shared" si="38"/>
        <v>23.331199999999999</v>
      </c>
      <c r="AA96" s="89">
        <f t="shared" si="39"/>
        <v>14.6937</v>
      </c>
      <c r="AB96" s="86" t="e">
        <f>VLOOKUP(A96,Enforcements!$C$7:$J$23,8,0)</f>
        <v>#N/A</v>
      </c>
      <c r="AC96" s="82" t="e">
        <f>VLOOKUP(A96,Enforcements!$C$7:$E$23,3,0)</f>
        <v>#N/A</v>
      </c>
      <c r="AD96" s="83" t="str">
        <f t="shared" si="40"/>
        <v>0183-19</v>
      </c>
      <c r="AE96" s="75" t="str">
        <f t="shared" si="41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96" s="75" t="str">
        <f t="shared" si="42"/>
        <v>"C:\Program Files (x86)\AstroGrep\AstroGrep.exe" /spath="C:\Users\stu\Documents\Analysis\2016-02-23 RTDC Observations" /stypes="*4027*20160719*" /stext=" 20:.+((prompt.+disp)|(slice.+state.+chan)|(ment ac)|(system.+state.+chan)|(\|lc)|(penalty)|(\[timeout))" /e /r /s</v>
      </c>
      <c r="AG96" s="1" t="str">
        <f t="shared" si="43"/>
        <v>EC</v>
      </c>
    </row>
    <row r="97" spans="1:33" hidden="1" x14ac:dyDescent="0.25">
      <c r="A97" s="49" t="s">
        <v>487</v>
      </c>
      <c r="B97" s="7">
        <v>4028</v>
      </c>
      <c r="C97" s="26" t="s">
        <v>59</v>
      </c>
      <c r="D97" s="26" t="s">
        <v>208</v>
      </c>
      <c r="E97" s="16">
        <v>42570.620486111111</v>
      </c>
      <c r="F97" s="16">
        <v>42570.62158564815</v>
      </c>
      <c r="G97" s="7">
        <v>1</v>
      </c>
      <c r="H97" s="16" t="s">
        <v>342</v>
      </c>
      <c r="I97" s="16">
        <v>42570.648935185185</v>
      </c>
      <c r="J97" s="7">
        <v>0</v>
      </c>
      <c r="K97" s="26" t="str">
        <f t="shared" si="30"/>
        <v>4027/4028</v>
      </c>
      <c r="L97" s="26" t="str">
        <f>VLOOKUP(A97,'Trips&amp;Operators'!$C$1:$E$10000,3,FALSE)</f>
        <v>MAYBERRY</v>
      </c>
      <c r="M97" s="6">
        <f t="shared" si="31"/>
        <v>2.7349537034751847E-2</v>
      </c>
      <c r="N97" s="7">
        <f t="shared" si="29"/>
        <v>39.38333333004266</v>
      </c>
      <c r="O97" s="7"/>
      <c r="P97" s="7"/>
      <c r="Q97" s="27"/>
      <c r="R97" s="27"/>
      <c r="S97" s="45">
        <f t="shared" si="32"/>
        <v>1</v>
      </c>
      <c r="T97" s="69" t="str">
        <f t="shared" si="33"/>
        <v>Southbound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13:53:30-0600',mode:absolute,to:'2016-07-19 16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7" s="74" t="str">
        <f t="shared" si="35"/>
        <v>N</v>
      </c>
      <c r="X97" s="92">
        <f t="shared" si="36"/>
        <v>1</v>
      </c>
      <c r="Y97" s="89">
        <f t="shared" si="37"/>
        <v>23.298300000000001</v>
      </c>
      <c r="Z97" s="89">
        <f t="shared" si="38"/>
        <v>1.6899999999999998E-2</v>
      </c>
      <c r="AA97" s="89">
        <f t="shared" si="39"/>
        <v>23.281400000000001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0"/>
        <v>0184-19</v>
      </c>
      <c r="AE97" s="75" t="str">
        <f t="shared" si="41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97" s="75" t="str">
        <f t="shared" si="42"/>
        <v>"C:\Program Files (x86)\AstroGrep\AstroGrep.exe" /spath="C:\Users\stu\Documents\Analysis\2016-02-23 RTDC Observations" /stypes="*4028*20160719*" /stext=" 21:.+((prompt.+disp)|(slice.+state.+chan)|(ment ac)|(system.+state.+chan)|(\|lc)|(penalty)|(\[timeout))" /e /r /s</v>
      </c>
      <c r="AG97" s="1" t="str">
        <f t="shared" si="43"/>
        <v>EC</v>
      </c>
    </row>
    <row r="98" spans="1:33" hidden="1" x14ac:dyDescent="0.25">
      <c r="A98" s="49" t="s">
        <v>523</v>
      </c>
      <c r="B98" s="7">
        <v>4007</v>
      </c>
      <c r="C98" s="26" t="s">
        <v>59</v>
      </c>
      <c r="D98" s="26" t="s">
        <v>191</v>
      </c>
      <c r="E98" s="16">
        <v>42570.591874999998</v>
      </c>
      <c r="F98" s="16">
        <v>42570.59302083333</v>
      </c>
      <c r="G98" s="7">
        <v>1</v>
      </c>
      <c r="H98" s="16" t="s">
        <v>204</v>
      </c>
      <c r="I98" s="16">
        <v>42570.61986111111</v>
      </c>
      <c r="J98" s="7">
        <v>0</v>
      </c>
      <c r="K98" s="26" t="str">
        <f t="shared" si="30"/>
        <v>4007/4008</v>
      </c>
      <c r="L98" s="26" t="str">
        <f>VLOOKUP(A98,'Trips&amp;Operators'!$C$1:$E$10000,3,FALSE)</f>
        <v>SHOOK</v>
      </c>
      <c r="M98" s="6">
        <f t="shared" si="31"/>
        <v>2.6840277780138422E-2</v>
      </c>
      <c r="N98" s="7">
        <f t="shared" si="29"/>
        <v>38.650000003399327</v>
      </c>
      <c r="O98" s="7"/>
      <c r="P98" s="7"/>
      <c r="Q98" s="27"/>
      <c r="R98" s="27"/>
      <c r="S98" s="45">
        <f t="shared" si="32"/>
        <v>1</v>
      </c>
      <c r="T98" s="69" t="str">
        <f t="shared" si="33"/>
        <v>NorthBound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13:12:18-0600',mode:absolute,to:'2016-07-19 15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8" s="74" t="str">
        <f t="shared" si="35"/>
        <v>N</v>
      </c>
      <c r="X98" s="92">
        <f t="shared" si="36"/>
        <v>1</v>
      </c>
      <c r="Y98" s="89">
        <f t="shared" si="37"/>
        <v>4.4699999999999997E-2</v>
      </c>
      <c r="Z98" s="89">
        <f t="shared" si="38"/>
        <v>23.328900000000001</v>
      </c>
      <c r="AA98" s="89">
        <f t="shared" si="39"/>
        <v>23.284200000000002</v>
      </c>
      <c r="AB98" s="86" t="e">
        <f>VLOOKUP(A98,Enforcements!$C$7:$J$23,8,0)</f>
        <v>#N/A</v>
      </c>
      <c r="AC98" s="82" t="e">
        <f>VLOOKUP(A98,Enforcements!$C$7:$E$23,3,0)</f>
        <v>#N/A</v>
      </c>
      <c r="AD98" s="83" t="str">
        <f t="shared" si="40"/>
        <v>0185-19</v>
      </c>
      <c r="AE98" s="75" t="str">
        <f t="shared" si="41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98" s="75" t="str">
        <f t="shared" si="42"/>
        <v>"C:\Program Files (x86)\AstroGrep\AstroGrep.exe" /spath="C:\Users\stu\Documents\Analysis\2016-02-23 RTDC Observations" /stypes="*4007*20160719*" /stext=" 20:.+((prompt.+disp)|(slice.+state.+chan)|(ment ac)|(system.+state.+chan)|(\|lc)|(penalty)|(\[timeout))" /e /r /s</v>
      </c>
      <c r="AG98" s="1" t="str">
        <f t="shared" si="43"/>
        <v>EC</v>
      </c>
    </row>
    <row r="99" spans="1:33" hidden="1" x14ac:dyDescent="0.25">
      <c r="A99" s="49" t="s">
        <v>528</v>
      </c>
      <c r="B99" s="7">
        <v>4008</v>
      </c>
      <c r="C99" s="26" t="s">
        <v>59</v>
      </c>
      <c r="D99" s="26" t="s">
        <v>205</v>
      </c>
      <c r="E99" s="16">
        <v>42570.624363425923</v>
      </c>
      <c r="F99" s="16">
        <v>42570.628553240742</v>
      </c>
      <c r="G99" s="7">
        <v>6</v>
      </c>
      <c r="H99" s="16" t="s">
        <v>60</v>
      </c>
      <c r="I99" s="16">
        <v>42570.659942129627</v>
      </c>
      <c r="J99" s="7">
        <v>0</v>
      </c>
      <c r="K99" s="26" t="str">
        <f t="shared" si="30"/>
        <v>4007/4008</v>
      </c>
      <c r="L99" s="26" t="str">
        <f>VLOOKUP(A99,'Trips&amp;Operators'!$C$1:$E$10000,3,FALSE)</f>
        <v>SHOOK</v>
      </c>
      <c r="M99" s="6">
        <f t="shared" si="31"/>
        <v>3.1388888884976041E-2</v>
      </c>
      <c r="N99" s="7">
        <f t="shared" si="29"/>
        <v>45.199999994365498</v>
      </c>
      <c r="O99" s="7"/>
      <c r="P99" s="7"/>
      <c r="Q99" s="27"/>
      <c r="R99" s="27"/>
      <c r="S99" s="45">
        <f t="shared" si="32"/>
        <v>1</v>
      </c>
      <c r="T99" s="69" t="str">
        <f t="shared" si="33"/>
        <v>Southbound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13:59:05-0600',mode:absolute,to:'2016-07-19 16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9" s="74" t="str">
        <f t="shared" si="35"/>
        <v>N</v>
      </c>
      <c r="X99" s="92">
        <f t="shared" si="36"/>
        <v>1</v>
      </c>
      <c r="Y99" s="89">
        <f t="shared" si="37"/>
        <v>23.296299999999999</v>
      </c>
      <c r="Z99" s="89">
        <f t="shared" si="38"/>
        <v>1.4500000000000001E-2</v>
      </c>
      <c r="AA99" s="89">
        <f t="shared" si="39"/>
        <v>23.281799999999997</v>
      </c>
      <c r="AB99" s="86" t="e">
        <f>VLOOKUP(A99,Enforcements!$C$7:$J$23,8,0)</f>
        <v>#N/A</v>
      </c>
      <c r="AC99" s="82" t="e">
        <f>VLOOKUP(A99,Enforcements!$C$7:$E$23,3,0)</f>
        <v>#N/A</v>
      </c>
      <c r="AD99" s="83" t="str">
        <f t="shared" si="40"/>
        <v>0186-19</v>
      </c>
      <c r="AE99" s="75" t="str">
        <f t="shared" si="41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99" s="75" t="str">
        <f t="shared" si="42"/>
        <v>"C:\Program Files (x86)\AstroGrep\AstroGrep.exe" /spath="C:\Users\stu\Documents\Analysis\2016-02-23 RTDC Observations" /stypes="*4008*20160719*" /stext=" 21:.+((prompt.+disp)|(slice.+state.+chan)|(ment ac)|(system.+state.+chan)|(\|lc)|(penalty)|(\[timeout))" /e /r /s</v>
      </c>
      <c r="AG99" s="1" t="str">
        <f t="shared" si="43"/>
        <v>EC</v>
      </c>
    </row>
    <row r="100" spans="1:33" hidden="1" x14ac:dyDescent="0.25">
      <c r="A100" s="49" t="s">
        <v>415</v>
      </c>
      <c r="B100" s="7">
        <v>4038</v>
      </c>
      <c r="C100" s="26" t="s">
        <v>59</v>
      </c>
      <c r="D100" s="26" t="s">
        <v>233</v>
      </c>
      <c r="E100" s="16">
        <v>42570.60052083333</v>
      </c>
      <c r="F100" s="16">
        <v>42570.601354166669</v>
      </c>
      <c r="G100" s="7">
        <v>1</v>
      </c>
      <c r="H100" s="16" t="s">
        <v>613</v>
      </c>
      <c r="I100" s="16">
        <v>42570.63108796296</v>
      </c>
      <c r="J100" s="7">
        <v>2</v>
      </c>
      <c r="K100" s="26" t="str">
        <f t="shared" si="30"/>
        <v>4037/4038</v>
      </c>
      <c r="L100" s="26" t="str">
        <f>VLOOKUP(A100,'Trips&amp;Operators'!$C$1:$E$10000,3,FALSE)</f>
        <v>STORY</v>
      </c>
      <c r="M100" s="6">
        <f t="shared" si="31"/>
        <v>2.9733796291111503E-2</v>
      </c>
      <c r="N100" s="7">
        <f t="shared" si="29"/>
        <v>42.816666659200564</v>
      </c>
      <c r="O100" s="7"/>
      <c r="P100" s="7"/>
      <c r="Q100" s="27"/>
      <c r="R100" s="27"/>
      <c r="S100" s="45">
        <f t="shared" si="32"/>
        <v>1</v>
      </c>
      <c r="T100" s="69" t="str">
        <f t="shared" si="33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13:24:45-0600',mode:absolute,to:'2016-07-19 16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0" s="74" t="str">
        <f t="shared" si="35"/>
        <v>N</v>
      </c>
      <c r="X100" s="92">
        <f t="shared" si="36"/>
        <v>1</v>
      </c>
      <c r="Y100" s="89">
        <f t="shared" si="37"/>
        <v>4.4900000000000002E-2</v>
      </c>
      <c r="Z100" s="89">
        <f t="shared" si="38"/>
        <v>23.339500000000001</v>
      </c>
      <c r="AA100" s="89">
        <f t="shared" si="39"/>
        <v>23.294600000000003</v>
      </c>
      <c r="AB100" s="86">
        <f>VLOOKUP(A100,Enforcements!$C$7:$J$23,8,0)</f>
        <v>230436</v>
      </c>
      <c r="AC100" s="82" t="str">
        <f>VLOOKUP(A100,Enforcements!$C$7:$E$23,3,0)</f>
        <v>PERMANENT SPEED RESTRICTION</v>
      </c>
      <c r="AD100" s="83" t="str">
        <f t="shared" si="40"/>
        <v>0187-19</v>
      </c>
      <c r="AE100" s="75" t="str">
        <f t="shared" si="41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100" s="75" t="str">
        <f t="shared" si="42"/>
        <v>"C:\Program Files (x86)\AstroGrep\AstroGrep.exe" /spath="C:\Users\stu\Documents\Analysis\2016-02-23 RTDC Observations" /stypes="*4038*20160719*" /stext=" 21:.+((prompt.+disp)|(slice.+state.+chan)|(ment ac)|(system.+state.+chan)|(\|lc)|(penalty)|(\[timeout))" /e /r /s</v>
      </c>
      <c r="AG100" s="1" t="str">
        <f t="shared" si="43"/>
        <v>EC</v>
      </c>
    </row>
    <row r="101" spans="1:33" hidden="1" x14ac:dyDescent="0.25">
      <c r="A101" s="49" t="s">
        <v>473</v>
      </c>
      <c r="B101" s="7">
        <v>4037</v>
      </c>
      <c r="C101" s="26" t="s">
        <v>59</v>
      </c>
      <c r="D101" s="26" t="s">
        <v>614</v>
      </c>
      <c r="E101" s="16">
        <v>42570.636793981481</v>
      </c>
      <c r="F101" s="16">
        <v>42570.641006944446</v>
      </c>
      <c r="G101" s="7">
        <v>6</v>
      </c>
      <c r="H101" s="16" t="s">
        <v>185</v>
      </c>
      <c r="I101" s="16">
        <v>42570.66951388889</v>
      </c>
      <c r="J101" s="7">
        <v>0</v>
      </c>
      <c r="K101" s="26" t="str">
        <f t="shared" si="30"/>
        <v>4037/4038</v>
      </c>
      <c r="L101" s="26" t="str">
        <f>VLOOKUP(A101,'Trips&amp;Operators'!$C$1:$E$10000,3,FALSE)</f>
        <v>STORY</v>
      </c>
      <c r="M101" s="6">
        <f t="shared" si="31"/>
        <v>2.8506944443506654E-2</v>
      </c>
      <c r="N101" s="7">
        <f t="shared" si="29"/>
        <v>41.049999998649582</v>
      </c>
      <c r="O101" s="7"/>
      <c r="P101" s="7"/>
      <c r="Q101" s="27"/>
      <c r="R101" s="27"/>
      <c r="S101" s="45">
        <f t="shared" si="32"/>
        <v>1</v>
      </c>
      <c r="T101" s="69" t="str">
        <f t="shared" si="33"/>
        <v>Southbound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14:16:59-0600',mode:absolute,to:'2016-07-19 17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1" s="74" t="str">
        <f t="shared" si="35"/>
        <v>N</v>
      </c>
      <c r="X101" s="92">
        <f t="shared" si="36"/>
        <v>1</v>
      </c>
      <c r="Y101" s="89">
        <f t="shared" si="37"/>
        <v>23.306999999999999</v>
      </c>
      <c r="Z101" s="89">
        <f t="shared" si="38"/>
        <v>1.47E-2</v>
      </c>
      <c r="AA101" s="89">
        <f t="shared" si="39"/>
        <v>23.292299999999997</v>
      </c>
      <c r="AB101" s="86" t="e">
        <f>VLOOKUP(A101,Enforcements!$C$7:$J$23,8,0)</f>
        <v>#N/A</v>
      </c>
      <c r="AC101" s="82" t="e">
        <f>VLOOKUP(A101,Enforcements!$C$7:$E$23,3,0)</f>
        <v>#N/A</v>
      </c>
      <c r="AD101" s="83" t="str">
        <f t="shared" si="40"/>
        <v>0188-19</v>
      </c>
      <c r="AE101" s="75" t="str">
        <f t="shared" si="41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101" s="75" t="str">
        <f t="shared" si="42"/>
        <v>"C:\Program Files (x86)\AstroGrep\AstroGrep.exe" /spath="C:\Users\stu\Documents\Analysis\2016-02-23 RTDC Observations" /stypes="*4037*20160719*" /stext=" 22:.+((prompt.+disp)|(slice.+state.+chan)|(ment ac)|(system.+state.+chan)|(\|lc)|(penalty)|(\[timeout))" /e /r /s</v>
      </c>
      <c r="AG101" s="1" t="str">
        <f t="shared" si="43"/>
        <v>EC</v>
      </c>
    </row>
    <row r="102" spans="1:33" hidden="1" x14ac:dyDescent="0.25">
      <c r="A102" s="49" t="s">
        <v>436</v>
      </c>
      <c r="B102" s="7">
        <v>4011</v>
      </c>
      <c r="C102" s="26" t="s">
        <v>59</v>
      </c>
      <c r="D102" s="26" t="s">
        <v>582</v>
      </c>
      <c r="E102" s="16">
        <v>42570.614594907405</v>
      </c>
      <c r="F102" s="16">
        <v>42570.615682870368</v>
      </c>
      <c r="G102" s="7">
        <v>1</v>
      </c>
      <c r="H102" s="16" t="s">
        <v>615</v>
      </c>
      <c r="I102" s="16">
        <v>42570.640729166669</v>
      </c>
      <c r="J102" s="7">
        <v>0</v>
      </c>
      <c r="K102" s="26" t="str">
        <f t="shared" si="30"/>
        <v>4011/4012</v>
      </c>
      <c r="L102" s="26" t="str">
        <f>VLOOKUP(A102,'Trips&amp;Operators'!$C$1:$E$10000,3,FALSE)</f>
        <v>STEWART</v>
      </c>
      <c r="M102" s="6">
        <f t="shared" si="31"/>
        <v>2.5046296301297843E-2</v>
      </c>
      <c r="N102" s="7">
        <f t="shared" si="29"/>
        <v>36.066666673868895</v>
      </c>
      <c r="O102" s="7"/>
      <c r="P102" s="7"/>
      <c r="Q102" s="27"/>
      <c r="R102" s="27"/>
      <c r="S102" s="45">
        <f t="shared" si="32"/>
        <v>1</v>
      </c>
      <c r="T102" s="69" t="str">
        <f t="shared" si="33"/>
        <v>NorthBound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13:45:01-0600',mode:absolute,to:'2016-07-19 16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2" s="74" t="str">
        <f t="shared" si="35"/>
        <v>N</v>
      </c>
      <c r="X102" s="92">
        <f t="shared" si="36"/>
        <v>1</v>
      </c>
      <c r="Y102" s="89">
        <f t="shared" si="37"/>
        <v>4.8399999999999999E-2</v>
      </c>
      <c r="Z102" s="89">
        <f t="shared" si="38"/>
        <v>23.327999999999999</v>
      </c>
      <c r="AA102" s="89">
        <f t="shared" si="39"/>
        <v>23.279599999999999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0"/>
        <v>0189-19</v>
      </c>
      <c r="AE102" s="75" t="str">
        <f t="shared" si="41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102" s="75" t="str">
        <f t="shared" si="42"/>
        <v>"C:\Program Files (x86)\AstroGrep\AstroGrep.exe" /spath="C:\Users\stu\Documents\Analysis\2016-02-23 RTDC Observations" /stypes="*4011*20160719*" /stext=" 21:.+((prompt.+disp)|(slice.+state.+chan)|(ment ac)|(system.+state.+chan)|(\|lc)|(penalty)|(\[timeout))" /e /r /s</v>
      </c>
      <c r="AG102" s="1" t="str">
        <f t="shared" si="43"/>
        <v>EC</v>
      </c>
    </row>
    <row r="103" spans="1:33" hidden="1" x14ac:dyDescent="0.25">
      <c r="A103" s="49" t="s">
        <v>472</v>
      </c>
      <c r="B103" s="7">
        <v>4012</v>
      </c>
      <c r="C103" s="26" t="s">
        <v>59</v>
      </c>
      <c r="D103" s="26" t="s">
        <v>210</v>
      </c>
      <c r="E103" s="16">
        <v>42570.649108796293</v>
      </c>
      <c r="F103" s="16">
        <v>42570.650011574071</v>
      </c>
      <c r="G103" s="7">
        <v>1</v>
      </c>
      <c r="H103" s="16" t="s">
        <v>326</v>
      </c>
      <c r="I103" s="16">
        <v>42570.679699074077</v>
      </c>
      <c r="J103" s="7">
        <v>0</v>
      </c>
      <c r="K103" s="26" t="str">
        <f t="shared" si="30"/>
        <v>4011/4012</v>
      </c>
      <c r="L103" s="26" t="str">
        <f>VLOOKUP(A103,'Trips&amp;Operators'!$C$1:$E$10000,3,FALSE)</f>
        <v>STEWART</v>
      </c>
      <c r="M103" s="6">
        <f t="shared" si="31"/>
        <v>2.9687500005820766E-2</v>
      </c>
      <c r="N103" s="7">
        <f t="shared" si="29"/>
        <v>42.750000008381903</v>
      </c>
      <c r="O103" s="7"/>
      <c r="P103" s="7"/>
      <c r="Q103" s="27"/>
      <c r="R103" s="27"/>
      <c r="S103" s="45">
        <f t="shared" si="32"/>
        <v>1</v>
      </c>
      <c r="T103" s="69" t="str">
        <f t="shared" si="33"/>
        <v>Southbound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14:34:43-0600',mode:absolute,to:'2016-07-19 17:18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3" s="74" t="str">
        <f t="shared" si="35"/>
        <v>N</v>
      </c>
      <c r="X103" s="92">
        <f t="shared" si="36"/>
        <v>1</v>
      </c>
      <c r="Y103" s="89">
        <f t="shared" si="37"/>
        <v>23.2971</v>
      </c>
      <c r="Z103" s="89">
        <f t="shared" si="38"/>
        <v>1.6299999999999999E-2</v>
      </c>
      <c r="AA103" s="89">
        <f t="shared" si="39"/>
        <v>23.280799999999999</v>
      </c>
      <c r="AB103" s="86" t="e">
        <f>VLOOKUP(A103,Enforcements!$C$7:$J$23,8,0)</f>
        <v>#N/A</v>
      </c>
      <c r="AC103" s="82" t="e">
        <f>VLOOKUP(A103,Enforcements!$C$7:$E$23,3,0)</f>
        <v>#N/A</v>
      </c>
      <c r="AD103" s="83" t="str">
        <f t="shared" si="40"/>
        <v>0190-19</v>
      </c>
      <c r="AE103" s="75" t="str">
        <f t="shared" si="41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103" s="75" t="str">
        <f t="shared" si="42"/>
        <v>"C:\Program Files (x86)\AstroGrep\AstroGrep.exe" /spath="C:\Users\stu\Documents\Analysis\2016-02-23 RTDC Observations" /stypes="*4012*20160719*" /stext=" 22:.+((prompt.+disp)|(slice.+state.+chan)|(ment ac)|(system.+state.+chan)|(\|lc)|(penalty)|(\[timeout))" /e /r /s</v>
      </c>
      <c r="AG103" s="1" t="str">
        <f t="shared" si="43"/>
        <v>EC</v>
      </c>
    </row>
    <row r="104" spans="1:33" hidden="1" x14ac:dyDescent="0.25">
      <c r="A104" s="49" t="s">
        <v>526</v>
      </c>
      <c r="B104" s="7">
        <v>4044</v>
      </c>
      <c r="C104" s="26" t="s">
        <v>59</v>
      </c>
      <c r="D104" s="26" t="s">
        <v>179</v>
      </c>
      <c r="E104" s="16">
        <v>42570.621863425928</v>
      </c>
      <c r="F104" s="16">
        <v>42570.622777777775</v>
      </c>
      <c r="G104" s="7">
        <v>1</v>
      </c>
      <c r="H104" s="16" t="s">
        <v>616</v>
      </c>
      <c r="I104" s="16">
        <v>42570.649861111109</v>
      </c>
      <c r="J104" s="7">
        <v>0</v>
      </c>
      <c r="K104" s="26" t="str">
        <f t="shared" si="30"/>
        <v>4043/4044</v>
      </c>
      <c r="L104" s="26" t="str">
        <f>VLOOKUP(A104,'Trips&amp;Operators'!$C$1:$E$10000,3,FALSE)</f>
        <v>LOCKLEAR</v>
      </c>
      <c r="M104" s="6">
        <f t="shared" si="31"/>
        <v>2.7083333334303461E-2</v>
      </c>
      <c r="N104" s="7">
        <f t="shared" si="29"/>
        <v>39.000000001396984</v>
      </c>
      <c r="O104" s="7"/>
      <c r="P104" s="7"/>
      <c r="Q104" s="27"/>
      <c r="R104" s="27"/>
      <c r="S104" s="45">
        <f t="shared" si="32"/>
        <v>1</v>
      </c>
      <c r="T104" s="69" t="str">
        <f t="shared" si="33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13:55:29-0600',mode:absolute,to:'2016-07-19 16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74" t="str">
        <f t="shared" si="35"/>
        <v>N</v>
      </c>
      <c r="X104" s="92">
        <f t="shared" si="36"/>
        <v>1</v>
      </c>
      <c r="Y104" s="89">
        <f t="shared" si="37"/>
        <v>4.6399999999999997E-2</v>
      </c>
      <c r="Z104" s="89">
        <f t="shared" si="38"/>
        <v>23.334199999999999</v>
      </c>
      <c r="AA104" s="89">
        <f t="shared" si="39"/>
        <v>23.287800000000001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si="40"/>
        <v>0191-19</v>
      </c>
      <c r="AE104" s="75" t="str">
        <f t="shared" si="41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104" s="75" t="str">
        <f t="shared" si="42"/>
        <v>"C:\Program Files (x86)\AstroGrep\AstroGrep.exe" /spath="C:\Users\stu\Documents\Analysis\2016-02-23 RTDC Observations" /stypes="*4044*20160719*" /stext=" 21:.+((prompt.+disp)|(slice.+state.+chan)|(ment ac)|(system.+state.+chan)|(\|lc)|(penalty)|(\[timeout))" /e /r /s</v>
      </c>
      <c r="AG104" s="1" t="str">
        <f t="shared" si="43"/>
        <v>EC</v>
      </c>
    </row>
    <row r="105" spans="1:33" hidden="1" x14ac:dyDescent="0.25">
      <c r="A105" s="49" t="s">
        <v>418</v>
      </c>
      <c r="B105" s="7">
        <v>4043</v>
      </c>
      <c r="C105" s="26" t="s">
        <v>59</v>
      </c>
      <c r="D105" s="26" t="s">
        <v>617</v>
      </c>
      <c r="E105" s="16">
        <v>42570.662048611113</v>
      </c>
      <c r="F105" s="16">
        <v>42570.662986111114</v>
      </c>
      <c r="G105" s="7">
        <v>1</v>
      </c>
      <c r="H105" s="16" t="s">
        <v>342</v>
      </c>
      <c r="I105" s="16">
        <v>42570.690405092595</v>
      </c>
      <c r="J105" s="7">
        <v>1</v>
      </c>
      <c r="K105" s="26" t="str">
        <f t="shared" si="30"/>
        <v>4043/4044</v>
      </c>
      <c r="L105" s="26" t="str">
        <f>VLOOKUP(A105,'Trips&amp;Operators'!$C$1:$E$10000,3,FALSE)</f>
        <v>LOCKLEAR</v>
      </c>
      <c r="M105" s="6">
        <f t="shared" si="31"/>
        <v>2.7418981480877846E-2</v>
      </c>
      <c r="N105" s="7">
        <f t="shared" si="29"/>
        <v>39.483333332464099</v>
      </c>
      <c r="O105" s="7"/>
      <c r="P105" s="7"/>
      <c r="Q105" s="27"/>
      <c r="R105" s="27"/>
      <c r="S105" s="45">
        <f t="shared" si="32"/>
        <v>1</v>
      </c>
      <c r="T105" s="69" t="str">
        <f t="shared" si="33"/>
        <v>Southbound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14:53:21-0600',mode:absolute,to:'2016-07-19 17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74" t="str">
        <f t="shared" si="35"/>
        <v>N</v>
      </c>
      <c r="X105" s="92">
        <f t="shared" si="36"/>
        <v>1</v>
      </c>
      <c r="Y105" s="89">
        <f t="shared" si="37"/>
        <v>23.3047</v>
      </c>
      <c r="Z105" s="89">
        <f t="shared" si="38"/>
        <v>1.6899999999999998E-2</v>
      </c>
      <c r="AA105" s="89">
        <f t="shared" si="39"/>
        <v>23.287800000000001</v>
      </c>
      <c r="AB105" s="86">
        <f>VLOOKUP(A105,Enforcements!$C$7:$J$23,8,0)</f>
        <v>191108</v>
      </c>
      <c r="AC105" s="82" t="str">
        <f>VLOOKUP(A105,Enforcements!$C$7:$E$23,3,0)</f>
        <v>PERMANENT SPEED RESTRICTION</v>
      </c>
      <c r="AD105" s="83" t="str">
        <f t="shared" si="40"/>
        <v>0192-19</v>
      </c>
      <c r="AE105" s="75" t="str">
        <f t="shared" si="41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105" s="75" t="str">
        <f t="shared" si="42"/>
        <v>"C:\Program Files (x86)\AstroGrep\AstroGrep.exe" /spath="C:\Users\stu\Documents\Analysis\2016-02-23 RTDC Observations" /stypes="*4043*20160719*" /stext=" 22:.+((prompt.+disp)|(slice.+state.+chan)|(ment ac)|(system.+state.+chan)|(\|lc)|(penalty)|(\[timeout))" /e /r /s</v>
      </c>
      <c r="AG105" s="1" t="str">
        <f t="shared" si="43"/>
        <v>EC</v>
      </c>
    </row>
    <row r="106" spans="1:33" hidden="1" x14ac:dyDescent="0.25">
      <c r="A106" s="49" t="s">
        <v>417</v>
      </c>
      <c r="B106" s="7">
        <v>4009</v>
      </c>
      <c r="C106" s="26" t="s">
        <v>59</v>
      </c>
      <c r="D106" s="26" t="s">
        <v>618</v>
      </c>
      <c r="E106" s="16">
        <v>42570.631990740738</v>
      </c>
      <c r="F106" s="16">
        <v>42570.6328587963</v>
      </c>
      <c r="G106" s="7">
        <v>1</v>
      </c>
      <c r="H106" s="16" t="s">
        <v>236</v>
      </c>
      <c r="I106" s="16">
        <v>42570.660694444443</v>
      </c>
      <c r="J106" s="7">
        <v>1</v>
      </c>
      <c r="K106" s="26" t="str">
        <f t="shared" si="30"/>
        <v>4009/4010</v>
      </c>
      <c r="L106" s="26" t="str">
        <f>VLOOKUP(A106,'Trips&amp;Operators'!$C$1:$E$10000,3,FALSE)</f>
        <v>DAVIS</v>
      </c>
      <c r="M106" s="6">
        <f t="shared" si="31"/>
        <v>2.7835648143081926E-2</v>
      </c>
      <c r="N106" s="7">
        <f t="shared" si="29"/>
        <v>40.083333326037973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14:10:04-0600',mode:absolute,to:'2016-07-19 16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6" s="74" t="str">
        <f t="shared" si="35"/>
        <v>N</v>
      </c>
      <c r="X106" s="92">
        <f t="shared" si="36"/>
        <v>1</v>
      </c>
      <c r="Y106" s="89">
        <f t="shared" si="37"/>
        <v>4.8599999999999997E-2</v>
      </c>
      <c r="Z106" s="89">
        <f t="shared" si="38"/>
        <v>23.328199999999999</v>
      </c>
      <c r="AA106" s="89">
        <f t="shared" si="39"/>
        <v>23.279599999999999</v>
      </c>
      <c r="AB106" s="86" t="e">
        <f>VLOOKUP(A106,Enforcements!$C$7:$J$23,8,0)</f>
        <v>#N/A</v>
      </c>
      <c r="AC106" s="82" t="e">
        <f>VLOOKUP(A106,Enforcements!$C$7:$E$23,3,0)</f>
        <v>#N/A</v>
      </c>
      <c r="AD106" s="83" t="str">
        <f t="shared" si="40"/>
        <v>0193-19</v>
      </c>
      <c r="AE106" s="75" t="str">
        <f t="shared" si="41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106" s="75" t="str">
        <f t="shared" si="42"/>
        <v>"C:\Program Files (x86)\AstroGrep\AstroGrep.exe" /spath="C:\Users\stu\Documents\Analysis\2016-02-23 RTDC Observations" /stypes="*4009*20160719*" /stext=" 21:.+((prompt.+disp)|(slice.+state.+chan)|(ment ac)|(system.+state.+chan)|(\|lc)|(penalty)|(\[timeout))" /e /r /s</v>
      </c>
      <c r="AG106" s="1" t="str">
        <f t="shared" si="43"/>
        <v>EC</v>
      </c>
    </row>
    <row r="107" spans="1:33" hidden="1" x14ac:dyDescent="0.25">
      <c r="A107" s="49" t="s">
        <v>419</v>
      </c>
      <c r="B107" s="7">
        <v>4010</v>
      </c>
      <c r="C107" s="26" t="s">
        <v>59</v>
      </c>
      <c r="D107" s="26" t="s">
        <v>184</v>
      </c>
      <c r="E107" s="16">
        <v>42570.667986111112</v>
      </c>
      <c r="F107" s="16">
        <v>42570.668935185182</v>
      </c>
      <c r="G107" s="7">
        <v>1</v>
      </c>
      <c r="H107" s="16" t="s">
        <v>342</v>
      </c>
      <c r="I107" s="16">
        <v>42570.702118055553</v>
      </c>
      <c r="J107" s="7">
        <v>2</v>
      </c>
      <c r="K107" s="26" t="str">
        <f t="shared" si="30"/>
        <v>4009/4010</v>
      </c>
      <c r="L107" s="26" t="str">
        <f>VLOOKUP(A107,'Trips&amp;Operators'!$C$1:$E$10000,3,FALSE)</f>
        <v>DAVIS</v>
      </c>
      <c r="M107" s="6">
        <f t="shared" si="31"/>
        <v>3.3182870371092577E-2</v>
      </c>
      <c r="N107" s="7">
        <f t="shared" si="29"/>
        <v>47.78333333437331</v>
      </c>
      <c r="O107" s="7"/>
      <c r="P107" s="7"/>
      <c r="Q107" s="27"/>
      <c r="R107" s="27"/>
      <c r="S107" s="45">
        <f t="shared" si="32"/>
        <v>1</v>
      </c>
      <c r="T107" s="69" t="str">
        <f t="shared" si="33"/>
        <v>Southbound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15:01:54-0600',mode:absolute,to:'2016-07-19 17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7" s="74" t="str">
        <f t="shared" si="35"/>
        <v>N</v>
      </c>
      <c r="X107" s="92">
        <f t="shared" si="36"/>
        <v>1</v>
      </c>
      <c r="Y107" s="89">
        <f t="shared" si="37"/>
        <v>23.297999999999998</v>
      </c>
      <c r="Z107" s="89">
        <f t="shared" si="38"/>
        <v>1.6899999999999998E-2</v>
      </c>
      <c r="AA107" s="89">
        <f t="shared" si="39"/>
        <v>23.281099999999999</v>
      </c>
      <c r="AB107" s="86">
        <f>VLOOKUP(A107,Enforcements!$C$7:$J$23,8,0)</f>
        <v>190834</v>
      </c>
      <c r="AC107" s="82" t="str">
        <f>VLOOKUP(A107,Enforcements!$C$7:$E$23,3,0)</f>
        <v>PERMANENT SPEED RESTRICTION</v>
      </c>
      <c r="AD107" s="83" t="str">
        <f t="shared" si="40"/>
        <v>0194-19</v>
      </c>
      <c r="AE107" s="75" t="str">
        <f t="shared" si="41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107" s="75" t="str">
        <f t="shared" si="42"/>
        <v>"C:\Program Files (x86)\AstroGrep\AstroGrep.exe" /spath="C:\Users\stu\Documents\Analysis\2016-02-23 RTDC Observations" /stypes="*4010*20160719*" /stext=" 22:.+((prompt.+disp)|(slice.+state.+chan)|(ment ac)|(system.+state.+chan)|(\|lc)|(penalty)|(\[timeout))" /e /r /s</v>
      </c>
      <c r="AG107" s="1" t="str">
        <f t="shared" si="43"/>
        <v>EC</v>
      </c>
    </row>
    <row r="108" spans="1:33" hidden="1" x14ac:dyDescent="0.25">
      <c r="A108" s="49" t="s">
        <v>488</v>
      </c>
      <c r="B108" s="7">
        <v>4029</v>
      </c>
      <c r="C108" s="26" t="s">
        <v>59</v>
      </c>
      <c r="D108" s="26" t="s">
        <v>619</v>
      </c>
      <c r="E108" s="16">
        <v>42570.64261574074</v>
      </c>
      <c r="F108" s="16">
        <v>42570.643587962964</v>
      </c>
      <c r="G108" s="7">
        <v>1</v>
      </c>
      <c r="H108" s="16" t="s">
        <v>620</v>
      </c>
      <c r="I108" s="16">
        <v>42570.672696759262</v>
      </c>
      <c r="J108" s="7">
        <v>0</v>
      </c>
      <c r="K108" s="26" t="str">
        <f t="shared" si="30"/>
        <v>4029/4030</v>
      </c>
      <c r="L108" s="26" t="str">
        <f>VLOOKUP(A108,'Trips&amp;Operators'!$C$1:$E$10000,3,FALSE)</f>
        <v>YOUNG</v>
      </c>
      <c r="M108" s="6">
        <f t="shared" si="31"/>
        <v>2.9108796297805384E-2</v>
      </c>
      <c r="N108" s="7">
        <f t="shared" si="29"/>
        <v>41.916666668839753</v>
      </c>
      <c r="O108" s="7"/>
      <c r="P108" s="7"/>
      <c r="Q108" s="27"/>
      <c r="R108" s="27"/>
      <c r="S108" s="45">
        <f t="shared" si="32"/>
        <v>1</v>
      </c>
      <c r="T108" s="69" t="str">
        <f t="shared" si="33"/>
        <v>NorthBound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14:25:22-0600',mode:absolute,to:'2016-07-19 17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8" s="74" t="str">
        <f t="shared" si="35"/>
        <v>N</v>
      </c>
      <c r="X108" s="92">
        <f t="shared" si="36"/>
        <v>1</v>
      </c>
      <c r="Y108" s="89">
        <f t="shared" si="37"/>
        <v>5.1700000000000003E-2</v>
      </c>
      <c r="Z108" s="89">
        <f t="shared" si="38"/>
        <v>23.332699999999999</v>
      </c>
      <c r="AA108" s="89">
        <f t="shared" si="39"/>
        <v>23.280999999999999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0"/>
        <v>0195-19</v>
      </c>
      <c r="AE108" s="75" t="str">
        <f t="shared" si="41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108" s="75" t="str">
        <f t="shared" si="42"/>
        <v>"C:\Program Files (x86)\AstroGrep\AstroGrep.exe" /spath="C:\Users\stu\Documents\Analysis\2016-02-23 RTDC Observations" /stypes="*4029*20160719*" /stext=" 22:.+((prompt.+disp)|(slice.+state.+chan)|(ment ac)|(system.+state.+chan)|(\|lc)|(penalty)|(\[timeout))" /e /r /s</v>
      </c>
      <c r="AG108" s="1" t="str">
        <f t="shared" si="43"/>
        <v>EC</v>
      </c>
    </row>
    <row r="109" spans="1:33" hidden="1" x14ac:dyDescent="0.25">
      <c r="A109" s="49" t="s">
        <v>471</v>
      </c>
      <c r="B109" s="7">
        <v>4030</v>
      </c>
      <c r="C109" s="26" t="s">
        <v>59</v>
      </c>
      <c r="D109" s="26" t="s">
        <v>270</v>
      </c>
      <c r="E109" s="16">
        <v>42570.681458333333</v>
      </c>
      <c r="F109" s="16">
        <v>42570.682337962964</v>
      </c>
      <c r="G109" s="7">
        <v>1</v>
      </c>
      <c r="H109" s="16" t="s">
        <v>621</v>
      </c>
      <c r="I109" s="16">
        <v>42570.712951388887</v>
      </c>
      <c r="J109" s="7">
        <v>0</v>
      </c>
      <c r="K109" s="26" t="str">
        <f t="shared" si="30"/>
        <v>4029/4030</v>
      </c>
      <c r="L109" s="26" t="str">
        <f>VLOOKUP(A109,'Trips&amp;Operators'!$C$1:$E$10000,3,FALSE)</f>
        <v>YOUNG</v>
      </c>
      <c r="M109" s="6">
        <f t="shared" si="31"/>
        <v>3.0613425922638271E-2</v>
      </c>
      <c r="N109" s="7">
        <f t="shared" si="29"/>
        <v>44.08333332859911</v>
      </c>
      <c r="O109" s="7"/>
      <c r="P109" s="7"/>
      <c r="Q109" s="27"/>
      <c r="R109" s="27"/>
      <c r="S109" s="45">
        <f t="shared" si="32"/>
        <v>1</v>
      </c>
      <c r="T109" s="69" t="str">
        <f t="shared" si="33"/>
        <v>Southbound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15:21:18-0600',mode:absolute,to:'2016-07-19 18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9" s="74" t="str">
        <f t="shared" si="35"/>
        <v>N</v>
      </c>
      <c r="X109" s="92">
        <f t="shared" si="36"/>
        <v>1</v>
      </c>
      <c r="Y109" s="89">
        <f t="shared" si="37"/>
        <v>23.3</v>
      </c>
      <c r="Z109" s="89">
        <f t="shared" si="38"/>
        <v>1.89E-2</v>
      </c>
      <c r="AA109" s="89">
        <f t="shared" si="39"/>
        <v>23.281100000000002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0"/>
        <v>0196-19</v>
      </c>
      <c r="AE109" s="75" t="str">
        <f t="shared" si="41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109" s="75" t="str">
        <f t="shared" si="42"/>
        <v>"C:\Program Files (x86)\AstroGrep\AstroGrep.exe" /spath="C:\Users\stu\Documents\Analysis\2016-02-23 RTDC Observations" /stypes="*4030*20160719*" /stext=" 23:.+((prompt.+disp)|(slice.+state.+chan)|(ment ac)|(system.+state.+chan)|(\|lc)|(penalty)|(\[timeout))" /e /r /s</v>
      </c>
      <c r="AG109" s="1" t="str">
        <f t="shared" si="43"/>
        <v>EC</v>
      </c>
    </row>
    <row r="110" spans="1:33" hidden="1" x14ac:dyDescent="0.25">
      <c r="A110" s="49" t="s">
        <v>416</v>
      </c>
      <c r="B110" s="7">
        <v>4027</v>
      </c>
      <c r="C110" s="26" t="s">
        <v>59</v>
      </c>
      <c r="D110" s="26" t="s">
        <v>553</v>
      </c>
      <c r="E110" s="16">
        <v>42570.652326388888</v>
      </c>
      <c r="F110" s="16">
        <v>42570.656423611108</v>
      </c>
      <c r="G110" s="7">
        <v>5</v>
      </c>
      <c r="H110" s="16" t="s">
        <v>559</v>
      </c>
      <c r="I110" s="16">
        <v>42570.681180555555</v>
      </c>
      <c r="J110" s="7">
        <v>2</v>
      </c>
      <c r="K110" s="26" t="str">
        <f t="shared" si="30"/>
        <v>4027/4028</v>
      </c>
      <c r="L110" s="26" t="str">
        <f>VLOOKUP(A110,'Trips&amp;Operators'!$C$1:$E$10000,3,FALSE)</f>
        <v>MAYBERRY</v>
      </c>
      <c r="M110" s="6">
        <f t="shared" si="31"/>
        <v>2.4756944447290152E-2</v>
      </c>
      <c r="N110" s="7">
        <f t="shared" si="29"/>
        <v>35.650000004097819</v>
      </c>
      <c r="O110" s="7"/>
      <c r="P110" s="7"/>
      <c r="Q110" s="27"/>
      <c r="R110" s="27"/>
      <c r="S110" s="45">
        <f t="shared" si="32"/>
        <v>1</v>
      </c>
      <c r="T110" s="69" t="str">
        <f t="shared" si="33"/>
        <v>NorthBound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14:39:21-0600',mode:absolute,to:'2016-07-19 17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0" s="74" t="str">
        <f t="shared" si="35"/>
        <v>N</v>
      </c>
      <c r="X110" s="92">
        <f t="shared" si="36"/>
        <v>1</v>
      </c>
      <c r="Y110" s="89">
        <f t="shared" si="37"/>
        <v>4.6600000000000003E-2</v>
      </c>
      <c r="Z110" s="89">
        <f t="shared" si="38"/>
        <v>23.331600000000002</v>
      </c>
      <c r="AA110" s="89">
        <f t="shared" si="39"/>
        <v>23.285</v>
      </c>
      <c r="AB110" s="86">
        <f>VLOOKUP(A110,Enforcements!$C$7:$J$23,8,0)</f>
        <v>20338</v>
      </c>
      <c r="AC110" s="82" t="str">
        <f>VLOOKUP(A110,Enforcements!$C$7:$E$23,3,0)</f>
        <v>PERMANENT SPEED RESTRICTION</v>
      </c>
      <c r="AD110" s="83" t="str">
        <f t="shared" si="40"/>
        <v>0197-19</v>
      </c>
      <c r="AE110" s="75" t="str">
        <f t="shared" si="41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110" s="75" t="str">
        <f t="shared" si="42"/>
        <v>"C:\Program Files (x86)\AstroGrep\AstroGrep.exe" /spath="C:\Users\stu\Documents\Analysis\2016-02-23 RTDC Observations" /stypes="*4027*20160719*" /stext=" 22:.+((prompt.+disp)|(slice.+state.+chan)|(ment ac)|(system.+state.+chan)|(\|lc)|(penalty)|(\[timeout))" /e /r /s</v>
      </c>
      <c r="AG110" s="1" t="str">
        <f t="shared" si="43"/>
        <v>EC</v>
      </c>
    </row>
    <row r="111" spans="1:33" hidden="1" x14ac:dyDescent="0.25">
      <c r="A111" s="49" t="s">
        <v>437</v>
      </c>
      <c r="B111" s="7">
        <v>4028</v>
      </c>
      <c r="C111" s="26" t="s">
        <v>59</v>
      </c>
      <c r="D111" s="26" t="s">
        <v>210</v>
      </c>
      <c r="E111" s="16">
        <v>42570.691874999997</v>
      </c>
      <c r="F111" s="16">
        <v>42570.69321759259</v>
      </c>
      <c r="G111" s="7">
        <v>1</v>
      </c>
      <c r="H111" s="16" t="s">
        <v>601</v>
      </c>
      <c r="I111" s="16">
        <v>42570.721562500003</v>
      </c>
      <c r="J111" s="7">
        <v>0</v>
      </c>
      <c r="K111" s="26" t="str">
        <f t="shared" si="30"/>
        <v>4027/4028</v>
      </c>
      <c r="L111" s="26" t="str">
        <f>VLOOKUP(A111,'Trips&amp;Operators'!$C$1:$E$10000,3,FALSE)</f>
        <v>MAYBERRY</v>
      </c>
      <c r="M111" s="6">
        <f t="shared" si="31"/>
        <v>2.8344907412247267E-2</v>
      </c>
      <c r="N111" s="7">
        <f t="shared" si="29"/>
        <v>40.816666673636064</v>
      </c>
      <c r="O111" s="7"/>
      <c r="P111" s="7"/>
      <c r="Q111" s="27"/>
      <c r="R111" s="27"/>
      <c r="S111" s="45">
        <f t="shared" si="32"/>
        <v>1</v>
      </c>
      <c r="T111" s="69" t="str">
        <f t="shared" si="33"/>
        <v>Southbound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15:36:18-0600',mode:absolute,to:'2016-07-19 18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1" s="74" t="str">
        <f t="shared" si="35"/>
        <v>N</v>
      </c>
      <c r="X111" s="92">
        <f t="shared" si="36"/>
        <v>1</v>
      </c>
      <c r="Y111" s="89">
        <f t="shared" si="37"/>
        <v>23.2971</v>
      </c>
      <c r="Z111" s="89">
        <f t="shared" si="38"/>
        <v>1.29E-2</v>
      </c>
      <c r="AA111" s="89">
        <f t="shared" si="39"/>
        <v>23.284200000000002</v>
      </c>
      <c r="AB111" s="86" t="e">
        <f>VLOOKUP(A111,Enforcements!$C$7:$J$23,8,0)</f>
        <v>#N/A</v>
      </c>
      <c r="AC111" s="82" t="e">
        <f>VLOOKUP(A111,Enforcements!$C$7:$E$23,3,0)</f>
        <v>#N/A</v>
      </c>
      <c r="AD111" s="83" t="str">
        <f t="shared" si="40"/>
        <v>0198-19</v>
      </c>
      <c r="AE111" s="75" t="str">
        <f t="shared" si="41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111" s="75" t="str">
        <f t="shared" si="42"/>
        <v>"C:\Program Files (x86)\AstroGrep\AstroGrep.exe" /spath="C:\Users\stu\Documents\Analysis\2016-02-23 RTDC Observations" /stypes="*4028*20160719*" /stext=" 23:.+((prompt.+disp)|(slice.+state.+chan)|(ment ac)|(system.+state.+chan)|(\|lc)|(penalty)|(\[timeout))" /e /r /s</v>
      </c>
      <c r="AG111" s="1" t="str">
        <f t="shared" si="43"/>
        <v>EC</v>
      </c>
    </row>
    <row r="112" spans="1:33" hidden="1" x14ac:dyDescent="0.25">
      <c r="A112" s="49" t="s">
        <v>530</v>
      </c>
      <c r="B112" s="7">
        <v>4007</v>
      </c>
      <c r="C112" s="26" t="s">
        <v>59</v>
      </c>
      <c r="D112" s="26" t="s">
        <v>147</v>
      </c>
      <c r="E112" s="16">
        <v>42570.662685185183</v>
      </c>
      <c r="F112" s="16">
        <v>42570.66375</v>
      </c>
      <c r="G112" s="7">
        <v>1</v>
      </c>
      <c r="H112" s="16" t="s">
        <v>192</v>
      </c>
      <c r="I112" s="16">
        <v>42570.69153935185</v>
      </c>
      <c r="J112" s="7">
        <v>0</v>
      </c>
      <c r="K112" s="26" t="str">
        <f t="shared" si="30"/>
        <v>4007/4008</v>
      </c>
      <c r="L112" s="26" t="str">
        <f>VLOOKUP(A112,'Trips&amp;Operators'!$C$1:$E$10000,3,FALSE)</f>
        <v>SHOOK</v>
      </c>
      <c r="M112" s="6">
        <f t="shared" si="31"/>
        <v>2.7789351850515231E-2</v>
      </c>
      <c r="N112" s="7">
        <f t="shared" si="29"/>
        <v>40.016666664741933</v>
      </c>
      <c r="O112" s="7"/>
      <c r="P112" s="7"/>
      <c r="Q112" s="27"/>
      <c r="R112" s="27"/>
      <c r="S112" s="45">
        <f t="shared" si="32"/>
        <v>1</v>
      </c>
      <c r="T112" s="69" t="str">
        <f t="shared" si="33"/>
        <v>NorthBound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14:54:16-0600',mode:absolute,to:'2016-07-19 17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2" s="74" t="str">
        <f t="shared" si="35"/>
        <v>N</v>
      </c>
      <c r="X112" s="92">
        <f t="shared" si="36"/>
        <v>1</v>
      </c>
      <c r="Y112" s="89">
        <f t="shared" si="37"/>
        <v>4.58E-2</v>
      </c>
      <c r="Z112" s="89">
        <f t="shared" si="38"/>
        <v>23.331199999999999</v>
      </c>
      <c r="AA112" s="89">
        <f t="shared" si="39"/>
        <v>23.285399999999999</v>
      </c>
      <c r="AB112" s="86" t="e">
        <f>VLOOKUP(A112,Enforcements!$C$7:$J$23,8,0)</f>
        <v>#N/A</v>
      </c>
      <c r="AC112" s="82" t="e">
        <f>VLOOKUP(A112,Enforcements!$C$7:$E$23,3,0)</f>
        <v>#N/A</v>
      </c>
      <c r="AD112" s="83" t="str">
        <f t="shared" si="40"/>
        <v>0199-19</v>
      </c>
      <c r="AE112" s="75" t="str">
        <f t="shared" si="41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112" s="75" t="str">
        <f t="shared" si="42"/>
        <v>"C:\Program Files (x86)\AstroGrep\AstroGrep.exe" /spath="C:\Users\stu\Documents\Analysis\2016-02-23 RTDC Observations" /stypes="*4007*20160719*" /stext=" 22:.+((prompt.+disp)|(slice.+state.+chan)|(ment ac)|(system.+state.+chan)|(\|lc)|(penalty)|(\[timeout))" /e /r /s</v>
      </c>
      <c r="AG112" s="1" t="str">
        <f t="shared" si="43"/>
        <v>EC</v>
      </c>
    </row>
    <row r="113" spans="1:33" hidden="1" x14ac:dyDescent="0.25">
      <c r="A113" s="49" t="s">
        <v>489</v>
      </c>
      <c r="B113" s="7">
        <v>4008</v>
      </c>
      <c r="C113" s="26" t="s">
        <v>59</v>
      </c>
      <c r="D113" s="26" t="s">
        <v>154</v>
      </c>
      <c r="E113" s="16">
        <v>42570.69771990741</v>
      </c>
      <c r="F113" s="16">
        <v>42570.698645833334</v>
      </c>
      <c r="G113" s="7">
        <v>1</v>
      </c>
      <c r="H113" s="16" t="s">
        <v>322</v>
      </c>
      <c r="I113" s="16">
        <v>42570.732025462959</v>
      </c>
      <c r="J113" s="7">
        <v>0</v>
      </c>
      <c r="K113" s="26" t="str">
        <f t="shared" si="30"/>
        <v>4007/4008</v>
      </c>
      <c r="L113" s="26" t="str">
        <f>VLOOKUP(A113,'Trips&amp;Operators'!$C$1:$E$10000,3,FALSE)</f>
        <v>SHOOK</v>
      </c>
      <c r="M113" s="6">
        <f t="shared" si="31"/>
        <v>3.3379629625414964E-2</v>
      </c>
      <c r="N113" s="7">
        <f t="shared" si="29"/>
        <v>48.066666660597548</v>
      </c>
      <c r="O113" s="7"/>
      <c r="P113" s="7"/>
      <c r="Q113" s="27"/>
      <c r="R113" s="27"/>
      <c r="S113" s="45">
        <f t="shared" si="32"/>
        <v>1</v>
      </c>
      <c r="T113" s="69" t="str">
        <f t="shared" si="33"/>
        <v>Southbound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15:44:43-0600',mode:absolute,to:'2016-07-19 18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3" s="74" t="str">
        <f t="shared" si="35"/>
        <v>N</v>
      </c>
      <c r="X113" s="92">
        <f t="shared" si="36"/>
        <v>1</v>
      </c>
      <c r="Y113" s="89">
        <f t="shared" si="37"/>
        <v>23.299600000000002</v>
      </c>
      <c r="Z113" s="89">
        <f t="shared" si="38"/>
        <v>1.5800000000000002E-2</v>
      </c>
      <c r="AA113" s="89">
        <f t="shared" si="39"/>
        <v>23.283800000000003</v>
      </c>
      <c r="AB113" s="86" t="e">
        <f>VLOOKUP(A113,Enforcements!$C$7:$J$23,8,0)</f>
        <v>#N/A</v>
      </c>
      <c r="AC113" s="82" t="e">
        <f>VLOOKUP(A113,Enforcements!$C$7:$E$23,3,0)</f>
        <v>#N/A</v>
      </c>
      <c r="AD113" s="83" t="str">
        <f t="shared" si="40"/>
        <v>0200-19</v>
      </c>
      <c r="AE113" s="75" t="str">
        <f t="shared" si="41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113" s="75" t="str">
        <f t="shared" si="42"/>
        <v>"C:\Program Files (x86)\AstroGrep\AstroGrep.exe" /spath="C:\Users\stu\Documents\Analysis\2016-02-23 RTDC Observations" /stypes="*4008*20160719*" /stext=" 23:.+((prompt.+disp)|(slice.+state.+chan)|(ment ac)|(system.+state.+chan)|(\|lc)|(penalty)|(\[timeout))" /e /r /s</v>
      </c>
      <c r="AG113" s="1" t="str">
        <f t="shared" si="43"/>
        <v>EC</v>
      </c>
    </row>
    <row r="114" spans="1:33" hidden="1" x14ac:dyDescent="0.25">
      <c r="A114" s="49" t="s">
        <v>525</v>
      </c>
      <c r="B114" s="7">
        <v>4038</v>
      </c>
      <c r="C114" s="26" t="s">
        <v>59</v>
      </c>
      <c r="D114" s="26" t="s">
        <v>70</v>
      </c>
      <c r="E114" s="16">
        <v>42570.670995370368</v>
      </c>
      <c r="F114" s="16">
        <v>42570.672314814816</v>
      </c>
      <c r="G114" s="7">
        <v>1</v>
      </c>
      <c r="H114" s="16" t="s">
        <v>622</v>
      </c>
      <c r="I114" s="16">
        <v>42570.702025462961</v>
      </c>
      <c r="J114" s="7">
        <v>0</v>
      </c>
      <c r="K114" s="26" t="str">
        <f t="shared" si="30"/>
        <v>4037/4038</v>
      </c>
      <c r="L114" s="26" t="str">
        <f>VLOOKUP(A114,'Trips&amp;Operators'!$C$1:$E$10000,3,FALSE)</f>
        <v>STORY</v>
      </c>
      <c r="M114" s="6">
        <f t="shared" si="31"/>
        <v>2.9710648144828156E-2</v>
      </c>
      <c r="N114" s="7">
        <f t="shared" si="29"/>
        <v>42.783333328552544</v>
      </c>
      <c r="O114" s="7"/>
      <c r="P114" s="7"/>
      <c r="Q114" s="27"/>
      <c r="R114" s="27"/>
      <c r="S114" s="45">
        <f t="shared" si="32"/>
        <v>1</v>
      </c>
      <c r="T114" s="69" t="str">
        <f t="shared" si="33"/>
        <v>NorthBound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15:06:14-0600',mode:absolute,to:'2016-07-19 17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4" s="74" t="str">
        <f t="shared" si="35"/>
        <v>N</v>
      </c>
      <c r="X114" s="92">
        <f t="shared" si="36"/>
        <v>1</v>
      </c>
      <c r="Y114" s="89">
        <f t="shared" si="37"/>
        <v>4.5699999999999998E-2</v>
      </c>
      <c r="Z114" s="89">
        <f t="shared" si="38"/>
        <v>23.3355</v>
      </c>
      <c r="AA114" s="89">
        <f t="shared" si="39"/>
        <v>23.2898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0"/>
        <v>0201-19</v>
      </c>
      <c r="AE114" s="75" t="str">
        <f t="shared" si="41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114" s="75" t="str">
        <f t="shared" si="42"/>
        <v>"C:\Program Files (x86)\AstroGrep\AstroGrep.exe" /spath="C:\Users\stu\Documents\Analysis\2016-02-23 RTDC Observations" /stypes="*4038*20160719*" /stext=" 22:.+((prompt.+disp)|(slice.+state.+chan)|(ment ac)|(system.+state.+chan)|(\|lc)|(penalty)|(\[timeout))" /e /r /s</v>
      </c>
      <c r="AG114" s="1" t="str">
        <f t="shared" si="43"/>
        <v>EC</v>
      </c>
    </row>
    <row r="115" spans="1:33" hidden="1" x14ac:dyDescent="0.25">
      <c r="A115" s="49" t="s">
        <v>533</v>
      </c>
      <c r="B115" s="7">
        <v>4037</v>
      </c>
      <c r="C115" s="26" t="s">
        <v>59</v>
      </c>
      <c r="D115" s="26" t="s">
        <v>318</v>
      </c>
      <c r="E115" s="16">
        <v>42570.711145833331</v>
      </c>
      <c r="F115" s="16">
        <v>42570.712118055555</v>
      </c>
      <c r="G115" s="7">
        <v>1</v>
      </c>
      <c r="H115" s="16" t="s">
        <v>181</v>
      </c>
      <c r="I115" s="16">
        <v>42570.742303240739</v>
      </c>
      <c r="J115" s="7">
        <v>0</v>
      </c>
      <c r="K115" s="26" t="str">
        <f t="shared" si="30"/>
        <v>4037/4038</v>
      </c>
      <c r="L115" s="26" t="str">
        <f>VLOOKUP(A115,'Trips&amp;Operators'!$C$1:$E$10000,3,FALSE)</f>
        <v>STORY</v>
      </c>
      <c r="M115" s="6">
        <f t="shared" si="31"/>
        <v>3.0185185183654539E-2</v>
      </c>
      <c r="N115" s="7">
        <f t="shared" si="29"/>
        <v>43.466666664462537</v>
      </c>
      <c r="O115" s="7"/>
      <c r="P115" s="7"/>
      <c r="Q115" s="27"/>
      <c r="R115" s="27"/>
      <c r="S115" s="45">
        <f t="shared" si="32"/>
        <v>1</v>
      </c>
      <c r="T115" s="69" t="str">
        <f t="shared" si="33"/>
        <v>Southbound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16:04:03-0600',mode:absolute,to:'2016-07-19 18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5" s="74" t="str">
        <f t="shared" si="35"/>
        <v>N</v>
      </c>
      <c r="X115" s="92">
        <f t="shared" si="36"/>
        <v>1</v>
      </c>
      <c r="Y115" s="89">
        <f t="shared" si="37"/>
        <v>23.302499999999998</v>
      </c>
      <c r="Z115" s="89">
        <f t="shared" si="38"/>
        <v>1.3899999999999999E-2</v>
      </c>
      <c r="AA115" s="89">
        <f t="shared" si="39"/>
        <v>23.288599999999999</v>
      </c>
      <c r="AB115" s="86" t="e">
        <f>VLOOKUP(A115,Enforcements!$C$7:$J$23,8,0)</f>
        <v>#N/A</v>
      </c>
      <c r="AC115" s="82" t="e">
        <f>VLOOKUP(A115,Enforcements!$C$7:$E$23,3,0)</f>
        <v>#N/A</v>
      </c>
      <c r="AD115" s="83" t="str">
        <f t="shared" si="40"/>
        <v>0202-19</v>
      </c>
      <c r="AE115" s="75" t="str">
        <f t="shared" si="41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115" s="75" t="str">
        <f t="shared" si="42"/>
        <v>"C:\Program Files (x86)\AstroGrep\AstroGrep.exe" /spath="C:\Users\stu\Documents\Analysis\2016-02-23 RTDC Observations" /stypes="*4037*20160719*" /stext=" 23:.+((prompt.+disp)|(slice.+state.+chan)|(ment ac)|(system.+state.+chan)|(\|lc)|(penalty)|(\[timeout))" /e /r /s</v>
      </c>
      <c r="AG115" s="1" t="str">
        <f t="shared" si="43"/>
        <v>EC</v>
      </c>
    </row>
    <row r="116" spans="1:33" hidden="1" x14ac:dyDescent="0.25">
      <c r="A116" s="49" t="s">
        <v>531</v>
      </c>
      <c r="B116" s="7">
        <v>4011</v>
      </c>
      <c r="C116" s="26" t="s">
        <v>59</v>
      </c>
      <c r="D116" s="26" t="s">
        <v>183</v>
      </c>
      <c r="E116" s="16">
        <v>42570.683807870373</v>
      </c>
      <c r="F116" s="16">
        <v>42570.684872685182</v>
      </c>
      <c r="G116" s="7">
        <v>1</v>
      </c>
      <c r="H116" s="16" t="s">
        <v>295</v>
      </c>
      <c r="I116" s="16">
        <v>42570.713599537034</v>
      </c>
      <c r="J116" s="7">
        <v>0</v>
      </c>
      <c r="K116" s="26" t="str">
        <f t="shared" si="30"/>
        <v>4011/4012</v>
      </c>
      <c r="L116" s="26" t="str">
        <f>VLOOKUP(A116,'Trips&amp;Operators'!$C$1:$E$10000,3,FALSE)</f>
        <v>STEWART</v>
      </c>
      <c r="M116" s="6">
        <f t="shared" si="31"/>
        <v>2.8726851851388346E-2</v>
      </c>
      <c r="N116" s="7">
        <f t="shared" si="29"/>
        <v>41.366666665999219</v>
      </c>
      <c r="O116" s="7"/>
      <c r="P116" s="7"/>
      <c r="Q116" s="27"/>
      <c r="R116" s="27"/>
      <c r="S116" s="45">
        <f t="shared" si="32"/>
        <v>1</v>
      </c>
      <c r="T116" s="69" t="str">
        <f t="shared" si="33"/>
        <v>NorthBound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15:24:41-0600',mode:absolute,to:'2016-07-19 18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6" s="74" t="str">
        <f t="shared" si="35"/>
        <v>N</v>
      </c>
      <c r="X116" s="92">
        <f t="shared" si="36"/>
        <v>1</v>
      </c>
      <c r="Y116" s="89">
        <f t="shared" si="37"/>
        <v>4.6199999999999998E-2</v>
      </c>
      <c r="Z116" s="89">
        <f t="shared" si="38"/>
        <v>23.332899999999999</v>
      </c>
      <c r="AA116" s="89">
        <f t="shared" si="39"/>
        <v>23.2867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0"/>
        <v>0203-19</v>
      </c>
      <c r="AE116" s="75" t="str">
        <f t="shared" si="41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116" s="75" t="str">
        <f t="shared" si="42"/>
        <v>"C:\Program Files (x86)\AstroGrep\AstroGrep.exe" /spath="C:\Users\stu\Documents\Analysis\2016-02-23 RTDC Observations" /stypes="*4011*20160719*" /stext=" 23:.+((prompt.+disp)|(slice.+state.+chan)|(ment ac)|(system.+state.+chan)|(\|lc)|(penalty)|(\[timeout))" /e /r /s</v>
      </c>
      <c r="AG116" s="1" t="str">
        <f t="shared" si="43"/>
        <v>EC</v>
      </c>
    </row>
    <row r="117" spans="1:33" hidden="1" x14ac:dyDescent="0.25">
      <c r="A117" s="49" t="s">
        <v>422</v>
      </c>
      <c r="B117" s="7">
        <v>4012</v>
      </c>
      <c r="C117" s="26" t="s">
        <v>59</v>
      </c>
      <c r="D117" s="26" t="s">
        <v>270</v>
      </c>
      <c r="E117" s="16">
        <v>42570.722395833334</v>
      </c>
      <c r="F117" s="16">
        <v>42570.723321759258</v>
      </c>
      <c r="G117" s="7">
        <v>1</v>
      </c>
      <c r="H117" s="16" t="s">
        <v>178</v>
      </c>
      <c r="I117" s="16">
        <v>42570.753252314818</v>
      </c>
      <c r="J117" s="7">
        <v>1</v>
      </c>
      <c r="K117" s="26" t="str">
        <f t="shared" si="30"/>
        <v>4011/4012</v>
      </c>
      <c r="L117" s="26" t="str">
        <f>VLOOKUP(A117,'Trips&amp;Operators'!$C$1:$E$10000,3,FALSE)</f>
        <v>STEWART</v>
      </c>
      <c r="M117" s="6">
        <f t="shared" si="31"/>
        <v>2.9930555559985805E-2</v>
      </c>
      <c r="N117" s="7">
        <f t="shared" si="29"/>
        <v>43.10000000637956</v>
      </c>
      <c r="O117" s="7"/>
      <c r="P117" s="7"/>
      <c r="Q117" s="27"/>
      <c r="R117" s="27"/>
      <c r="S117" s="45">
        <f t="shared" si="32"/>
        <v>1</v>
      </c>
      <c r="T117" s="69" t="str">
        <f t="shared" si="33"/>
        <v>Southbound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16:20:15-0600',mode:absolute,to:'2016-07-19 19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7" s="74" t="str">
        <f t="shared" si="35"/>
        <v>N</v>
      </c>
      <c r="X117" s="92">
        <f t="shared" si="36"/>
        <v>1</v>
      </c>
      <c r="Y117" s="89">
        <f t="shared" si="37"/>
        <v>23.3</v>
      </c>
      <c r="Z117" s="89">
        <f t="shared" si="38"/>
        <v>1.4999999999999999E-2</v>
      </c>
      <c r="AA117" s="89">
        <f t="shared" si="39"/>
        <v>23.285</v>
      </c>
      <c r="AB117" s="86" t="e">
        <f>VLOOKUP(A117,Enforcements!$C$7:$J$23,8,0)</f>
        <v>#N/A</v>
      </c>
      <c r="AC117" s="82" t="e">
        <f>VLOOKUP(A117,Enforcements!$C$7:$E$23,3,0)</f>
        <v>#N/A</v>
      </c>
      <c r="AD117" s="83" t="str">
        <f t="shared" si="40"/>
        <v>0204-19</v>
      </c>
      <c r="AE117" s="75" t="str">
        <f t="shared" si="41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117" s="75" t="str">
        <f t="shared" si="42"/>
        <v>"C:\Program Files (x86)\AstroGrep\AstroGrep.exe" /spath="C:\Users\stu\Documents\Analysis\2016-02-23 RTDC Observations" /stypes="*4012*20160720*" /stext=" 00:.+((prompt.+disp)|(slice.+state.+chan)|(ment ac)|(system.+state.+chan)|(\|lc)|(penalty)|(\[timeout))" /e /r /s</v>
      </c>
      <c r="AG117" s="1" t="str">
        <f t="shared" si="43"/>
        <v>EC</v>
      </c>
    </row>
    <row r="118" spans="1:33" hidden="1" x14ac:dyDescent="0.25">
      <c r="A118" s="49" t="s">
        <v>438</v>
      </c>
      <c r="B118" s="7">
        <v>4044</v>
      </c>
      <c r="C118" s="26" t="s">
        <v>59</v>
      </c>
      <c r="D118" s="26" t="s">
        <v>66</v>
      </c>
      <c r="E118" s="16">
        <v>42570.693298611113</v>
      </c>
      <c r="F118" s="16">
        <v>42570.694212962961</v>
      </c>
      <c r="G118" s="7">
        <v>1</v>
      </c>
      <c r="H118" s="16" t="s">
        <v>607</v>
      </c>
      <c r="I118" s="16">
        <v>42570.722627314812</v>
      </c>
      <c r="J118" s="7">
        <v>0</v>
      </c>
      <c r="K118" s="26" t="str">
        <f t="shared" si="30"/>
        <v>4043/4044</v>
      </c>
      <c r="L118" s="26" t="str">
        <f>VLOOKUP(A118,'Trips&amp;Operators'!$C$1:$E$10000,3,FALSE)</f>
        <v>LOCKLEAR</v>
      </c>
      <c r="M118" s="6">
        <f t="shared" si="31"/>
        <v>2.8414351851097308E-2</v>
      </c>
      <c r="N118" s="7">
        <f t="shared" si="29"/>
        <v>40.916666665580124</v>
      </c>
      <c r="O118" s="7"/>
      <c r="P118" s="7"/>
      <c r="Q118" s="27"/>
      <c r="R118" s="27"/>
      <c r="S118" s="45">
        <f t="shared" si="32"/>
        <v>1</v>
      </c>
      <c r="T118" s="69" t="str">
        <f t="shared" si="33"/>
        <v>NorthBound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15:38:21-0600',mode:absolute,to:'2016-07-19 18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8" s="74" t="str">
        <f t="shared" si="35"/>
        <v>N</v>
      </c>
      <c r="X118" s="92">
        <f t="shared" si="36"/>
        <v>1</v>
      </c>
      <c r="Y118" s="89">
        <f t="shared" si="37"/>
        <v>4.5999999999999999E-2</v>
      </c>
      <c r="Z118" s="89">
        <f t="shared" si="38"/>
        <v>23.3368</v>
      </c>
      <c r="AA118" s="89">
        <f t="shared" si="39"/>
        <v>23.290800000000001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0"/>
        <v>0205-19</v>
      </c>
      <c r="AE118" s="75" t="str">
        <f t="shared" si="41"/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AF118" s="75" t="str">
        <f t="shared" si="42"/>
        <v>"C:\Program Files (x86)\AstroGrep\AstroGrep.exe" /spath="C:\Users\stu\Documents\Analysis\2016-02-23 RTDC Observations" /stypes="*4044*20160719*" /stext=" 23:.+((prompt.+disp)|(slice.+state.+chan)|(ment ac)|(system.+state.+chan)|(\|lc)|(penalty)|(\[timeout))" /e /r /s</v>
      </c>
      <c r="AG118" s="1" t="str">
        <f t="shared" si="43"/>
        <v>EC</v>
      </c>
    </row>
    <row r="119" spans="1:33" hidden="1" x14ac:dyDescent="0.25">
      <c r="A119" s="49" t="s">
        <v>534</v>
      </c>
      <c r="B119" s="7">
        <v>4043</v>
      </c>
      <c r="C119" s="26" t="s">
        <v>59</v>
      </c>
      <c r="D119" s="26" t="s">
        <v>623</v>
      </c>
      <c r="E119" s="16">
        <v>42570.733136574076</v>
      </c>
      <c r="F119" s="16">
        <v>42570.733912037038</v>
      </c>
      <c r="G119" s="7">
        <v>1</v>
      </c>
      <c r="H119" s="16" t="s">
        <v>322</v>
      </c>
      <c r="I119" s="16">
        <v>42570.762673611112</v>
      </c>
      <c r="J119" s="7">
        <v>0</v>
      </c>
      <c r="K119" s="26" t="str">
        <f t="shared" si="30"/>
        <v>4043/4044</v>
      </c>
      <c r="L119" s="26" t="str">
        <f>VLOOKUP(A119,'Trips&amp;Operators'!$C$1:$E$10000,3,FALSE)</f>
        <v>LOCKLEAR</v>
      </c>
      <c r="M119" s="6">
        <f t="shared" si="31"/>
        <v>2.8761574074451346E-2</v>
      </c>
      <c r="N119" s="7">
        <f t="shared" si="29"/>
        <v>41.416666667209938</v>
      </c>
      <c r="O119" s="7"/>
      <c r="P119" s="7"/>
      <c r="Q119" s="27"/>
      <c r="R119" s="27"/>
      <c r="S119" s="45">
        <f t="shared" si="32"/>
        <v>1</v>
      </c>
      <c r="T119" s="69" t="str">
        <f t="shared" si="33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16:35:43-0600',mode:absolute,to:'2016-07-19 19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9" s="74" t="str">
        <f t="shared" si="35"/>
        <v>N</v>
      </c>
      <c r="X119" s="92">
        <f t="shared" si="36"/>
        <v>1</v>
      </c>
      <c r="Y119" s="89">
        <f t="shared" si="37"/>
        <v>23.302299999999999</v>
      </c>
      <c r="Z119" s="89">
        <f t="shared" si="38"/>
        <v>1.5800000000000002E-2</v>
      </c>
      <c r="AA119" s="89">
        <f t="shared" si="39"/>
        <v>23.2865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0"/>
        <v>0206-19</v>
      </c>
      <c r="AE119" s="75" t="str">
        <f t="shared" si="41"/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AF119" s="75" t="str">
        <f t="shared" si="42"/>
        <v>"C:\Program Files (x86)\AstroGrep\AstroGrep.exe" /spath="C:\Users\stu\Documents\Analysis\2016-02-23 RTDC Observations" /stypes="*4043*20160720*" /stext=" 00:.+((prompt.+disp)|(slice.+state.+chan)|(ment ac)|(system.+state.+chan)|(\|lc)|(penalty)|(\[timeout))" /e /r /s</v>
      </c>
      <c r="AG119" s="1" t="str">
        <f t="shared" si="43"/>
        <v>EC</v>
      </c>
    </row>
    <row r="120" spans="1:33" hidden="1" x14ac:dyDescent="0.25">
      <c r="A120" s="49" t="s">
        <v>524</v>
      </c>
      <c r="B120" s="7">
        <v>4009</v>
      </c>
      <c r="C120" s="26" t="s">
        <v>59</v>
      </c>
      <c r="D120" s="26" t="s">
        <v>271</v>
      </c>
      <c r="E120" s="16">
        <v>42570.703530092593</v>
      </c>
      <c r="F120" s="16">
        <v>42570.704525462963</v>
      </c>
      <c r="G120" s="7">
        <v>1</v>
      </c>
      <c r="H120" s="16" t="s">
        <v>204</v>
      </c>
      <c r="I120" s="16">
        <v>42570.734375</v>
      </c>
      <c r="J120" s="7">
        <v>0</v>
      </c>
      <c r="K120" s="26" t="str">
        <f t="shared" si="30"/>
        <v>4009/4010</v>
      </c>
      <c r="L120" s="26" t="str">
        <f>VLOOKUP(A120,'Trips&amp;Operators'!$C$1:$E$10000,3,FALSE)</f>
        <v>DAVIS</v>
      </c>
      <c r="M120" s="6">
        <f t="shared" si="31"/>
        <v>2.9849537037080154E-2</v>
      </c>
      <c r="N120" s="7">
        <f t="shared" si="29"/>
        <v>42.983333333395422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NorthBound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15:53:05-0600',mode:absolute,to:'2016-07-19 18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0" s="74" t="str">
        <f t="shared" si="35"/>
        <v>N</v>
      </c>
      <c r="X120" s="92">
        <f t="shared" si="36"/>
        <v>1</v>
      </c>
      <c r="Y120" s="89">
        <f t="shared" si="37"/>
        <v>4.8000000000000001E-2</v>
      </c>
      <c r="Z120" s="89">
        <f t="shared" si="38"/>
        <v>23.328900000000001</v>
      </c>
      <c r="AA120" s="89">
        <f t="shared" si="39"/>
        <v>23.280900000000003</v>
      </c>
      <c r="AB120" s="86" t="e">
        <f>VLOOKUP(A120,Enforcements!$C$7:$J$23,8,0)</f>
        <v>#N/A</v>
      </c>
      <c r="AC120" s="82" t="e">
        <f>VLOOKUP(A120,Enforcements!$C$7:$E$23,3,0)</f>
        <v>#N/A</v>
      </c>
      <c r="AD120" s="83" t="str">
        <f t="shared" si="40"/>
        <v>0207-19</v>
      </c>
      <c r="AE120" s="75" t="str">
        <f t="shared" si="41"/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AF120" s="75" t="str">
        <f t="shared" si="42"/>
        <v>"C:\Program Files (x86)\AstroGrep\AstroGrep.exe" /spath="C:\Users\stu\Documents\Analysis\2016-02-23 RTDC Observations" /stypes="*4009*20160719*" /stext=" 23:.+((prompt.+disp)|(slice.+state.+chan)|(ment ac)|(system.+state.+chan)|(\|lc)|(penalty)|(\[timeout))" /e /r /s</v>
      </c>
      <c r="AG120" s="1" t="str">
        <f t="shared" si="43"/>
        <v>EC</v>
      </c>
    </row>
    <row r="121" spans="1:33" hidden="1" x14ac:dyDescent="0.25">
      <c r="A121" s="49" t="s">
        <v>522</v>
      </c>
      <c r="B121" s="7">
        <v>4010</v>
      </c>
      <c r="C121" s="26" t="s">
        <v>59</v>
      </c>
      <c r="D121" s="26" t="s">
        <v>225</v>
      </c>
      <c r="E121" s="16">
        <v>42570.740324074075</v>
      </c>
      <c r="F121" s="16">
        <v>42570.741261574076</v>
      </c>
      <c r="G121" s="7">
        <v>1</v>
      </c>
      <c r="H121" s="16" t="s">
        <v>624</v>
      </c>
      <c r="I121" s="16">
        <v>42570.775497685187</v>
      </c>
      <c r="J121" s="7">
        <v>0</v>
      </c>
      <c r="K121" s="26" t="str">
        <f t="shared" si="30"/>
        <v>4009/4010</v>
      </c>
      <c r="L121" s="26" t="str">
        <f>VLOOKUP(A121,'Trips&amp;Operators'!$C$1:$E$10000,3,FALSE)</f>
        <v>DAVIS</v>
      </c>
      <c r="M121" s="6">
        <f t="shared" si="31"/>
        <v>3.4236111110658385E-2</v>
      </c>
      <c r="N121" s="7">
        <f t="shared" si="29"/>
        <v>49.299999999348074</v>
      </c>
      <c r="O121" s="7"/>
      <c r="P121" s="7"/>
      <c r="Q121" s="27"/>
      <c r="R121" s="27"/>
      <c r="S121" s="45">
        <f t="shared" si="32"/>
        <v>1</v>
      </c>
      <c r="T121" s="69" t="str">
        <f t="shared" si="33"/>
        <v>Southbound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16:46:04-0600',mode:absolute,to:'2016-07-19 19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1" s="74" t="str">
        <f t="shared" si="35"/>
        <v>N</v>
      </c>
      <c r="X121" s="92">
        <f t="shared" si="36"/>
        <v>1</v>
      </c>
      <c r="Y121" s="89">
        <f t="shared" si="37"/>
        <v>23.299099999999999</v>
      </c>
      <c r="Z121" s="89">
        <f t="shared" si="38"/>
        <v>1.14E-2</v>
      </c>
      <c r="AA121" s="89">
        <f t="shared" si="39"/>
        <v>23.287700000000001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0"/>
        <v>0208-19</v>
      </c>
      <c r="AE121" s="75" t="str">
        <f t="shared" si="41"/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AF121" s="75" t="str">
        <f t="shared" si="42"/>
        <v>"C:\Program Files (x86)\AstroGrep\AstroGrep.exe" /spath="C:\Users\stu\Documents\Analysis\2016-02-23 RTDC Observations" /stypes="*4010*20160720*" /stext=" 00:.+((prompt.+disp)|(slice.+state.+chan)|(ment ac)|(system.+state.+chan)|(\|lc)|(penalty)|(\[timeout))" /e /r /s</v>
      </c>
      <c r="AG121" s="1" t="str">
        <f t="shared" si="43"/>
        <v>EC</v>
      </c>
    </row>
    <row r="122" spans="1:33" hidden="1" x14ac:dyDescent="0.25">
      <c r="A122" s="49" t="s">
        <v>421</v>
      </c>
      <c r="B122" s="7">
        <v>4029</v>
      </c>
      <c r="C122" s="26" t="s">
        <v>59</v>
      </c>
      <c r="D122" s="26" t="s">
        <v>625</v>
      </c>
      <c r="E122" s="16">
        <v>42570.715150462966</v>
      </c>
      <c r="F122" s="16">
        <v>42570.717060185183</v>
      </c>
      <c r="G122" s="7">
        <v>2</v>
      </c>
      <c r="H122" s="16" t="s">
        <v>204</v>
      </c>
      <c r="I122" s="16">
        <v>42570.743854166663</v>
      </c>
      <c r="J122" s="7">
        <v>1</v>
      </c>
      <c r="K122" s="26" t="str">
        <f t="shared" si="30"/>
        <v>4029/4030</v>
      </c>
      <c r="L122" s="26" t="str">
        <f>VLOOKUP(A122,'Trips&amp;Operators'!$C$1:$E$10000,3,FALSE)</f>
        <v>STAMBAUGH</v>
      </c>
      <c r="M122" s="6">
        <f t="shared" si="31"/>
        <v>2.679398148029577E-2</v>
      </c>
      <c r="N122" s="7">
        <f t="shared" si="29"/>
        <v>38.583333331625909</v>
      </c>
      <c r="O122" s="7"/>
      <c r="P122" s="7"/>
      <c r="Q122" s="27"/>
      <c r="R122" s="27"/>
      <c r="S122" s="45">
        <f t="shared" si="32"/>
        <v>1</v>
      </c>
      <c r="T122" s="69" t="str">
        <f t="shared" si="33"/>
        <v>NorthBound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16:09:49-0600',mode:absolute,to:'2016-07-19 18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74" t="str">
        <f t="shared" si="35"/>
        <v>N</v>
      </c>
      <c r="X122" s="92">
        <f t="shared" si="36"/>
        <v>1</v>
      </c>
      <c r="Y122" s="89">
        <f t="shared" si="37"/>
        <v>4.9799999999999997E-2</v>
      </c>
      <c r="Z122" s="89">
        <f t="shared" si="38"/>
        <v>23.328900000000001</v>
      </c>
      <c r="AA122" s="89">
        <f t="shared" si="39"/>
        <v>23.2791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0"/>
        <v>0209-19</v>
      </c>
      <c r="AE122" s="75" t="str">
        <f t="shared" si="41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122" s="75" t="str">
        <f t="shared" si="42"/>
        <v>"C:\Program Files (x86)\AstroGrep\AstroGrep.exe" /spath="C:\Users\stu\Documents\Analysis\2016-02-23 RTDC Observations" /stypes="*4029*20160719*" /stext=" 23:.+((prompt.+disp)|(slice.+state.+chan)|(ment ac)|(system.+state.+chan)|(\|lc)|(penalty)|(\[timeout))" /e /r /s</v>
      </c>
      <c r="AG122" s="1" t="str">
        <f t="shared" si="43"/>
        <v>EC</v>
      </c>
    </row>
    <row r="123" spans="1:33" hidden="1" x14ac:dyDescent="0.25">
      <c r="A123" s="49" t="s">
        <v>520</v>
      </c>
      <c r="B123" s="7">
        <v>4030</v>
      </c>
      <c r="C123" s="26" t="s">
        <v>59</v>
      </c>
      <c r="D123" s="26" t="s">
        <v>248</v>
      </c>
      <c r="E123" s="16">
        <v>42570.753599537034</v>
      </c>
      <c r="F123" s="16">
        <v>42570.754791666666</v>
      </c>
      <c r="G123" s="7">
        <v>1</v>
      </c>
      <c r="H123" s="16" t="s">
        <v>108</v>
      </c>
      <c r="I123" s="16">
        <v>42570.784525462965</v>
      </c>
      <c r="J123" s="7">
        <v>0</v>
      </c>
      <c r="K123" s="26" t="str">
        <f t="shared" si="30"/>
        <v>4029/4030</v>
      </c>
      <c r="L123" s="26" t="str">
        <f>VLOOKUP(A123,'Trips&amp;Operators'!$C$1:$E$10000,3,FALSE)</f>
        <v>STAMBAUGH</v>
      </c>
      <c r="M123" s="6">
        <f t="shared" si="31"/>
        <v>2.973379629838746E-2</v>
      </c>
      <c r="N123" s="7">
        <f t="shared" si="29"/>
        <v>42.816666669677943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17:05:11-0600',mode:absolute,to:'2016-07-19 19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3" s="74" t="str">
        <f t="shared" si="35"/>
        <v>N</v>
      </c>
      <c r="X123" s="92">
        <f t="shared" si="36"/>
        <v>1</v>
      </c>
      <c r="Y123" s="89">
        <f t="shared" si="37"/>
        <v>23.2957</v>
      </c>
      <c r="Z123" s="89">
        <f t="shared" si="38"/>
        <v>1.43E-2</v>
      </c>
      <c r="AA123" s="89">
        <f t="shared" si="39"/>
        <v>23.281400000000001</v>
      </c>
      <c r="AB123" s="86" t="e">
        <f>VLOOKUP(A123,Enforcements!$C$7:$J$23,8,0)</f>
        <v>#N/A</v>
      </c>
      <c r="AC123" s="82" t="e">
        <f>VLOOKUP(A123,Enforcements!$C$7:$E$23,3,0)</f>
        <v>#N/A</v>
      </c>
      <c r="AD123" s="83" t="str">
        <f t="shared" si="40"/>
        <v>0210-19</v>
      </c>
      <c r="AE123" s="75" t="str">
        <f t="shared" si="41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123" s="75" t="str">
        <f t="shared" si="42"/>
        <v>"C:\Program Files (x86)\AstroGrep\AstroGrep.exe" /spath="C:\Users\stu\Documents\Analysis\2016-02-23 RTDC Observations" /stypes="*4030*20160720*" /stext=" 00:.+((prompt.+disp)|(slice.+state.+chan)|(ment ac)|(system.+state.+chan)|(\|lc)|(penalty)|(\[timeout))" /e /r /s</v>
      </c>
      <c r="AG123" s="1" t="str">
        <f t="shared" si="43"/>
        <v>EC</v>
      </c>
    </row>
    <row r="124" spans="1:33" hidden="1" x14ac:dyDescent="0.25">
      <c r="A124" s="49" t="s">
        <v>470</v>
      </c>
      <c r="B124" s="7">
        <v>4027</v>
      </c>
      <c r="C124" s="26" t="s">
        <v>59</v>
      </c>
      <c r="D124" s="26" t="s">
        <v>221</v>
      </c>
      <c r="E124" s="16">
        <v>42570.724756944444</v>
      </c>
      <c r="F124" s="16">
        <v>42570.726168981484</v>
      </c>
      <c r="G124" s="7">
        <v>2</v>
      </c>
      <c r="H124" s="16" t="s">
        <v>317</v>
      </c>
      <c r="I124" s="16">
        <v>42570.756307870368</v>
      </c>
      <c r="J124" s="7">
        <v>0</v>
      </c>
      <c r="K124" s="26" t="str">
        <f t="shared" si="30"/>
        <v>4027/4028</v>
      </c>
      <c r="L124" s="26" t="str">
        <f>VLOOKUP(A124,'Trips&amp;Operators'!$C$1:$E$10000,3,FALSE)</f>
        <v>YOUNG</v>
      </c>
      <c r="M124" s="6">
        <f t="shared" si="31"/>
        <v>3.0138888883811887E-2</v>
      </c>
      <c r="N124" s="7">
        <f t="shared" si="29"/>
        <v>43.399999992689118</v>
      </c>
      <c r="O124" s="7"/>
      <c r="P124" s="7"/>
      <c r="Q124" s="27"/>
      <c r="R124" s="27"/>
      <c r="S124" s="45">
        <f t="shared" si="32"/>
        <v>1</v>
      </c>
      <c r="T124" s="69" t="str">
        <f t="shared" si="33"/>
        <v>NorthBound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16:23:39-0600',mode:absolute,to:'2016-07-19 19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74" t="str">
        <f t="shared" si="35"/>
        <v>N</v>
      </c>
      <c r="X124" s="92">
        <f t="shared" si="36"/>
        <v>1</v>
      </c>
      <c r="Y124" s="89">
        <f t="shared" si="37"/>
        <v>4.3999999999999997E-2</v>
      </c>
      <c r="Z124" s="89">
        <f t="shared" si="38"/>
        <v>23.3323</v>
      </c>
      <c r="AA124" s="89">
        <f t="shared" si="39"/>
        <v>23.2883</v>
      </c>
      <c r="AB124" s="86" t="e">
        <f>VLOOKUP(A124,Enforcements!$C$7:$J$23,8,0)</f>
        <v>#N/A</v>
      </c>
      <c r="AC124" s="82" t="e">
        <f>VLOOKUP(A124,Enforcements!$C$7:$E$23,3,0)</f>
        <v>#N/A</v>
      </c>
      <c r="AD124" s="83" t="str">
        <f t="shared" si="40"/>
        <v>0211-19</v>
      </c>
      <c r="AE124" s="75" t="str">
        <f t="shared" si="41"/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AF124" s="75" t="str">
        <f t="shared" si="42"/>
        <v>"C:\Program Files (x86)\AstroGrep\AstroGrep.exe" /spath="C:\Users\stu\Documents\Analysis\2016-02-23 RTDC Observations" /stypes="*4027*20160720*" /stext=" 00:.+((prompt.+disp)|(slice.+state.+chan)|(ment ac)|(system.+state.+chan)|(\|lc)|(penalty)|(\[timeout))" /e /r /s</v>
      </c>
      <c r="AG124" s="1" t="str">
        <f t="shared" si="43"/>
        <v>EC</v>
      </c>
    </row>
    <row r="125" spans="1:33" hidden="1" x14ac:dyDescent="0.25">
      <c r="A125" s="49" t="s">
        <v>423</v>
      </c>
      <c r="B125" s="7">
        <v>4028</v>
      </c>
      <c r="C125" s="26" t="s">
        <v>59</v>
      </c>
      <c r="D125" s="26" t="s">
        <v>154</v>
      </c>
      <c r="E125" s="16">
        <v>42570.762511574074</v>
      </c>
      <c r="F125" s="16">
        <v>42570.763715277775</v>
      </c>
      <c r="G125" s="7">
        <v>1</v>
      </c>
      <c r="H125" s="16" t="s">
        <v>335</v>
      </c>
      <c r="I125" s="16">
        <v>42570.798171296294</v>
      </c>
      <c r="J125" s="7">
        <v>1</v>
      </c>
      <c r="K125" s="26" t="str">
        <f t="shared" si="30"/>
        <v>4027/4028</v>
      </c>
      <c r="L125" s="26" t="str">
        <f>VLOOKUP(A125,'Trips&amp;Operators'!$C$1:$E$10000,3,FALSE)</f>
        <v>YOUNG</v>
      </c>
      <c r="M125" s="6">
        <f t="shared" si="31"/>
        <v>3.4456018518540077E-2</v>
      </c>
      <c r="N125" s="7">
        <f t="shared" si="29"/>
        <v>49.616666666697711</v>
      </c>
      <c r="O125" s="7"/>
      <c r="P125" s="7"/>
      <c r="Q125" s="27"/>
      <c r="R125" s="27"/>
      <c r="S125" s="45">
        <f t="shared" si="32"/>
        <v>1</v>
      </c>
      <c r="T125" s="69" t="str">
        <f t="shared" si="33"/>
        <v>Southbound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17:18:01-0600',mode:absolute,to:'2016-07-19 20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74" t="str">
        <f t="shared" si="35"/>
        <v>N</v>
      </c>
      <c r="X125" s="92">
        <f t="shared" si="36"/>
        <v>1</v>
      </c>
      <c r="Y125" s="89">
        <f t="shared" si="37"/>
        <v>23.299600000000002</v>
      </c>
      <c r="Z125" s="89">
        <f t="shared" si="38"/>
        <v>1.2999999999999999E-2</v>
      </c>
      <c r="AA125" s="89">
        <f t="shared" si="39"/>
        <v>23.2866</v>
      </c>
      <c r="AB125" s="86" t="e">
        <f>VLOOKUP(A125,Enforcements!$C$7:$J$23,8,0)</f>
        <v>#N/A</v>
      </c>
      <c r="AC125" s="82" t="e">
        <f>VLOOKUP(A125,Enforcements!$C$7:$E$23,3,0)</f>
        <v>#N/A</v>
      </c>
      <c r="AD125" s="83" t="str">
        <f t="shared" si="40"/>
        <v>0212-19</v>
      </c>
      <c r="AE125" s="75" t="str">
        <f t="shared" si="41"/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AF125" s="75" t="str">
        <f t="shared" si="42"/>
        <v>"C:\Program Files (x86)\AstroGrep\AstroGrep.exe" /spath="C:\Users\stu\Documents\Analysis\2016-02-23 RTDC Observations" /stypes="*4028*20160720*" /stext=" 01:.+((prompt.+disp)|(slice.+state.+chan)|(ment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49" t="s">
        <v>420</v>
      </c>
      <c r="B126" s="7">
        <v>4007</v>
      </c>
      <c r="C126" s="26" t="s">
        <v>59</v>
      </c>
      <c r="D126" s="26" t="s">
        <v>626</v>
      </c>
      <c r="E126" s="16">
        <v>42570.74359953704</v>
      </c>
      <c r="F126" s="16">
        <v>42570.744756944441</v>
      </c>
      <c r="G126" s="7">
        <v>1</v>
      </c>
      <c r="H126" s="16" t="s">
        <v>174</v>
      </c>
      <c r="I126" s="16">
        <v>42570.765613425923</v>
      </c>
      <c r="J126" s="7">
        <v>0</v>
      </c>
      <c r="K126" s="26" t="str">
        <f t="shared" si="30"/>
        <v>4007/4008</v>
      </c>
      <c r="L126" s="26" t="str">
        <f>VLOOKUP(A126,'Trips&amp;Operators'!$C$1:$E$10000,3,FALSE)</f>
        <v>COOLAHAN</v>
      </c>
      <c r="M126" s="6">
        <f t="shared" si="31"/>
        <v>2.0856481482042E-2</v>
      </c>
      <c r="N126" s="7"/>
      <c r="O126" s="7"/>
      <c r="P126" s="7">
        <f>24*60*SUM($M126:$M126)</f>
        <v>30.03333333414048</v>
      </c>
      <c r="Q126" s="27"/>
      <c r="R126" s="27" t="s">
        <v>401</v>
      </c>
      <c r="S126" s="45">
        <f t="shared" si="32"/>
        <v>1</v>
      </c>
      <c r="T126" s="69" t="str">
        <f t="shared" si="33"/>
        <v>NorthBound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16:50:47-0600',mode:absolute,to:'2016-07-19 19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74" t="str">
        <f t="shared" si="35"/>
        <v>Y</v>
      </c>
      <c r="X126" s="92">
        <f t="shared" si="36"/>
        <v>1</v>
      </c>
      <c r="Y126" s="89">
        <f t="shared" si="37"/>
        <v>1.9132</v>
      </c>
      <c r="Z126" s="89">
        <f t="shared" si="38"/>
        <v>23.329899999999999</v>
      </c>
      <c r="AA126" s="89">
        <f t="shared" si="39"/>
        <v>21.416699999999999</v>
      </c>
      <c r="AB126" s="86">
        <f>VLOOKUP(A126,Enforcements!$C$7:$J$23,8,0)</f>
        <v>110617</v>
      </c>
      <c r="AC126" s="82" t="str">
        <f>VLOOKUP(A126,Enforcements!$C$7:$E$23,3,0)</f>
        <v>EQUIPMENT RESTRICTION</v>
      </c>
      <c r="AD126" s="83" t="str">
        <f t="shared" si="40"/>
        <v>0213-19</v>
      </c>
      <c r="AE126" s="75" t="str">
        <f t="shared" si="41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126" s="75" t="str">
        <f t="shared" si="42"/>
        <v>"C:\Program Files (x86)\AstroGrep\AstroGrep.exe" /spath="C:\Users\stu\Documents\Analysis\2016-02-23 RTDC Observations" /stypes="*4007*20160720*" /stext=" 00:.+((prompt.+disp)|(slice.+state.+chan)|(ment ac)|(system.+state.+chan)|(\|lc)|(penalty)|(\[timeout))" /e /r /s</v>
      </c>
      <c r="AG126" s="1" t="str">
        <f t="shared" si="43"/>
        <v>EC</v>
      </c>
    </row>
    <row r="127" spans="1:33" s="25" customFormat="1" x14ac:dyDescent="0.25">
      <c r="A127" s="49" t="s">
        <v>425</v>
      </c>
      <c r="B127" s="7">
        <v>4008</v>
      </c>
      <c r="C127" s="26" t="s">
        <v>59</v>
      </c>
      <c r="D127" s="26" t="s">
        <v>186</v>
      </c>
      <c r="E127" s="16">
        <v>42570.776435185187</v>
      </c>
      <c r="F127" s="16">
        <v>42570.778599537036</v>
      </c>
      <c r="G127" s="7">
        <v>3</v>
      </c>
      <c r="H127" s="16" t="s">
        <v>627</v>
      </c>
      <c r="I127" s="16">
        <v>42570.79582175926</v>
      </c>
      <c r="J127" s="7">
        <v>0</v>
      </c>
      <c r="K127" s="26" t="str">
        <f t="shared" si="30"/>
        <v>4007/4008</v>
      </c>
      <c r="L127" s="26" t="str">
        <f>VLOOKUP(A127,'Trips&amp;Operators'!$C$1:$E$10000,3,FALSE)</f>
        <v>COOLAHAN</v>
      </c>
      <c r="M127" s="6">
        <f t="shared" si="31"/>
        <v>1.7222222224518191E-2</v>
      </c>
      <c r="N127" s="7"/>
      <c r="O127" s="7"/>
      <c r="P127" s="7">
        <f>24*60*SUM($M127:$M128)</f>
        <v>34.716666672611609</v>
      </c>
      <c r="Q127" s="27"/>
      <c r="R127" s="27" t="s">
        <v>653</v>
      </c>
      <c r="S127" s="45">
        <f>SUM(U127:U128)/12</f>
        <v>0.5</v>
      </c>
      <c r="T127" s="69" t="str">
        <f t="shared" si="33"/>
        <v>Southbound</v>
      </c>
      <c r="U127" s="96">
        <f>COUNTIFS(Variables!$M$2:$M$19,IF(T127="NorthBound","&gt;=","&lt;=")&amp;Y127,Variables!$M$2:$M$19,IF(T127="NorthBound","&lt;=","&gt;=")&amp;Z127)</f>
        <v>3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17:38:04-0600',mode:absolute,to:'2016-07-19 20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74" t="str">
        <f t="shared" si="35"/>
        <v>Y</v>
      </c>
      <c r="X127" s="92">
        <f t="shared" si="36"/>
        <v>1</v>
      </c>
      <c r="Y127" s="89">
        <f t="shared" si="37"/>
        <v>23.298200000000001</v>
      </c>
      <c r="Z127" s="89">
        <f t="shared" si="38"/>
        <v>6.4172000000000002</v>
      </c>
      <c r="AA127" s="89">
        <f t="shared" si="39"/>
        <v>16.881</v>
      </c>
      <c r="AB127" s="86" t="e">
        <f>VLOOKUP(A127,Enforcements!$C$7:$J$23,8,0)</f>
        <v>#N/A</v>
      </c>
      <c r="AC127" s="82" t="e">
        <f>VLOOKUP(A127,Enforcements!$C$7:$E$23,3,0)</f>
        <v>#N/A</v>
      </c>
      <c r="AD127" s="83" t="str">
        <f t="shared" si="40"/>
        <v>0214-19</v>
      </c>
      <c r="AE127" s="75" t="str">
        <f t="shared" si="41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127" s="75" t="str">
        <f t="shared" si="42"/>
        <v>"C:\Program Files (x86)\AstroGrep\AstroGrep.exe" /spath="C:\Users\stu\Documents\Analysis\2016-02-23 RTDC Observations" /stypes="*4008*20160720*" /stext=" 01:.+((prompt.+disp)|(slice.+state.+chan)|(ment ac)|(system.+state.+chan)|(\|lc)|(penalty)|(\[timeout))" /e /r /s</v>
      </c>
      <c r="AG127" s="1" t="str">
        <f t="shared" si="43"/>
        <v>EC</v>
      </c>
    </row>
    <row r="128" spans="1:33" hidden="1" x14ac:dyDescent="0.25">
      <c r="A128" s="49" t="s">
        <v>425</v>
      </c>
      <c r="B128" s="7">
        <v>4008</v>
      </c>
      <c r="C128" s="26" t="s">
        <v>59</v>
      </c>
      <c r="D128" s="26" t="s">
        <v>628</v>
      </c>
      <c r="E128" s="16">
        <v>42570.800011574072</v>
      </c>
      <c r="F128" s="16">
        <v>42570.802951388891</v>
      </c>
      <c r="G128" s="7">
        <v>4</v>
      </c>
      <c r="H128" s="16" t="s">
        <v>322</v>
      </c>
      <c r="I128" s="16">
        <v>42570.809837962966</v>
      </c>
      <c r="J128" s="7">
        <v>1</v>
      </c>
      <c r="K128" s="26" t="str">
        <f t="shared" si="30"/>
        <v>4007/4008</v>
      </c>
      <c r="L128" s="26" t="str">
        <f>VLOOKUP(A128,'Trips&amp;Operators'!$C$1:$E$10000,3,FALSE)</f>
        <v>COOLAHAN</v>
      </c>
      <c r="M128" s="6">
        <f t="shared" si="31"/>
        <v>6.8865740759065375E-3</v>
      </c>
      <c r="N128" s="7"/>
      <c r="O128" s="7"/>
      <c r="P128" s="7"/>
      <c r="Q128" s="27"/>
      <c r="R128" s="27"/>
      <c r="S128" s="45"/>
      <c r="T128" s="69" t="str">
        <f t="shared" si="33"/>
        <v>Southbound</v>
      </c>
      <c r="U128" s="96">
        <f>COUNTIFS(Variables!$M$2:$M$19,IF(T128="NorthBound","&gt;=","&lt;=")&amp;Y128,Variables!$M$2:$M$19,IF(T128="NorthBound","&lt;=","&gt;=")&amp;Z128)</f>
        <v>3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18:12:01-0600',mode:absolute,to:'2016-07-19 20:26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8" s="74" t="str">
        <f t="shared" si="35"/>
        <v>Y</v>
      </c>
      <c r="X128" s="92">
        <f t="shared" si="36"/>
        <v>0</v>
      </c>
      <c r="Y128" s="89">
        <f t="shared" si="37"/>
        <v>3.6781999999999999</v>
      </c>
      <c r="Z128" s="89">
        <f t="shared" si="38"/>
        <v>1.5800000000000002E-2</v>
      </c>
      <c r="AA128" s="89">
        <f t="shared" si="39"/>
        <v>3.6623999999999999</v>
      </c>
      <c r="AB128" s="86" t="e">
        <f>VLOOKUP(A128,Enforcements!$C$7:$J$23,8,0)</f>
        <v>#N/A</v>
      </c>
      <c r="AC128" s="82" t="e">
        <f>VLOOKUP(A128,Enforcements!$C$7:$E$23,3,0)</f>
        <v>#N/A</v>
      </c>
      <c r="AD128" s="83" t="str">
        <f t="shared" si="40"/>
        <v>0214-19</v>
      </c>
      <c r="AE128" s="75" t="str">
        <f t="shared" si="41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128" s="75" t="str">
        <f t="shared" si="42"/>
        <v>"C:\Program Files (x86)\AstroGrep\AstroGrep.exe" /spath="C:\Users\stu\Documents\Analysis\2016-02-23 RTDC Observations" /stypes="*4008*20160720*" /stext=" 01:.+((prompt.+disp)|(slice.+state.+chan)|(ment ac)|(system.+state.+chan)|(\|lc)|(penalty)|(\[timeout))" /e /r /s</v>
      </c>
      <c r="AG128" s="1" t="str">
        <f t="shared" si="43"/>
        <v>EC</v>
      </c>
    </row>
    <row r="129" spans="1:33" s="25" customFormat="1" hidden="1" x14ac:dyDescent="0.25">
      <c r="A129" s="49" t="s">
        <v>490</v>
      </c>
      <c r="B129" s="7">
        <v>4038</v>
      </c>
      <c r="C129" s="26" t="s">
        <v>59</v>
      </c>
      <c r="D129" s="26" t="s">
        <v>265</v>
      </c>
      <c r="E129" s="16">
        <v>42570.747303240743</v>
      </c>
      <c r="F129" s="16">
        <v>42570.74858796296</v>
      </c>
      <c r="G129" s="7">
        <v>1</v>
      </c>
      <c r="H129" s="16" t="s">
        <v>596</v>
      </c>
      <c r="I129" s="16">
        <v>42570.776782407411</v>
      </c>
      <c r="J129" s="7">
        <v>0</v>
      </c>
      <c r="K129" s="26" t="str">
        <f t="shared" si="30"/>
        <v>4037/4038</v>
      </c>
      <c r="L129" s="26" t="str">
        <f>VLOOKUP(A129,'Trips&amp;Operators'!$C$1:$E$10000,3,FALSE)</f>
        <v>SHOOK</v>
      </c>
      <c r="M129" s="6">
        <f t="shared" si="31"/>
        <v>2.8194444450491574E-2</v>
      </c>
      <c r="N129" s="7">
        <f t="shared" si="29"/>
        <v>40.600000008707866</v>
      </c>
      <c r="O129" s="7"/>
      <c r="P129" s="7"/>
      <c r="Q129" s="27"/>
      <c r="R129" s="27"/>
      <c r="S129" s="45">
        <f t="shared" si="32"/>
        <v>1</v>
      </c>
      <c r="T129" s="69" t="str">
        <f t="shared" si="33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16:56:07-0600',mode:absolute,to:'2016-07-19 19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9" s="74" t="str">
        <f t="shared" si="35"/>
        <v>N</v>
      </c>
      <c r="X129" s="92">
        <f t="shared" si="36"/>
        <v>1</v>
      </c>
      <c r="Y129" s="89">
        <f t="shared" si="37"/>
        <v>4.7300000000000002E-2</v>
      </c>
      <c r="Z129" s="89">
        <f t="shared" si="38"/>
        <v>23.337399999999999</v>
      </c>
      <c r="AA129" s="89">
        <f t="shared" si="39"/>
        <v>23.290099999999999</v>
      </c>
      <c r="AB129" s="86" t="e">
        <f>VLOOKUP(A129,Enforcements!$C$7:$J$23,8,0)</f>
        <v>#N/A</v>
      </c>
      <c r="AC129" s="82" t="e">
        <f>VLOOKUP(A129,Enforcements!$C$7:$E$23,3,0)</f>
        <v>#N/A</v>
      </c>
      <c r="AD129" s="83" t="str">
        <f t="shared" si="40"/>
        <v>0215-19</v>
      </c>
      <c r="AE129" s="75" t="str">
        <f t="shared" si="41"/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AF129" s="75" t="str">
        <f t="shared" si="42"/>
        <v>"C:\Program Files (x86)\AstroGrep\AstroGrep.exe" /spath="C:\Users\stu\Documents\Analysis\2016-02-23 RTDC Observations" /stypes="*4038*20160720*" /stext=" 00:.+((prompt.+disp)|(slice.+state.+chan)|(ment ac)|(system.+state.+chan)|(\|lc)|(penalty)|(\[timeout))" /e /r /s</v>
      </c>
      <c r="AG129" s="1" t="str">
        <f t="shared" si="43"/>
        <v>EC</v>
      </c>
    </row>
    <row r="130" spans="1:33" s="25" customFormat="1" x14ac:dyDescent="0.25">
      <c r="A130" s="49" t="s">
        <v>424</v>
      </c>
      <c r="B130" s="7">
        <v>4037</v>
      </c>
      <c r="C130" s="26" t="s">
        <v>59</v>
      </c>
      <c r="D130" s="26" t="s">
        <v>629</v>
      </c>
      <c r="E130" s="16">
        <v>42570.78334490741</v>
      </c>
      <c r="F130" s="16">
        <v>42570.784722222219</v>
      </c>
      <c r="G130" s="7">
        <v>1</v>
      </c>
      <c r="H130" s="16" t="s">
        <v>630</v>
      </c>
      <c r="I130" s="16">
        <v>42570.808356481481</v>
      </c>
      <c r="J130" s="7">
        <v>1</v>
      </c>
      <c r="K130" s="26" t="str">
        <f t="shared" si="30"/>
        <v>4037/4038</v>
      </c>
      <c r="L130" s="26" t="str">
        <f>VLOOKUP(A130,'Trips&amp;Operators'!$C$1:$E$10000,3,FALSE)</f>
        <v>SHOOK</v>
      </c>
      <c r="M130" s="6">
        <f t="shared" si="31"/>
        <v>2.3634259261598345E-2</v>
      </c>
      <c r="N130" s="7"/>
      <c r="O130" s="7"/>
      <c r="P130" s="7">
        <f>24*60*SUM($M130:$M131)</f>
        <v>45.166666674194857</v>
      </c>
      <c r="Q130" s="27"/>
      <c r="R130" s="27" t="s">
        <v>653</v>
      </c>
      <c r="S130" s="45">
        <f>SUM(U130:U131)/12</f>
        <v>0.5</v>
      </c>
      <c r="T130" s="69" t="str">
        <f t="shared" si="33"/>
        <v>Southbound</v>
      </c>
      <c r="U130" s="96">
        <f>COUNTIFS(Variables!$M$2:$M$19,IF(T130="NorthBound","&gt;=","&lt;=")&amp;Y130,Variables!$M$2:$M$19,IF(T130="NorthBound","&lt;=","&gt;=")&amp;Z130)</f>
        <v>3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17:48:01-0600',mode:absolute,to:'2016-07-19 20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0" s="74" t="str">
        <f t="shared" si="35"/>
        <v>Y</v>
      </c>
      <c r="X130" s="92">
        <f t="shared" si="36"/>
        <v>1</v>
      </c>
      <c r="Y130" s="89">
        <f t="shared" si="37"/>
        <v>23.3049</v>
      </c>
      <c r="Z130" s="89">
        <f t="shared" si="38"/>
        <v>6.4162999999999997</v>
      </c>
      <c r="AA130" s="89">
        <f t="shared" si="39"/>
        <v>16.8886</v>
      </c>
      <c r="AB130" s="86">
        <f>VLOOKUP(A130,Enforcements!$C$7:$J$23,8,0)</f>
        <v>78469</v>
      </c>
      <c r="AC130" s="82" t="str">
        <f>VLOOKUP(A130,Enforcements!$C$7:$E$23,3,0)</f>
        <v>GRADE CROSSING</v>
      </c>
      <c r="AD130" s="83" t="str">
        <f t="shared" si="40"/>
        <v>0216-19</v>
      </c>
      <c r="AE130" s="75" t="str">
        <f t="shared" si="41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130" s="75" t="str">
        <f t="shared" si="42"/>
        <v>"C:\Program Files (x86)\AstroGrep\AstroGrep.exe" /spath="C:\Users\stu\Documents\Analysis\2016-02-23 RTDC Observations" /stypes="*4037*20160720*" /stext=" 01:.+((prompt.+disp)|(slice.+state.+chan)|(ment ac)|(system.+state.+chan)|(\|lc)|(penalty)|(\[timeout))" /e /r /s</v>
      </c>
      <c r="AG130" s="1" t="str">
        <f t="shared" si="43"/>
        <v>EC</v>
      </c>
    </row>
    <row r="131" spans="1:33" s="25" customFormat="1" hidden="1" x14ac:dyDescent="0.25">
      <c r="A131" s="49" t="s">
        <v>424</v>
      </c>
      <c r="B131" s="7">
        <v>4037</v>
      </c>
      <c r="C131" s="26" t="s">
        <v>59</v>
      </c>
      <c r="D131" s="26" t="s">
        <v>631</v>
      </c>
      <c r="E131" s="16">
        <v>42570.813125000001</v>
      </c>
      <c r="F131" s="16">
        <v>42570.813796296294</v>
      </c>
      <c r="G131" s="7">
        <v>0</v>
      </c>
      <c r="H131" s="16" t="s">
        <v>61</v>
      </c>
      <c r="I131" s="16">
        <v>42570.821527777778</v>
      </c>
      <c r="J131" s="7">
        <v>1</v>
      </c>
      <c r="K131" s="26" t="str">
        <f t="shared" si="30"/>
        <v>4037/4038</v>
      </c>
      <c r="L131" s="26" t="str">
        <f>VLOOKUP(A131,'Trips&amp;Operators'!$C$1:$E$10000,3,FALSE)</f>
        <v>SHOOK</v>
      </c>
      <c r="M131" s="6">
        <f t="shared" si="31"/>
        <v>7.7314814843703061E-3</v>
      </c>
      <c r="N131" s="7"/>
      <c r="O131" s="7"/>
      <c r="P131" s="7"/>
      <c r="Q131" s="27"/>
      <c r="R131" s="27"/>
      <c r="S131" s="45"/>
      <c r="T131" s="69" t="str">
        <f t="shared" si="33"/>
        <v>Southbound</v>
      </c>
      <c r="U131" s="96">
        <f>COUNTIFS(Variables!$M$2:$M$19,IF(T131="NorthBound","&gt;=","&lt;=")&amp;Y131,Variables!$M$2:$M$19,IF(T131="NorthBound","&lt;=","&gt;=")&amp;Z131)</f>
        <v>3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18:30:54-0600',mode:absolute,to:'2016-07-19 20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74" t="str">
        <f t="shared" si="35"/>
        <v>Y</v>
      </c>
      <c r="X131" s="92">
        <f t="shared" si="36"/>
        <v>0</v>
      </c>
      <c r="Y131" s="89">
        <f t="shared" si="37"/>
        <v>3.6778</v>
      </c>
      <c r="Z131" s="89">
        <f t="shared" si="38"/>
        <v>1.52E-2</v>
      </c>
      <c r="AA131" s="89">
        <f t="shared" si="39"/>
        <v>3.6625999999999999</v>
      </c>
      <c r="AB131" s="86">
        <f>VLOOKUP(A131,Enforcements!$C$7:$J$23,8,0)</f>
        <v>78469</v>
      </c>
      <c r="AC131" s="82" t="str">
        <f>VLOOKUP(A131,Enforcements!$C$7:$E$23,3,0)</f>
        <v>GRADE CROSSING</v>
      </c>
      <c r="AD131" s="83" t="str">
        <f t="shared" si="40"/>
        <v>0216-19</v>
      </c>
      <c r="AE131" s="75" t="str">
        <f t="shared" si="41"/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AF131" s="75" t="str">
        <f t="shared" si="42"/>
        <v>"C:\Program Files (x86)\AstroGrep\AstroGrep.exe" /spath="C:\Users\stu\Documents\Analysis\2016-02-23 RTDC Observations" /stypes="*4037*20160720*" /stext=" 01:.+((prompt.+disp)|(slice.+state.+chan)|(ment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hidden="1" x14ac:dyDescent="0.25">
      <c r="A132" s="49" t="s">
        <v>469</v>
      </c>
      <c r="B132" s="7">
        <v>4011</v>
      </c>
      <c r="C132" s="26" t="s">
        <v>59</v>
      </c>
      <c r="D132" s="26" t="s">
        <v>147</v>
      </c>
      <c r="E132" s="16">
        <v>42570.757627314815</v>
      </c>
      <c r="F132" s="16">
        <v>42570.76053240741</v>
      </c>
      <c r="G132" s="7">
        <v>4</v>
      </c>
      <c r="H132" s="16" t="s">
        <v>296</v>
      </c>
      <c r="I132" s="16">
        <v>42570.785138888888</v>
      </c>
      <c r="J132" s="7">
        <v>0</v>
      </c>
      <c r="K132" s="26" t="str">
        <f t="shared" si="30"/>
        <v>4011/4012</v>
      </c>
      <c r="L132" s="26" t="str">
        <f>VLOOKUP(A132,'Trips&amp;Operators'!$C$1:$E$10000,3,FALSE)</f>
        <v>YANAI</v>
      </c>
      <c r="M132" s="6">
        <f t="shared" si="31"/>
        <v>2.4606481478258502E-2</v>
      </c>
      <c r="N132" s="7">
        <f t="shared" si="29"/>
        <v>35.433333328692243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NorthBound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17:10:59-0600',mode:absolute,to:'2016-07-19 19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2" s="74" t="str">
        <f t="shared" si="35"/>
        <v>N</v>
      </c>
      <c r="X132" s="92">
        <f t="shared" si="36"/>
        <v>1</v>
      </c>
      <c r="Y132" s="89">
        <f t="shared" si="37"/>
        <v>4.58E-2</v>
      </c>
      <c r="Z132" s="89">
        <f t="shared" si="38"/>
        <v>23.331800000000001</v>
      </c>
      <c r="AA132" s="89">
        <f t="shared" si="39"/>
        <v>23.286000000000001</v>
      </c>
      <c r="AB132" s="86" t="e">
        <f>VLOOKUP(A132,Enforcements!$C$7:$J$23,8,0)</f>
        <v>#N/A</v>
      </c>
      <c r="AC132" s="82" t="e">
        <f>VLOOKUP(A132,Enforcements!$C$7:$E$23,3,0)</f>
        <v>#N/A</v>
      </c>
      <c r="AD132" s="83" t="str">
        <f t="shared" si="40"/>
        <v>0217-19</v>
      </c>
      <c r="AE132" s="75" t="str">
        <f t="shared" si="41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132" s="75" t="str">
        <f t="shared" si="42"/>
        <v>"C:\Program Files (x86)\AstroGrep\AstroGrep.exe" /spath="C:\Users\stu\Documents\Analysis\2016-02-23 RTDC Observations" /stypes="*4011*20160720*" /stext=" 00:.+((prompt.+disp)|(slice.+state.+chan)|(ment ac)|(system.+state.+chan)|(\|lc)|(penalty)|(\[timeout))" /e /r /s</v>
      </c>
      <c r="AG132" s="1" t="str">
        <f t="shared" si="43"/>
        <v>EC</v>
      </c>
    </row>
    <row r="133" spans="1:33" s="25" customFormat="1" x14ac:dyDescent="0.25">
      <c r="A133" s="49" t="s">
        <v>491</v>
      </c>
      <c r="B133" s="7">
        <v>4012</v>
      </c>
      <c r="C133" s="26" t="s">
        <v>59</v>
      </c>
      <c r="D133" s="26" t="s">
        <v>591</v>
      </c>
      <c r="E133" s="16">
        <v>42570.786296296297</v>
      </c>
      <c r="F133" s="16">
        <v>42570.787222222221</v>
      </c>
      <c r="G133" s="7">
        <v>1</v>
      </c>
      <c r="H133" s="16" t="s">
        <v>632</v>
      </c>
      <c r="I133" s="16">
        <v>42570.815162037034</v>
      </c>
      <c r="J133" s="7">
        <v>0</v>
      </c>
      <c r="K133" s="26" t="str">
        <f t="shared" si="30"/>
        <v>4011/4012</v>
      </c>
      <c r="L133" s="26" t="str">
        <f>VLOOKUP(A133,'Trips&amp;Operators'!$C$1:$E$10000,3,FALSE)</f>
        <v>YANAI</v>
      </c>
      <c r="M133" s="6">
        <f t="shared" si="31"/>
        <v>2.7939814812270924E-2</v>
      </c>
      <c r="N133" s="7"/>
      <c r="O133" s="7"/>
      <c r="P133" s="7">
        <f t="shared" si="29"/>
        <v>40.233333329670131</v>
      </c>
      <c r="Q133" s="27"/>
      <c r="R133" s="27" t="s">
        <v>653</v>
      </c>
      <c r="S133" s="45">
        <f t="shared" si="32"/>
        <v>0.25</v>
      </c>
      <c r="T133" s="69" t="str">
        <f t="shared" si="33"/>
        <v>Southbound</v>
      </c>
      <c r="U133" s="96">
        <f>COUNTIFS(Variables!$M$2:$M$19,IF(T133="NorthBound","&gt;=","&lt;=")&amp;Y133,Variables!$M$2:$M$19,IF(T133="NorthBound","&lt;=","&gt;=")&amp;Z133)</f>
        <v>3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17:52:16-0600',mode:absolute,to:'2016-07-19 20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3" s="74" t="str">
        <f t="shared" si="35"/>
        <v>Y</v>
      </c>
      <c r="X133" s="92">
        <f t="shared" si="36"/>
        <v>1</v>
      </c>
      <c r="Y133" s="89">
        <f t="shared" si="37"/>
        <v>23.301100000000002</v>
      </c>
      <c r="Z133" s="89">
        <f t="shared" si="38"/>
        <v>6.4145000000000003</v>
      </c>
      <c r="AA133" s="89">
        <f t="shared" si="39"/>
        <v>16.886600000000001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0"/>
        <v>0218-19</v>
      </c>
      <c r="AE133" s="75" t="str">
        <f t="shared" si="41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133" s="75" t="str">
        <f t="shared" si="42"/>
        <v>"C:\Program Files (x86)\AstroGrep\AstroGrep.exe" /spath="C:\Users\stu\Documents\Analysis\2016-02-23 RTDC Observations" /stypes="*4012*20160720*" /stext=" 01:.+((prompt.+disp)|(slice.+state.+chan)|(ment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hidden="1" x14ac:dyDescent="0.25">
      <c r="A134" s="49" t="s">
        <v>468</v>
      </c>
      <c r="B134" s="7">
        <v>4016</v>
      </c>
      <c r="C134" s="26" t="s">
        <v>59</v>
      </c>
      <c r="D134" s="26" t="s">
        <v>633</v>
      </c>
      <c r="E134" s="16">
        <v>42570.771331018521</v>
      </c>
      <c r="F134" s="16">
        <v>42570.772812499999</v>
      </c>
      <c r="G134" s="7">
        <v>2</v>
      </c>
      <c r="H134" s="16" t="s">
        <v>266</v>
      </c>
      <c r="I134" s="16">
        <v>42570.797256944446</v>
      </c>
      <c r="J134" s="7">
        <v>0</v>
      </c>
      <c r="K134" s="26" t="str">
        <f t="shared" si="30"/>
        <v>4015/4016</v>
      </c>
      <c r="L134" s="26" t="str">
        <f>VLOOKUP(A134,'Trips&amp;Operators'!$C$1:$E$10000,3,FALSE)</f>
        <v>CHANDLER</v>
      </c>
      <c r="M134" s="6">
        <f t="shared" si="31"/>
        <v>2.4444444446999114E-2</v>
      </c>
      <c r="N134" s="7">
        <f t="shared" si="29"/>
        <v>35.200000003678724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NorthBound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17:30:43-0600',mode:absolute,to:'2016-07-19 20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4" s="74" t="str">
        <f t="shared" si="35"/>
        <v>N</v>
      </c>
      <c r="X134" s="92">
        <f t="shared" si="36"/>
        <v>1</v>
      </c>
      <c r="Y134" s="89">
        <f t="shared" si="37"/>
        <v>0.14940000000000001</v>
      </c>
      <c r="Z134" s="89">
        <f t="shared" si="38"/>
        <v>23.331700000000001</v>
      </c>
      <c r="AA134" s="89">
        <f t="shared" si="39"/>
        <v>23.182300000000001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0"/>
        <v>0219-19</v>
      </c>
      <c r="AE134" s="75" t="str">
        <f t="shared" si="41"/>
        <v>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 &amp; aws s3 cp s3://rtdc.mdm.uploadarchive/RTDC4016/2016-07-20/ "C:\Users\stu\Documents\Analysis\2016-02-23 RTDC Observations"\RTDC4016\2016-07-20 --recursive &amp; "C:\Users\stu\Documents\GitHub\mrs-test-scripts\Headless Mode &amp; Sideloading\WalkAndUnGZ.bat" "C:\Users\stu\Documents\Analysis\2016-02-23 RTDC Observations"\RTDC4016\2016-07-20</v>
      </c>
      <c r="AF134" s="75" t="str">
        <f t="shared" si="42"/>
        <v>"C:\Program Files (x86)\AstroGrep\AstroGrep.exe" /spath="C:\Users\stu\Documents\Analysis\2016-02-23 RTDC Observations" /stypes="*4016*20160720*" /stext=" 01:.+((prompt.+disp)|(slice.+state.+chan)|(ment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hidden="1" x14ac:dyDescent="0.25">
      <c r="A135" s="49" t="s">
        <v>466</v>
      </c>
      <c r="B135" s="7">
        <v>4015</v>
      </c>
      <c r="C135" s="26" t="s">
        <v>59</v>
      </c>
      <c r="D135" s="26" t="s">
        <v>331</v>
      </c>
      <c r="E135" s="16">
        <v>42570.807789351849</v>
      </c>
      <c r="F135" s="16">
        <v>42570.809062499997</v>
      </c>
      <c r="G135" s="7">
        <v>1</v>
      </c>
      <c r="H135" s="16" t="s">
        <v>634</v>
      </c>
      <c r="I135" s="16">
        <v>42570.837511574071</v>
      </c>
      <c r="J135" s="7">
        <v>0</v>
      </c>
      <c r="K135" s="26" t="str">
        <f t="shared" si="30"/>
        <v>4015/4016</v>
      </c>
      <c r="L135" s="26" t="str">
        <f>VLOOKUP(A135,'Trips&amp;Operators'!$C$1:$E$10000,3,FALSE)</f>
        <v>CHANDLER</v>
      </c>
      <c r="M135" s="6">
        <f t="shared" si="31"/>
        <v>2.8449074074160308E-2</v>
      </c>
      <c r="N135" s="7">
        <f t="shared" si="29"/>
        <v>40.966666666790843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Southbound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18:23:13-0600',mode:absolute,to:'2016-07-19 21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5" s="74" t="str">
        <f t="shared" si="35"/>
        <v>N</v>
      </c>
      <c r="X135" s="92">
        <f t="shared" si="36"/>
        <v>1</v>
      </c>
      <c r="Y135" s="89">
        <f t="shared" si="37"/>
        <v>23.301300000000001</v>
      </c>
      <c r="Z135" s="89">
        <f t="shared" si="38"/>
        <v>1.72E-2</v>
      </c>
      <c r="AA135" s="89">
        <f t="shared" si="39"/>
        <v>23.284100000000002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0"/>
        <v>0220-19</v>
      </c>
      <c r="AE135" s="75" t="str">
        <f t="shared" si="41"/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AF135" s="75" t="str">
        <f t="shared" si="42"/>
        <v>"C:\Program Files (x86)\AstroGrep\AstroGrep.exe" /spath="C:\Users\stu\Documents\Analysis\2016-02-23 RTDC Observations" /stypes="*4015*20160720*" /stext=" 02:.+((prompt.+disp)|(slice.+state.+chan)|(ment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hidden="1" x14ac:dyDescent="0.25">
      <c r="A136" s="49" t="s">
        <v>467</v>
      </c>
      <c r="B136" s="7">
        <v>4029</v>
      </c>
      <c r="C136" s="26" t="s">
        <v>59</v>
      </c>
      <c r="D136" s="26" t="s">
        <v>635</v>
      </c>
      <c r="E136" s="16">
        <v>42570.786793981482</v>
      </c>
      <c r="F136" s="16">
        <v>42570.788032407407</v>
      </c>
      <c r="G136" s="7">
        <v>1</v>
      </c>
      <c r="H136" s="16" t="s">
        <v>562</v>
      </c>
      <c r="I136" s="16">
        <v>42570.828067129631</v>
      </c>
      <c r="J136" s="7">
        <v>0</v>
      </c>
      <c r="K136" s="26" t="str">
        <f t="shared" si="30"/>
        <v>4029/4030</v>
      </c>
      <c r="L136" s="26" t="str">
        <f>VLOOKUP(A136,'Trips&amp;Operators'!$C$1:$E$10000,3,FALSE)</f>
        <v>STAMBAUGH</v>
      </c>
      <c r="M136" s="6">
        <f t="shared" si="31"/>
        <v>4.0034722223936114E-2</v>
      </c>
      <c r="N136" s="7">
        <f t="shared" si="29"/>
        <v>57.650000002468005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NorthBound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17:52:59-0600',mode:absolute,to:'2016-07-19 20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6" s="74" t="str">
        <f t="shared" si="35"/>
        <v>N</v>
      </c>
      <c r="X136" s="92">
        <f t="shared" si="36"/>
        <v>1</v>
      </c>
      <c r="Y136" s="89">
        <f t="shared" si="37"/>
        <v>4.9700000000000001E-2</v>
      </c>
      <c r="Z136" s="89">
        <f t="shared" si="38"/>
        <v>23.329499999999999</v>
      </c>
      <c r="AA136" s="89">
        <f t="shared" si="39"/>
        <v>23.279799999999998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0"/>
        <v>0221-19</v>
      </c>
      <c r="AE136" s="75" t="str">
        <f t="shared" si="41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136" s="75" t="str">
        <f t="shared" si="42"/>
        <v>"C:\Program Files (x86)\AstroGrep\AstroGrep.exe" /spath="C:\Users\stu\Documents\Analysis\2016-02-23 RTDC Observations" /stypes="*4029*20160720*" /stext=" 01:.+((prompt.+disp)|(slice.+state.+chan)|(ment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hidden="1" x14ac:dyDescent="0.25">
      <c r="A137" s="49" t="s">
        <v>426</v>
      </c>
      <c r="B137" s="7">
        <v>4030</v>
      </c>
      <c r="C137" s="26" t="s">
        <v>59</v>
      </c>
      <c r="D137" s="26" t="s">
        <v>208</v>
      </c>
      <c r="E137" s="16">
        <v>42570.829791666663</v>
      </c>
      <c r="F137" s="16">
        <v>42570.830671296295</v>
      </c>
      <c r="G137" s="7">
        <v>1</v>
      </c>
      <c r="H137" s="16" t="s">
        <v>61</v>
      </c>
      <c r="I137" s="16">
        <v>42570.857314814813</v>
      </c>
      <c r="J137" s="7">
        <v>1</v>
      </c>
      <c r="K137" s="26" t="str">
        <f t="shared" si="30"/>
        <v>4029/4030</v>
      </c>
      <c r="L137" s="26" t="str">
        <f>VLOOKUP(A137,'Trips&amp;Operators'!$C$1:$E$10000,3,FALSE)</f>
        <v>STAMBAUGH</v>
      </c>
      <c r="M137" s="6">
        <f t="shared" si="31"/>
        <v>2.6643518518540077E-2</v>
      </c>
      <c r="N137" s="7">
        <f t="shared" si="29"/>
        <v>38.366666666697711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Southbound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18:54:54-0600',mode:absolute,to:'2016-07-19 21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7" s="74" t="str">
        <f t="shared" si="35"/>
        <v>N</v>
      </c>
      <c r="X137" s="92">
        <f t="shared" si="36"/>
        <v>1</v>
      </c>
      <c r="Y137" s="89">
        <f t="shared" si="37"/>
        <v>23.298300000000001</v>
      </c>
      <c r="Z137" s="89">
        <f t="shared" si="38"/>
        <v>1.52E-2</v>
      </c>
      <c r="AA137" s="89">
        <f t="shared" si="39"/>
        <v>23.283100000000001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0"/>
        <v>0222-19</v>
      </c>
      <c r="AE137" s="75" t="str">
        <f t="shared" si="41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137" s="75" t="str">
        <f t="shared" si="42"/>
        <v>"C:\Program Files (x86)\AstroGrep\AstroGrep.exe" /spath="C:\Users\stu\Documents\Analysis\2016-02-23 RTDC Observations" /stypes="*4030*20160720*" /stext=" 02:.+((prompt.+disp)|(slice.+state.+chan)|(ment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hidden="1" x14ac:dyDescent="0.25">
      <c r="A138" s="49" t="s">
        <v>465</v>
      </c>
      <c r="B138" s="7">
        <v>4007</v>
      </c>
      <c r="C138" s="26" t="s">
        <v>59</v>
      </c>
      <c r="D138" s="26" t="s">
        <v>70</v>
      </c>
      <c r="E138" s="16">
        <v>42570.811249999999</v>
      </c>
      <c r="F138" s="16">
        <v>42570.812442129631</v>
      </c>
      <c r="G138" s="7">
        <v>1</v>
      </c>
      <c r="H138" s="16" t="s">
        <v>317</v>
      </c>
      <c r="I138" s="16">
        <v>42570.838888888888</v>
      </c>
      <c r="J138" s="7">
        <v>0</v>
      </c>
      <c r="K138" s="26" t="str">
        <f t="shared" si="30"/>
        <v>4007/4008</v>
      </c>
      <c r="L138" s="26" t="str">
        <f>VLOOKUP(A138,'Trips&amp;Operators'!$C$1:$E$10000,3,FALSE)</f>
        <v>COOLAHAN</v>
      </c>
      <c r="M138" s="6">
        <f t="shared" si="31"/>
        <v>2.6446759256941732E-2</v>
      </c>
      <c r="N138" s="7">
        <f t="shared" si="29"/>
        <v>38.083333329996094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NorthBound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18:28:12-0600',mode:absolute,to:'2016-07-19 21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8" s="74" t="str">
        <f t="shared" si="35"/>
        <v>N</v>
      </c>
      <c r="X138" s="92">
        <f t="shared" si="36"/>
        <v>1</v>
      </c>
      <c r="Y138" s="89">
        <f t="shared" si="37"/>
        <v>4.5699999999999998E-2</v>
      </c>
      <c r="Z138" s="89">
        <f t="shared" si="38"/>
        <v>23.3323</v>
      </c>
      <c r="AA138" s="89">
        <f t="shared" si="39"/>
        <v>23.2866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0"/>
        <v>0223-19</v>
      </c>
      <c r="AE138" s="75" t="str">
        <f t="shared" si="41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138" s="75" t="str">
        <f t="shared" si="42"/>
        <v>"C:\Program Files (x86)\AstroGrep\AstroGrep.exe" /spath="C:\Users\stu\Documents\Analysis\2016-02-23 RTDC Observations" /stypes="*4007*20160720*" /stext=" 02:.+((prompt.+disp)|(slice.+state.+chan)|(ment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hidden="1" x14ac:dyDescent="0.25">
      <c r="A139" s="49" t="s">
        <v>439</v>
      </c>
      <c r="B139" s="7">
        <v>4008</v>
      </c>
      <c r="C139" s="26" t="s">
        <v>59</v>
      </c>
      <c r="D139" s="26" t="s">
        <v>208</v>
      </c>
      <c r="E139" s="16">
        <v>42570.846296296295</v>
      </c>
      <c r="F139" s="16">
        <v>42570.848379629628</v>
      </c>
      <c r="G139" s="7">
        <v>2</v>
      </c>
      <c r="H139" s="16" t="s">
        <v>201</v>
      </c>
      <c r="I139" s="16">
        <v>42570.879317129627</v>
      </c>
      <c r="J139" s="7">
        <v>0</v>
      </c>
      <c r="K139" s="26" t="str">
        <f t="shared" si="30"/>
        <v>4007/4008</v>
      </c>
      <c r="L139" s="26" t="str">
        <f>VLOOKUP(A139,'Trips&amp;Operators'!$C$1:$E$10000,3,FALSE)</f>
        <v>COOLAHAN</v>
      </c>
      <c r="M139" s="6">
        <f t="shared" si="31"/>
        <v>3.0937499999708962E-2</v>
      </c>
      <c r="N139" s="7">
        <f t="shared" ref="N139:N160" si="44">24*60*SUM($M139:$M139)</f>
        <v>44.549999999580905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Southbound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19:18:40-0600',mode:absolute,to:'2016-07-19 22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9" s="74" t="str">
        <f t="shared" si="35"/>
        <v>N</v>
      </c>
      <c r="X139" s="92">
        <f t="shared" si="36"/>
        <v>1</v>
      </c>
      <c r="Y139" s="89">
        <f t="shared" si="37"/>
        <v>23.298300000000001</v>
      </c>
      <c r="Z139" s="89">
        <f t="shared" si="38"/>
        <v>1.41E-2</v>
      </c>
      <c r="AA139" s="89">
        <f t="shared" si="39"/>
        <v>23.284200000000002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0"/>
        <v>0224-19</v>
      </c>
      <c r="AE139" s="75" t="str">
        <f t="shared" si="41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139" s="75" t="str">
        <f t="shared" si="42"/>
        <v>"C:\Program Files (x86)\AstroGrep\AstroGrep.exe" /spath="C:\Users\stu\Documents\Analysis\2016-02-23 RTDC Observations" /stypes="*4008*20160720*"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hidden="1" x14ac:dyDescent="0.25">
      <c r="A140" s="49" t="s">
        <v>463</v>
      </c>
      <c r="B140" s="7">
        <v>4011</v>
      </c>
      <c r="C140" s="26" t="s">
        <v>59</v>
      </c>
      <c r="D140" s="26" t="s">
        <v>221</v>
      </c>
      <c r="E140" s="16">
        <v>42570.829826388886</v>
      </c>
      <c r="F140" s="16">
        <v>42570.830740740741</v>
      </c>
      <c r="G140" s="7">
        <v>1</v>
      </c>
      <c r="H140" s="16" t="s">
        <v>636</v>
      </c>
      <c r="I140" s="16">
        <v>42570.859375</v>
      </c>
      <c r="J140" s="7">
        <v>0</v>
      </c>
      <c r="K140" s="26" t="str">
        <f t="shared" si="30"/>
        <v>4011/4012</v>
      </c>
      <c r="L140" s="26" t="str">
        <f>VLOOKUP(A140,'Trips&amp;Operators'!$C$1:$E$10000,3,FALSE)</f>
        <v>YANAI</v>
      </c>
      <c r="M140" s="6">
        <f t="shared" si="31"/>
        <v>2.8634259258979E-2</v>
      </c>
      <c r="N140" s="7">
        <f t="shared" si="44"/>
        <v>41.23333333292976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NorthBound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18:54:57-0600',mode:absolute,to:'2016-07-19 21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0" s="74" t="str">
        <f t="shared" si="35"/>
        <v>N</v>
      </c>
      <c r="X140" s="92">
        <f t="shared" si="36"/>
        <v>1</v>
      </c>
      <c r="Y140" s="89">
        <f t="shared" si="37"/>
        <v>4.3999999999999997E-2</v>
      </c>
      <c r="Z140" s="89">
        <f t="shared" si="38"/>
        <v>23.3308</v>
      </c>
      <c r="AA140" s="89">
        <f t="shared" si="39"/>
        <v>23.286799999999999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si="40"/>
        <v>0225-19</v>
      </c>
      <c r="AE140" s="75" t="str">
        <f t="shared" si="41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140" s="75" t="str">
        <f t="shared" si="42"/>
        <v>"C:\Program Files (x86)\AstroGrep\AstroGrep.exe" /spath="C:\Users\stu\Documents\Analysis\2016-02-23 RTDC Observations" /stypes="*4011*20160720*" /stext=" 02:.+((prompt.+disp)|(slice.+state.+chan)|(ment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hidden="1" x14ac:dyDescent="0.25">
      <c r="A141" s="49" t="s">
        <v>518</v>
      </c>
      <c r="B141" s="7">
        <v>4012</v>
      </c>
      <c r="C141" s="26" t="s">
        <v>59</v>
      </c>
      <c r="D141" s="26" t="s">
        <v>220</v>
      </c>
      <c r="E141" s="16">
        <v>42570.870069444441</v>
      </c>
      <c r="F141" s="16">
        <v>42570.870891203704</v>
      </c>
      <c r="G141" s="7">
        <v>1</v>
      </c>
      <c r="H141" s="16" t="s">
        <v>181</v>
      </c>
      <c r="I141" s="16">
        <v>42570.897789351853</v>
      </c>
      <c r="J141" s="7">
        <v>0</v>
      </c>
      <c r="K141" s="26" t="str">
        <f t="shared" si="30"/>
        <v>4011/4012</v>
      </c>
      <c r="L141" s="26" t="str">
        <f>VLOOKUP(A141,'Trips&amp;Operators'!$C$1:$E$10000,3,FALSE)</f>
        <v>YANAI</v>
      </c>
      <c r="M141" s="6">
        <f t="shared" si="31"/>
        <v>2.6898148149484769E-2</v>
      </c>
      <c r="N141" s="7">
        <f t="shared" si="44"/>
        <v>38.733333335258067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Southbound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https://search-rtdc-monitor-bjffxe2xuh6vdkpspy63sjmuny.us-east-1.es.amazonaws.com/_plugin/kibana/#/discover/Steve-Slow-Train-Analysis-(2080s-and-2083s)?_g=(refreshInterval:(display:Off,section:0,value:0),time:(from:'2016-07-19 19:52:54-0600',mode:absolute,to:'2016-07-19 22:32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1" s="74" t="str">
        <f t="shared" si="35"/>
        <v>N</v>
      </c>
      <c r="X141" s="92">
        <f t="shared" si="36"/>
        <v>1</v>
      </c>
      <c r="Y141" s="89">
        <f t="shared" si="37"/>
        <v>23.298500000000001</v>
      </c>
      <c r="Z141" s="89">
        <f t="shared" si="38"/>
        <v>1.3899999999999999E-2</v>
      </c>
      <c r="AA141" s="89">
        <f t="shared" si="39"/>
        <v>23.284600000000001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40"/>
        <v>0226-19</v>
      </c>
      <c r="AE141" s="75" t="str">
        <f t="shared" si="41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141" s="75" t="str">
        <f t="shared" si="42"/>
        <v>"C:\Program Files (x86)\AstroGrep\AstroGrep.exe" /spath="C:\Users\stu\Documents\Analysis\2016-02-23 RTDC Observations" /stypes="*4012*20160720*" /stext=" 03:.+((prompt.+disp)|(slice.+state.+chan)|(ment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hidden="1" x14ac:dyDescent="0.25">
      <c r="A142" s="49" t="s">
        <v>535</v>
      </c>
      <c r="B142" s="7">
        <v>4016</v>
      </c>
      <c r="C142" s="26" t="s">
        <v>59</v>
      </c>
      <c r="D142" s="26" t="s">
        <v>268</v>
      </c>
      <c r="E142" s="16">
        <v>42570.852708333332</v>
      </c>
      <c r="F142" s="16">
        <v>42570.853784722225</v>
      </c>
      <c r="G142" s="7">
        <v>1</v>
      </c>
      <c r="H142" s="16" t="s">
        <v>324</v>
      </c>
      <c r="I142" s="16">
        <v>42570.879236111112</v>
      </c>
      <c r="J142" s="7">
        <v>0</v>
      </c>
      <c r="K142" s="26" t="str">
        <f t="shared" ref="K142:K160" si="45">IF(ISEVEN(B142),(B142-1)&amp;"/"&amp;B142,B142&amp;"/"&amp;(B142+1))</f>
        <v>4015/4016</v>
      </c>
      <c r="L142" s="26" t="str">
        <f>VLOOKUP(A142,'Trips&amp;Operators'!$C$1:$E$10000,3,FALSE)</f>
        <v>CHANDLER</v>
      </c>
      <c r="M142" s="6">
        <f t="shared" ref="M142:M160" si="46">I142-F142</f>
        <v>2.545138888672227E-2</v>
      </c>
      <c r="N142" s="7">
        <f t="shared" si="44"/>
        <v>36.649999996880069</v>
      </c>
      <c r="O142" s="7"/>
      <c r="P142" s="7"/>
      <c r="Q142" s="27"/>
      <c r="R142" s="27"/>
      <c r="S142" s="45">
        <f t="shared" ref="S142:S160" si="47">SUM(U142:U142)/12</f>
        <v>1</v>
      </c>
      <c r="T142" s="69" t="str">
        <f t="shared" ref="T142:T160" si="48">IF(ISEVEN(LEFT(A142,3)),"Southbound","NorthBound")</f>
        <v>NorthBound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ref="V142:V160" si="49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https://search-rtdc-monitor-bjffxe2xuh6vdkpspy63sjmuny.us-east-1.es.amazonaws.com/_plugin/kibana/#/discover/Steve-Slow-Train-Analysis-(2080s-and-2083s)?_g=(refreshInterval:(display:Off,section:0,value:0),time:(from:'2016-07-19 19:27:54-0600',mode:absolute,to:'2016-07-19 22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2" s="74" t="str">
        <f t="shared" ref="W142:W160" si="50">IF(AA142&lt;23,"Y","N")</f>
        <v>N</v>
      </c>
      <c r="X142" s="92">
        <f t="shared" ref="X142:X160" si="51">VALUE(LEFT(A142,3))-VALUE(LEFT(A141,3))</f>
        <v>1</v>
      </c>
      <c r="Y142" s="89">
        <f t="shared" ref="Y142:Y160" si="52">RIGHT(D142,LEN(D142)-4)/10000</f>
        <v>4.6699999999999998E-2</v>
      </c>
      <c r="Z142" s="89">
        <f t="shared" ref="Z142:Z160" si="53">RIGHT(H142,LEN(H142)-4)/10000</f>
        <v>23.328700000000001</v>
      </c>
      <c r="AA142" s="89">
        <f t="shared" ref="AA142:AA160" si="54">ABS(Z142-Y142)</f>
        <v>23.282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ref="AD142:AD160" si="55">IF(LEN(A142)=6,"0"&amp;A142,A142)</f>
        <v>0227-19</v>
      </c>
      <c r="AE142" s="75" t="str">
        <f t="shared" ref="AE142:AE160" si="56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 &amp; aws s3 cp s3://rtdc.mdm.uploadarchive/RTDC4016/2016-07-20/ "C:\Users\stu\Documents\Analysis\2016-02-23 RTDC Observations"\RTDC4016\2016-07-20 --recursive &amp; "C:\Users\stu\Documents\GitHub\mrs-test-scripts\Headless Mode &amp; Sideloading\WalkAndUnGZ.bat" "C:\Users\stu\Documents\Analysis\2016-02-23 RTDC Observations"\RTDC4016\2016-07-20</v>
      </c>
      <c r="AF142" s="75" t="str">
        <f t="shared" ref="AF142:AF160" si="57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/stypes="*4016*20160720*" /stext=" 03:.+((prompt.+disp)|(slice.+state.+chan)|(ment ac)|(system.+state.+chan)|(\|lc)|(penalty)|(\[timeout))" /e /r /s</v>
      </c>
      <c r="AG142" s="1" t="str">
        <f t="shared" ref="AG142:AG160" si="58">IF(VALUE(LEFT(A142,3))&lt;300,"EC","NWGL")</f>
        <v>EC</v>
      </c>
    </row>
    <row r="143" spans="1:33" s="25" customFormat="1" hidden="1" x14ac:dyDescent="0.25">
      <c r="A143" s="49" t="s">
        <v>461</v>
      </c>
      <c r="B143" s="7">
        <v>4015</v>
      </c>
      <c r="C143" s="26" t="s">
        <v>59</v>
      </c>
      <c r="D143" s="26" t="s">
        <v>637</v>
      </c>
      <c r="E143" s="16">
        <v>42570.893252314818</v>
      </c>
      <c r="F143" s="16">
        <v>42570.894166666665</v>
      </c>
      <c r="G143" s="7">
        <v>1</v>
      </c>
      <c r="H143" s="16" t="s">
        <v>342</v>
      </c>
      <c r="I143" s="16">
        <v>42570.920682870368</v>
      </c>
      <c r="J143" s="7">
        <v>0</v>
      </c>
      <c r="K143" s="26" t="str">
        <f t="shared" si="45"/>
        <v>4015/4016</v>
      </c>
      <c r="L143" s="26" t="str">
        <f>VLOOKUP(A143,'Trips&amp;Operators'!$C$1:$E$10000,3,FALSE)</f>
        <v>CHANDLER</v>
      </c>
      <c r="M143" s="6">
        <f t="shared" si="46"/>
        <v>2.6516203703067731E-2</v>
      </c>
      <c r="N143" s="7">
        <f t="shared" si="44"/>
        <v>38.183333332417533</v>
      </c>
      <c r="O143" s="7"/>
      <c r="P143" s="7"/>
      <c r="Q143" s="27"/>
      <c r="R143" s="27"/>
      <c r="S143" s="45">
        <f t="shared" si="47"/>
        <v>1</v>
      </c>
      <c r="T143" s="69" t="str">
        <f t="shared" si="48"/>
        <v>Southbound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20:26:17-0600',mode:absolute,to:'2016-07-19 23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3" s="74" t="str">
        <f t="shared" si="50"/>
        <v>N</v>
      </c>
      <c r="X143" s="92">
        <f t="shared" si="51"/>
        <v>1</v>
      </c>
      <c r="Y143" s="89">
        <f t="shared" si="52"/>
        <v>23.2547</v>
      </c>
      <c r="Z143" s="89">
        <f t="shared" si="53"/>
        <v>1.6899999999999998E-2</v>
      </c>
      <c r="AA143" s="89">
        <f t="shared" si="54"/>
        <v>23.2378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si="55"/>
        <v>0228-19</v>
      </c>
      <c r="AE143" s="75" t="str">
        <f t="shared" si="56"/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AF143" s="75" t="str">
        <f t="shared" si="57"/>
        <v>"C:\Program Files (x86)\AstroGrep\AstroGrep.exe" /spath="C:\Users\stu\Documents\Analysis\2016-02-23 RTDC Observations" /stypes="*4015*20160720*" /stext=" 04:.+((prompt.+disp)|(slice.+state.+chan)|(ment ac)|(system.+state.+chan)|(\|lc)|(penalty)|(\[timeout))" /e /r /s</v>
      </c>
      <c r="AG143" s="1" t="str">
        <f t="shared" si="58"/>
        <v>EC</v>
      </c>
    </row>
    <row r="144" spans="1:33" s="25" customFormat="1" hidden="1" x14ac:dyDescent="0.25">
      <c r="A144" s="49" t="s">
        <v>427</v>
      </c>
      <c r="B144" s="7">
        <v>4029</v>
      </c>
      <c r="C144" s="26" t="s">
        <v>59</v>
      </c>
      <c r="D144" s="26" t="s">
        <v>638</v>
      </c>
      <c r="E144" s="16">
        <v>42570.86273148148</v>
      </c>
      <c r="F144" s="16">
        <v>42570.863599537035</v>
      </c>
      <c r="G144" s="7">
        <v>1</v>
      </c>
      <c r="H144" s="16" t="s">
        <v>562</v>
      </c>
      <c r="I144" s="16">
        <v>42570.899942129632</v>
      </c>
      <c r="J144" s="7">
        <v>1</v>
      </c>
      <c r="K144" s="26" t="str">
        <f t="shared" si="45"/>
        <v>4029/4030</v>
      </c>
      <c r="L144" s="26" t="str">
        <f>VLOOKUP(A144,'Trips&amp;Operators'!$C$1:$E$10000,3,FALSE)</f>
        <v>LEVERE</v>
      </c>
      <c r="M144" s="6">
        <f t="shared" si="46"/>
        <v>3.6342592597065959E-2</v>
      </c>
      <c r="N144" s="7">
        <f t="shared" si="44"/>
        <v>52.333333339774981</v>
      </c>
      <c r="O144" s="7"/>
      <c r="P144" s="7"/>
      <c r="Q144" s="27"/>
      <c r="R144" s="27"/>
      <c r="S144" s="45">
        <f t="shared" si="47"/>
        <v>1</v>
      </c>
      <c r="T144" s="69" t="str">
        <f t="shared" si="48"/>
        <v>NorthBound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19:42:20-0600',mode:absolute,to:'2016-07-19 22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4" s="74" t="str">
        <f t="shared" si="50"/>
        <v>N</v>
      </c>
      <c r="X144" s="92">
        <f t="shared" si="51"/>
        <v>1</v>
      </c>
      <c r="Y144" s="89">
        <f t="shared" si="52"/>
        <v>4.9099999999999998E-2</v>
      </c>
      <c r="Z144" s="89">
        <f t="shared" si="53"/>
        <v>23.329499999999999</v>
      </c>
      <c r="AA144" s="89">
        <f t="shared" si="54"/>
        <v>23.2804</v>
      </c>
      <c r="AB144" s="86" t="e">
        <f>VLOOKUP(A144,Enforcements!$C$7:$J$23,8,0)</f>
        <v>#N/A</v>
      </c>
      <c r="AC144" s="82" t="e">
        <f>VLOOKUP(A144,Enforcements!$C$7:$E$23,3,0)</f>
        <v>#N/A</v>
      </c>
      <c r="AD144" s="83" t="str">
        <f t="shared" si="55"/>
        <v>0229-19</v>
      </c>
      <c r="AE144" s="75" t="str">
        <f t="shared" si="56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144" s="75" t="str">
        <f t="shared" si="57"/>
        <v>"C:\Program Files (x86)\AstroGrep\AstroGrep.exe" /spath="C:\Users\stu\Documents\Analysis\2016-02-23 RTDC Observations" /stypes="*4029*20160720*" /stext=" 03:.+((prompt.+disp)|(slice.+state.+chan)|(ment ac)|(system.+state.+chan)|(\|lc)|(penalty)|(\[timeout))" /e /r /s</v>
      </c>
      <c r="AG144" s="1" t="str">
        <f t="shared" si="58"/>
        <v>EC</v>
      </c>
    </row>
    <row r="145" spans="1:33" s="25" customFormat="1" hidden="1" x14ac:dyDescent="0.25">
      <c r="A145" s="49" t="s">
        <v>536</v>
      </c>
      <c r="B145" s="7">
        <v>4030</v>
      </c>
      <c r="C145" s="26" t="s">
        <v>59</v>
      </c>
      <c r="D145" s="26" t="s">
        <v>639</v>
      </c>
      <c r="E145" s="16">
        <v>42570.907511574071</v>
      </c>
      <c r="F145" s="16">
        <v>42570.908715277779</v>
      </c>
      <c r="G145" s="7">
        <v>1</v>
      </c>
      <c r="H145" s="16" t="s">
        <v>137</v>
      </c>
      <c r="I145" s="16">
        <v>42570.940300925926</v>
      </c>
      <c r="J145" s="7">
        <v>0</v>
      </c>
      <c r="K145" s="26" t="str">
        <f t="shared" si="45"/>
        <v>4029/4030</v>
      </c>
      <c r="L145" s="26" t="str">
        <f>VLOOKUP(A145,'Trips&amp;Operators'!$C$1:$E$10000,3,FALSE)</f>
        <v>LEVERE</v>
      </c>
      <c r="M145" s="6">
        <f t="shared" si="46"/>
        <v>3.1585648146574385E-2</v>
      </c>
      <c r="N145" s="7">
        <f t="shared" si="44"/>
        <v>45.483333331067115</v>
      </c>
      <c r="O145" s="7"/>
      <c r="P145" s="7"/>
      <c r="Q145" s="27"/>
      <c r="R145" s="27"/>
      <c r="S145" s="45">
        <f t="shared" si="47"/>
        <v>1</v>
      </c>
      <c r="T145" s="69" t="str">
        <f t="shared" si="48"/>
        <v>Southbound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20:46:49-0600',mode:absolute,to:'2016-07-19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5" s="74" t="str">
        <f t="shared" si="50"/>
        <v>N</v>
      </c>
      <c r="X145" s="92">
        <f t="shared" si="51"/>
        <v>1</v>
      </c>
      <c r="Y145" s="89">
        <f t="shared" si="52"/>
        <v>23.2972</v>
      </c>
      <c r="Z145" s="89">
        <f t="shared" si="53"/>
        <v>1.61E-2</v>
      </c>
      <c r="AA145" s="89">
        <f t="shared" si="54"/>
        <v>23.281099999999999</v>
      </c>
      <c r="AB145" s="86" t="e">
        <f>VLOOKUP(A145,Enforcements!$C$7:$J$23,8,0)</f>
        <v>#N/A</v>
      </c>
      <c r="AC145" s="82" t="e">
        <f>VLOOKUP(A145,Enforcements!$C$7:$E$23,3,0)</f>
        <v>#N/A</v>
      </c>
      <c r="AD145" s="83" t="str">
        <f t="shared" si="55"/>
        <v>0230-19</v>
      </c>
      <c r="AE145" s="75" t="str">
        <f t="shared" si="56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145" s="75" t="str">
        <f t="shared" si="57"/>
        <v>"C:\Program Files (x86)\AstroGrep\AstroGrep.exe" /spath="C:\Users\stu\Documents\Analysis\2016-02-23 RTDC Observations" /stypes="*4030*20160720*" /stext=" 04:.+((prompt.+disp)|(slice.+state.+chan)|(ment ac)|(system.+state.+chan)|(\|lc)|(penalty)|(\[timeout))" /e /r /s</v>
      </c>
      <c r="AG145" s="1" t="str">
        <f t="shared" si="58"/>
        <v>EC</v>
      </c>
    </row>
    <row r="146" spans="1:33" s="25" customFormat="1" hidden="1" x14ac:dyDescent="0.25">
      <c r="A146" s="49" t="s">
        <v>459</v>
      </c>
      <c r="B146" s="7">
        <v>4007</v>
      </c>
      <c r="C146" s="26" t="s">
        <v>59</v>
      </c>
      <c r="D146" s="26" t="s">
        <v>191</v>
      </c>
      <c r="E146" s="16">
        <v>42570.892951388887</v>
      </c>
      <c r="F146" s="16">
        <v>42570.894675925927</v>
      </c>
      <c r="G146" s="7">
        <v>2</v>
      </c>
      <c r="H146" s="16" t="s">
        <v>562</v>
      </c>
      <c r="I146" s="16">
        <v>42570.920949074076</v>
      </c>
      <c r="J146" s="7">
        <v>0</v>
      </c>
      <c r="K146" s="26" t="str">
        <f t="shared" si="45"/>
        <v>4007/4008</v>
      </c>
      <c r="L146" s="26" t="str">
        <f>VLOOKUP(A146,'Trips&amp;Operators'!$C$1:$E$10000,3,FALSE)</f>
        <v>COOLAHAN</v>
      </c>
      <c r="M146" s="6">
        <f t="shared" si="46"/>
        <v>2.6273148148902692E-2</v>
      </c>
      <c r="N146" s="7">
        <f t="shared" si="44"/>
        <v>37.833333334419876</v>
      </c>
      <c r="O146" s="7"/>
      <c r="P146" s="7"/>
      <c r="Q146" s="27"/>
      <c r="R146" s="27"/>
      <c r="S146" s="45">
        <f t="shared" si="47"/>
        <v>1</v>
      </c>
      <c r="T146" s="69" t="str">
        <f t="shared" si="48"/>
        <v>NorthBound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20:25:51-0600',mode:absolute,to:'2016-07-19 23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6" s="74" t="str">
        <f t="shared" si="50"/>
        <v>N</v>
      </c>
      <c r="X146" s="92">
        <f t="shared" si="51"/>
        <v>1</v>
      </c>
      <c r="Y146" s="89">
        <f t="shared" si="52"/>
        <v>4.4699999999999997E-2</v>
      </c>
      <c r="Z146" s="89">
        <f t="shared" si="53"/>
        <v>23.329499999999999</v>
      </c>
      <c r="AA146" s="89">
        <f t="shared" si="54"/>
        <v>23.284800000000001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55"/>
        <v>0231-19</v>
      </c>
      <c r="AE146" s="75" t="str">
        <f t="shared" si="56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146" s="75" t="str">
        <f t="shared" si="57"/>
        <v>"C:\Program Files (x86)\AstroGrep\AstroGrep.exe" /spath="C:\Users\stu\Documents\Analysis\2016-02-23 RTDC Observations" /stypes="*4007*20160720*" /stext=" 04:.+((prompt.+disp)|(slice.+state.+chan)|(ment ac)|(system.+state.+chan)|(\|lc)|(penalty)|(\[timeout))" /e /r /s</v>
      </c>
      <c r="AG146" s="1" t="str">
        <f t="shared" si="58"/>
        <v>EC</v>
      </c>
    </row>
    <row r="147" spans="1:33" s="25" customFormat="1" hidden="1" x14ac:dyDescent="0.25">
      <c r="A147" s="49" t="s">
        <v>537</v>
      </c>
      <c r="B147" s="7">
        <v>4008</v>
      </c>
      <c r="C147" s="26" t="s">
        <v>59</v>
      </c>
      <c r="D147" s="26" t="s">
        <v>640</v>
      </c>
      <c r="E147" s="16">
        <v>42570.9296875</v>
      </c>
      <c r="F147" s="16">
        <v>42570.930543981478</v>
      </c>
      <c r="G147" s="7">
        <v>1</v>
      </c>
      <c r="H147" s="16" t="s">
        <v>188</v>
      </c>
      <c r="I147" s="16">
        <v>42570.960763888892</v>
      </c>
      <c r="J147" s="7">
        <v>0</v>
      </c>
      <c r="K147" s="26" t="str">
        <f t="shared" si="45"/>
        <v>4007/4008</v>
      </c>
      <c r="L147" s="26" t="str">
        <f>VLOOKUP(A147,'Trips&amp;Operators'!$C$1:$E$10000,3,FALSE)</f>
        <v>COOLAHAN</v>
      </c>
      <c r="M147" s="6">
        <f t="shared" si="46"/>
        <v>3.0219907413993496E-2</v>
      </c>
      <c r="N147" s="7">
        <f t="shared" si="44"/>
        <v>43.516666676150635</v>
      </c>
      <c r="O147" s="7"/>
      <c r="P147" s="7"/>
      <c r="Q147" s="27"/>
      <c r="R147" s="27"/>
      <c r="S147" s="45">
        <f t="shared" si="47"/>
        <v>1</v>
      </c>
      <c r="T147" s="69" t="str">
        <f t="shared" si="48"/>
        <v>Southbound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21:18:45-0600',mode:absolute,to:'2016-07-20 00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7" s="74" t="str">
        <f t="shared" si="50"/>
        <v>N</v>
      </c>
      <c r="X147" s="92">
        <f t="shared" si="51"/>
        <v>1</v>
      </c>
      <c r="Y147" s="89">
        <f t="shared" si="52"/>
        <v>23.297899999999998</v>
      </c>
      <c r="Z147" s="89">
        <f t="shared" si="53"/>
        <v>1.38E-2</v>
      </c>
      <c r="AA147" s="89">
        <f t="shared" si="54"/>
        <v>23.284099999999999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55"/>
        <v>0232-19</v>
      </c>
      <c r="AE147" s="75" t="str">
        <f t="shared" si="56"/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AF147" s="75" t="str">
        <f t="shared" si="57"/>
        <v>"C:\Program Files (x86)\AstroGrep\AstroGrep.exe" /spath="C:\Users\stu\Documents\Analysis\2016-02-23 RTDC Observations" /stypes="*4008*20160720*" /stext=" 05:.+((prompt.+disp)|(slice.+state.+chan)|(ment ac)|(system.+state.+chan)|(\|lc)|(penalty)|(\[timeout))" /e /r /s</v>
      </c>
      <c r="AG147" s="1" t="str">
        <f t="shared" si="58"/>
        <v>EC</v>
      </c>
    </row>
    <row r="148" spans="1:33" hidden="1" x14ac:dyDescent="0.25">
      <c r="A148" s="49" t="s">
        <v>457</v>
      </c>
      <c r="B148" s="7">
        <v>4011</v>
      </c>
      <c r="C148" s="26" t="s">
        <v>59</v>
      </c>
      <c r="D148" s="26" t="s">
        <v>269</v>
      </c>
      <c r="E148" s="16">
        <v>42570.91300925926</v>
      </c>
      <c r="F148" s="16">
        <v>42570.914074074077</v>
      </c>
      <c r="G148" s="7">
        <v>1</v>
      </c>
      <c r="H148" s="16" t="s">
        <v>577</v>
      </c>
      <c r="I148" s="16">
        <v>42570.941990740743</v>
      </c>
      <c r="J148" s="7">
        <v>0</v>
      </c>
      <c r="K148" s="26" t="str">
        <f t="shared" si="45"/>
        <v>4011/4012</v>
      </c>
      <c r="L148" s="26" t="str">
        <f>VLOOKUP(A148,'Trips&amp;Operators'!$C$1:$E$10000,3,FALSE)</f>
        <v>YANAI</v>
      </c>
      <c r="M148" s="6">
        <f t="shared" si="46"/>
        <v>2.7916666665987577E-2</v>
      </c>
      <c r="N148" s="7">
        <f t="shared" si="44"/>
        <v>40.199999999022111</v>
      </c>
      <c r="O148" s="7"/>
      <c r="P148" s="7"/>
      <c r="Q148" s="27"/>
      <c r="R148" s="27"/>
      <c r="S148" s="45">
        <f t="shared" si="47"/>
        <v>1</v>
      </c>
      <c r="T148" s="69" t="str">
        <f t="shared" si="48"/>
        <v>NorthBound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20:54:44-0600',mode:absolute,to:'2016-07-19 23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8" s="74" t="str">
        <f t="shared" si="50"/>
        <v>N</v>
      </c>
      <c r="X148" s="92">
        <f t="shared" si="51"/>
        <v>1</v>
      </c>
      <c r="Y148" s="89">
        <f t="shared" si="52"/>
        <v>4.3099999999999999E-2</v>
      </c>
      <c r="Z148" s="89">
        <f t="shared" si="53"/>
        <v>23.3306</v>
      </c>
      <c r="AA148" s="89">
        <f t="shared" si="54"/>
        <v>23.287500000000001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55"/>
        <v>0233-19</v>
      </c>
      <c r="AE148" s="75" t="str">
        <f t="shared" si="56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148" s="75" t="str">
        <f t="shared" si="57"/>
        <v>"C:\Program Files (x86)\AstroGrep\AstroGrep.exe" /spath="C:\Users\stu\Documents\Analysis\2016-02-23 RTDC Observations" /stypes="*4011*20160720*" /stext=" 04:.+((prompt.+disp)|(slice.+state.+chan)|(ment ac)|(system.+state.+chan)|(\|lc)|(penalty)|(\[timeout))" /e /r /s</v>
      </c>
      <c r="AG148" s="1" t="str">
        <f t="shared" si="58"/>
        <v>EC</v>
      </c>
    </row>
    <row r="149" spans="1:33" hidden="1" x14ac:dyDescent="0.25">
      <c r="A149" s="49" t="s">
        <v>492</v>
      </c>
      <c r="B149" s="7">
        <v>4012</v>
      </c>
      <c r="C149" s="26" t="s">
        <v>59</v>
      </c>
      <c r="D149" s="26" t="s">
        <v>208</v>
      </c>
      <c r="E149" s="16">
        <v>42570.943657407406</v>
      </c>
      <c r="F149" s="16">
        <v>42570.944560185184</v>
      </c>
      <c r="G149" s="7">
        <v>1</v>
      </c>
      <c r="H149" s="16" t="s">
        <v>61</v>
      </c>
      <c r="I149" s="16">
        <v>42570.981168981481</v>
      </c>
      <c r="J149" s="7">
        <v>0</v>
      </c>
      <c r="K149" s="26" t="str">
        <f t="shared" si="45"/>
        <v>4011/4012</v>
      </c>
      <c r="L149" s="26" t="str">
        <f>VLOOKUP(A149,'Trips&amp;Operators'!$C$1:$E$10000,3,FALSE)</f>
        <v>YANAI</v>
      </c>
      <c r="M149" s="6">
        <f t="shared" si="46"/>
        <v>3.6608796297514345E-2</v>
      </c>
      <c r="N149" s="7">
        <f t="shared" si="44"/>
        <v>52.716666668420658</v>
      </c>
      <c r="O149" s="7"/>
      <c r="P149" s="7"/>
      <c r="Q149" s="27"/>
      <c r="R149" s="27"/>
      <c r="S149" s="45">
        <f t="shared" si="47"/>
        <v>1</v>
      </c>
      <c r="T149" s="69" t="str">
        <f t="shared" si="48"/>
        <v>Southbound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21:38:52-0600',mode:absolute,to:'2016-07-20 00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9" s="74" t="str">
        <f t="shared" si="50"/>
        <v>N</v>
      </c>
      <c r="X149" s="92">
        <f t="shared" si="51"/>
        <v>1</v>
      </c>
      <c r="Y149" s="89">
        <f t="shared" si="52"/>
        <v>23.298300000000001</v>
      </c>
      <c r="Z149" s="89">
        <f t="shared" si="53"/>
        <v>1.52E-2</v>
      </c>
      <c r="AA149" s="89">
        <f t="shared" si="54"/>
        <v>23.283100000000001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55"/>
        <v>0234-19</v>
      </c>
      <c r="AE149" s="75" t="str">
        <f t="shared" si="56"/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AF149" s="75" t="str">
        <f t="shared" si="57"/>
        <v>"C:\Program Files (x86)\AstroGrep\AstroGrep.exe" /spath="C:\Users\stu\Documents\Analysis\2016-02-23 RTDC Observations" /stypes="*4012*20160720*" /stext=" 05:.+((prompt.+disp)|(slice.+state.+chan)|(ment ac)|(system.+state.+chan)|(\|lc)|(penalty)|(\[timeout))" /e /r /s</v>
      </c>
      <c r="AG149" s="1" t="str">
        <f t="shared" si="58"/>
        <v>EC</v>
      </c>
    </row>
    <row r="150" spans="1:33" hidden="1" x14ac:dyDescent="0.25">
      <c r="A150" s="49" t="s">
        <v>440</v>
      </c>
      <c r="B150" s="7">
        <v>4016</v>
      </c>
      <c r="C150" s="26" t="s">
        <v>59</v>
      </c>
      <c r="D150" s="26" t="s">
        <v>582</v>
      </c>
      <c r="E150" s="16">
        <v>42570.937604166669</v>
      </c>
      <c r="F150" s="16">
        <v>42570.938796296294</v>
      </c>
      <c r="G150" s="7">
        <v>1</v>
      </c>
      <c r="H150" s="16" t="s">
        <v>223</v>
      </c>
      <c r="I150" s="16">
        <v>42570.963252314818</v>
      </c>
      <c r="J150" s="7">
        <v>0</v>
      </c>
      <c r="K150" s="26" t="str">
        <f t="shared" si="45"/>
        <v>4015/4016</v>
      </c>
      <c r="L150" s="26" t="str">
        <f>VLOOKUP(A150,'Trips&amp;Operators'!$C$1:$E$10000,3,FALSE)</f>
        <v>CHANDLER</v>
      </c>
      <c r="M150" s="6">
        <f t="shared" si="46"/>
        <v>2.4456018523778766E-2</v>
      </c>
      <c r="N150" s="7">
        <f t="shared" si="44"/>
        <v>35.216666674241424</v>
      </c>
      <c r="O150" s="7"/>
      <c r="P150" s="7"/>
      <c r="Q150" s="27"/>
      <c r="R150" s="27"/>
      <c r="S150" s="45">
        <f t="shared" si="47"/>
        <v>1</v>
      </c>
      <c r="T150" s="69" t="str">
        <f t="shared" si="48"/>
        <v>NorthBound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21:30:09-0600',mode:absolute,to:'2016-07-20 00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0" s="74" t="str">
        <f t="shared" si="50"/>
        <v>N</v>
      </c>
      <c r="X150" s="92">
        <f t="shared" si="51"/>
        <v>1</v>
      </c>
      <c r="Y150" s="89">
        <f t="shared" si="52"/>
        <v>4.8399999999999999E-2</v>
      </c>
      <c r="Z150" s="89">
        <f t="shared" si="53"/>
        <v>23.3293</v>
      </c>
      <c r="AA150" s="89">
        <f t="shared" si="54"/>
        <v>23.280899999999999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55"/>
        <v>0235-19</v>
      </c>
      <c r="AE150" s="75" t="str">
        <f t="shared" si="56"/>
        <v>aws s3 cp s3://rtdc.mdm.uploadarchive/RTDC4016/2016-07-19/ "C:\Users\stu\Documents\Analysis\2016-02-23 RTDC Observations"\RTDC4016\2016-07-19 --recursive &amp; "C:\Users\stu\Documents\GitHub\mrs-test-scripts\Headless Mode &amp; Sideloading\WalkAndUnGZ.bat" "C:\Users\stu\Documents\Analysis\2016-02-23 RTDC Observations"\RTDC4016\2016-07-19 &amp; aws s3 cp s3://rtdc.mdm.uploadarchive/RTDC4016/2016-07-20/ "C:\Users\stu\Documents\Analysis\2016-02-23 RTDC Observations"\RTDC4016\2016-07-20 --recursive &amp; "C:\Users\stu\Documents\GitHub\mrs-test-scripts\Headless Mode &amp; Sideloading\WalkAndUnGZ.bat" "C:\Users\stu\Documents\Analysis\2016-02-23 RTDC Observations"\RTDC4016\2016-07-20</v>
      </c>
      <c r="AF150" s="75" t="str">
        <f t="shared" si="57"/>
        <v>"C:\Program Files (x86)\AstroGrep\AstroGrep.exe" /spath="C:\Users\stu\Documents\Analysis\2016-02-23 RTDC Observations" /stypes="*4016*20160720*" /stext=" 05:.+((prompt.+disp)|(slice.+state.+chan)|(ment ac)|(system.+state.+chan)|(\|lc)|(penalty)|(\[timeout))" /e /r /s</v>
      </c>
      <c r="AG150" s="1" t="str">
        <f t="shared" si="58"/>
        <v>EC</v>
      </c>
    </row>
    <row r="151" spans="1:33" x14ac:dyDescent="0.25">
      <c r="A151" s="49" t="s">
        <v>428</v>
      </c>
      <c r="B151" s="7">
        <v>4015</v>
      </c>
      <c r="C151" s="26" t="s">
        <v>59</v>
      </c>
      <c r="D151" s="26" t="s">
        <v>210</v>
      </c>
      <c r="E151" s="16">
        <v>42570.972500000003</v>
      </c>
      <c r="F151" s="16">
        <v>42570.973645833335</v>
      </c>
      <c r="G151" s="7">
        <v>1</v>
      </c>
      <c r="H151" s="16" t="s">
        <v>641</v>
      </c>
      <c r="I151" s="16">
        <v>42570.990428240744</v>
      </c>
      <c r="J151" s="7">
        <v>1</v>
      </c>
      <c r="K151" s="26" t="str">
        <f t="shared" si="45"/>
        <v>4015/4016</v>
      </c>
      <c r="L151" s="26" t="str">
        <f>VLOOKUP(A151,'Trips&amp;Operators'!$C$1:$E$10000,3,FALSE)</f>
        <v>CHANDLER</v>
      </c>
      <c r="M151" s="6">
        <f t="shared" si="46"/>
        <v>1.6782407408754807E-2</v>
      </c>
      <c r="N151" s="7"/>
      <c r="O151" s="7"/>
      <c r="P151" s="7">
        <f>24*60*SUM($M151:$M152)</f>
        <v>39.249999996973202</v>
      </c>
      <c r="Q151" s="27"/>
      <c r="R151" s="27" t="s">
        <v>402</v>
      </c>
      <c r="S151" s="45">
        <f>SUM(U151:U152)/12</f>
        <v>0.91666666666666663</v>
      </c>
      <c r="T151" s="69" t="str">
        <f t="shared" si="48"/>
        <v>Southbound</v>
      </c>
      <c r="U151" s="96">
        <f>COUNTIFS(Variables!$M$2:$M$19,IF(T151="NorthBound","&gt;=","&lt;=")&amp;Y151,Variables!$M$2:$M$19,IF(T151="NorthBound","&lt;=","&gt;=")&amp;Z151)</f>
        <v>2</v>
      </c>
      <c r="V15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22:20:24-0600',mode:absolute,to:'2016-07-20 00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1" s="74" t="str">
        <f t="shared" si="50"/>
        <v>Y</v>
      </c>
      <c r="X151" s="92">
        <f t="shared" si="51"/>
        <v>1</v>
      </c>
      <c r="Y151" s="89">
        <f t="shared" si="52"/>
        <v>23.2971</v>
      </c>
      <c r="Z151" s="89">
        <f t="shared" si="53"/>
        <v>8.7911000000000001</v>
      </c>
      <c r="AA151" s="89">
        <f t="shared" si="54"/>
        <v>14.506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55"/>
        <v>0236-19</v>
      </c>
      <c r="AE151" s="75" t="str">
        <f t="shared" si="56"/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AF151" s="75" t="str">
        <f t="shared" si="57"/>
        <v>"C:\Program Files (x86)\AstroGrep\AstroGrep.exe" /spath="C:\Users\stu\Documents\Analysis\2016-02-23 RTDC Observations" /stypes="*4015*20160720*" /stext=" 05:.+((prompt.+disp)|(slice.+state.+chan)|(ment ac)|(system.+state.+chan)|(\|lc)|(penalty)|(\[timeout))" /e /r /s</v>
      </c>
      <c r="AG151" s="1" t="str">
        <f t="shared" si="58"/>
        <v>EC</v>
      </c>
    </row>
    <row r="152" spans="1:33" hidden="1" x14ac:dyDescent="0.25">
      <c r="A152" s="49" t="s">
        <v>428</v>
      </c>
      <c r="B152" s="7">
        <v>4015</v>
      </c>
      <c r="C152" s="26" t="s">
        <v>59</v>
      </c>
      <c r="D152" s="26" t="s">
        <v>642</v>
      </c>
      <c r="E152" s="16">
        <v>42570.994062500002</v>
      </c>
      <c r="F152" s="16">
        <v>42570.995034722226</v>
      </c>
      <c r="G152" s="7">
        <v>1</v>
      </c>
      <c r="H152" s="16" t="s">
        <v>643</v>
      </c>
      <c r="I152" s="16">
        <v>42571.005509259259</v>
      </c>
      <c r="J152" s="7">
        <v>1</v>
      </c>
      <c r="K152" s="26" t="str">
        <f t="shared" si="45"/>
        <v>4015/4016</v>
      </c>
      <c r="L152" s="26" t="str">
        <f>VLOOKUP(A152,'Trips&amp;Operators'!$C$1:$E$10000,3,FALSE)</f>
        <v>CHANDLER</v>
      </c>
      <c r="M152" s="6">
        <f t="shared" si="46"/>
        <v>1.0474537033587694E-2</v>
      </c>
      <c r="N152" s="7"/>
      <c r="O152" s="7"/>
      <c r="P152" s="7"/>
      <c r="Q152" s="27"/>
      <c r="R152" s="27"/>
      <c r="S152" s="45"/>
      <c r="T152" s="69" t="str">
        <f t="shared" si="48"/>
        <v>Southbound</v>
      </c>
      <c r="U152" s="96">
        <f>COUNTIFS(Variables!$M$2:$M$19,IF(T152="NorthBound","&gt;=","&lt;=")&amp;Y152,Variables!$M$2:$M$19,IF(T152="NorthBound","&lt;=","&gt;=")&amp;Z152)</f>
        <v>9</v>
      </c>
      <c r="V15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22:51:27-0600',mode:absolute,to:'2016-07-20 01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2" s="74" t="str">
        <f t="shared" si="50"/>
        <v>Y</v>
      </c>
      <c r="X152" s="92">
        <f t="shared" si="51"/>
        <v>0</v>
      </c>
      <c r="Y152" s="89">
        <f t="shared" si="52"/>
        <v>6.4158999999999997</v>
      </c>
      <c r="Z152" s="89">
        <f t="shared" si="53"/>
        <v>1.7600000000000001E-2</v>
      </c>
      <c r="AA152" s="89">
        <f t="shared" si="54"/>
        <v>6.3982999999999999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si="55"/>
        <v>0236-19</v>
      </c>
      <c r="AE152" s="75" t="str">
        <f t="shared" si="56"/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AF152" s="75" t="str">
        <f t="shared" si="57"/>
        <v>"C:\Program Files (x86)\AstroGrep\AstroGrep.exe" /spath="C:\Users\stu\Documents\Analysis\2016-02-23 RTDC Observations" /stypes="*4015*20160720*" /stext=" 06:.+((prompt.+disp)|(slice.+state.+chan)|(ment ac)|(system.+state.+chan)|(\|lc)|(penalty)|(\[timeout))" /e /r /s</v>
      </c>
      <c r="AG152" s="1" t="str">
        <f t="shared" si="58"/>
        <v>EC</v>
      </c>
    </row>
    <row r="153" spans="1:33" hidden="1" x14ac:dyDescent="0.25">
      <c r="A153" s="49" t="s">
        <v>441</v>
      </c>
      <c r="B153" s="7">
        <v>4029</v>
      </c>
      <c r="C153" s="26" t="s">
        <v>59</v>
      </c>
      <c r="D153" s="26" t="s">
        <v>179</v>
      </c>
      <c r="E153" s="16">
        <v>42570.946493055555</v>
      </c>
      <c r="F153" s="16">
        <v>42570.947488425925</v>
      </c>
      <c r="G153" s="7">
        <v>1</v>
      </c>
      <c r="H153" s="16" t="s">
        <v>180</v>
      </c>
      <c r="I153" s="16">
        <v>42570.98333333333</v>
      </c>
      <c r="J153" s="7">
        <v>0</v>
      </c>
      <c r="K153" s="26" t="str">
        <f t="shared" si="45"/>
        <v>4029/4030</v>
      </c>
      <c r="L153" s="26" t="str">
        <f>VLOOKUP(A153,'Trips&amp;Operators'!$C$1:$E$10000,3,FALSE)</f>
        <v>LEVERE</v>
      </c>
      <c r="M153" s="6">
        <f t="shared" si="46"/>
        <v>3.5844907404680271E-2</v>
      </c>
      <c r="N153" s="7">
        <f t="shared" si="44"/>
        <v>51.61666666273959</v>
      </c>
      <c r="O153" s="7"/>
      <c r="P153" s="7"/>
      <c r="Q153" s="27"/>
      <c r="R153" s="27"/>
      <c r="S153" s="45">
        <f t="shared" si="47"/>
        <v>1</v>
      </c>
      <c r="T153" s="69" t="str">
        <f t="shared" si="48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21:42:57-0600',mode:absolute,to:'2016-07-20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74" t="str">
        <f t="shared" si="50"/>
        <v>N</v>
      </c>
      <c r="X153" s="92">
        <f t="shared" si="51"/>
        <v>1</v>
      </c>
      <c r="Y153" s="89">
        <f t="shared" si="52"/>
        <v>4.6399999999999997E-2</v>
      </c>
      <c r="Z153" s="89">
        <f t="shared" si="53"/>
        <v>23.329699999999999</v>
      </c>
      <c r="AA153" s="89">
        <f t="shared" si="54"/>
        <v>23.283300000000001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55"/>
        <v>0237-19</v>
      </c>
      <c r="AE153" s="75" t="str">
        <f t="shared" si="56"/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AF153" s="75" t="str">
        <f t="shared" si="57"/>
        <v>"C:\Program Files (x86)\AstroGrep\AstroGrep.exe" /spath="C:\Users\stu\Documents\Analysis\2016-02-23 RTDC Observations" /stypes="*4029*20160720*" /stext=" 05:.+((prompt.+disp)|(slice.+state.+chan)|(ment ac)|(system.+state.+chan)|(\|lc)|(penalty)|(\[timeout))" /e /r /s</v>
      </c>
      <c r="AG153" s="1" t="str">
        <f t="shared" si="58"/>
        <v>EC</v>
      </c>
    </row>
    <row r="154" spans="1:33" hidden="1" x14ac:dyDescent="0.25">
      <c r="A154" s="49" t="s">
        <v>443</v>
      </c>
      <c r="B154" s="7">
        <v>4030</v>
      </c>
      <c r="C154" s="26" t="s">
        <v>59</v>
      </c>
      <c r="D154" s="26" t="s">
        <v>227</v>
      </c>
      <c r="E154" s="16">
        <v>42570.98945601852</v>
      </c>
      <c r="F154" s="16">
        <v>42570.990474537037</v>
      </c>
      <c r="G154" s="7">
        <v>1</v>
      </c>
      <c r="H154" s="16" t="s">
        <v>60</v>
      </c>
      <c r="I154" s="16">
        <v>42571.023842592593</v>
      </c>
      <c r="J154" s="7">
        <v>0</v>
      </c>
      <c r="K154" s="26" t="str">
        <f t="shared" si="45"/>
        <v>4029/4030</v>
      </c>
      <c r="L154" s="26" t="str">
        <f>VLOOKUP(A154,'Trips&amp;Operators'!$C$1:$E$10000,3,FALSE)</f>
        <v>LEVERE</v>
      </c>
      <c r="M154" s="6">
        <f t="shared" si="46"/>
        <v>3.3368055555911269E-2</v>
      </c>
      <c r="N154" s="7">
        <f t="shared" si="44"/>
        <v>48.050000000512227</v>
      </c>
      <c r="O154" s="7"/>
      <c r="P154" s="7"/>
      <c r="Q154" s="27"/>
      <c r="R154" s="27"/>
      <c r="S154" s="45">
        <f t="shared" si="47"/>
        <v>1</v>
      </c>
      <c r="T154" s="69" t="str">
        <f t="shared" si="48"/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22:44:49-0600',mode:absolute,to:'2016-07-20 01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74" t="str">
        <f t="shared" si="50"/>
        <v>N</v>
      </c>
      <c r="X154" s="92">
        <f t="shared" si="51"/>
        <v>1</v>
      </c>
      <c r="Y154" s="89">
        <f t="shared" si="52"/>
        <v>23.297799999999999</v>
      </c>
      <c r="Z154" s="89">
        <f t="shared" si="53"/>
        <v>1.4500000000000001E-2</v>
      </c>
      <c r="AA154" s="89">
        <f t="shared" si="54"/>
        <v>23.283299999999997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si="55"/>
        <v>0238-19</v>
      </c>
      <c r="AE154" s="75" t="str">
        <f t="shared" si="56"/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AF154" s="75" t="str">
        <f t="shared" si="57"/>
        <v>"C:\Program Files (x86)\AstroGrep\AstroGrep.exe" /spath="C:\Users\stu\Documents\Analysis\2016-02-23 RTDC Observations" /stypes="*4030*20160720*" /stext=" 06:.+((prompt.+disp)|(slice.+state.+chan)|(ment ac)|(system.+state.+chan)|(\|lc)|(penalty)|(\[timeout))" /e /r /s</v>
      </c>
      <c r="AG154" s="1" t="str">
        <f t="shared" si="58"/>
        <v>EC</v>
      </c>
    </row>
    <row r="155" spans="1:33" hidden="1" x14ac:dyDescent="0.25">
      <c r="A155" s="49" t="s">
        <v>442</v>
      </c>
      <c r="B155" s="7">
        <v>4007</v>
      </c>
      <c r="C155" s="26" t="s">
        <v>59</v>
      </c>
      <c r="D155" s="26" t="s">
        <v>183</v>
      </c>
      <c r="E155" s="16">
        <v>42570.977372685185</v>
      </c>
      <c r="F155" s="16">
        <v>42570.97855324074</v>
      </c>
      <c r="G155" s="7">
        <v>1</v>
      </c>
      <c r="H155" s="16" t="s">
        <v>207</v>
      </c>
      <c r="I155" s="16">
        <v>42571.004224537035</v>
      </c>
      <c r="J155" s="7">
        <v>0</v>
      </c>
      <c r="K155" s="26" t="str">
        <f t="shared" si="45"/>
        <v>4007/4008</v>
      </c>
      <c r="L155" s="26" t="str">
        <f>VLOOKUP(A155,'Trips&amp;Operators'!$C$1:$E$10000,3,FALSE)</f>
        <v>COOLAHAN</v>
      </c>
      <c r="M155" s="6">
        <f t="shared" si="46"/>
        <v>2.5671296294603962E-2</v>
      </c>
      <c r="N155" s="7">
        <f t="shared" si="44"/>
        <v>36.966666664229706</v>
      </c>
      <c r="O155" s="7"/>
      <c r="P155" s="7"/>
      <c r="Q155" s="27"/>
      <c r="R155" s="27"/>
      <c r="S155" s="45">
        <f t="shared" si="47"/>
        <v>1</v>
      </c>
      <c r="T155" s="69" t="str">
        <f t="shared" si="48"/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22:27:25-0600',mode:absolute,to:'2016-07-20 01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5" s="74" t="str">
        <f t="shared" si="50"/>
        <v>N</v>
      </c>
      <c r="X155" s="92">
        <f t="shared" si="51"/>
        <v>1</v>
      </c>
      <c r="Y155" s="89">
        <f t="shared" si="52"/>
        <v>4.6199999999999998E-2</v>
      </c>
      <c r="Z155" s="89">
        <f t="shared" si="53"/>
        <v>23.328800000000001</v>
      </c>
      <c r="AA155" s="89">
        <f t="shared" si="54"/>
        <v>23.282600000000002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si="55"/>
        <v>0239-19</v>
      </c>
      <c r="AE155" s="75" t="str">
        <f t="shared" si="56"/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AF155" s="75" t="str">
        <f t="shared" si="57"/>
        <v>"C:\Program Files (x86)\AstroGrep\AstroGrep.exe" /spath="C:\Users\stu\Documents\Analysis\2016-02-23 RTDC Observations" /stypes="*4007*20160720*" /stext=" 06:.+((prompt.+disp)|(slice.+state.+chan)|(ment ac)|(system.+state.+chan)|(\|lc)|(penalty)|(\[timeout))" /e /r /s</v>
      </c>
      <c r="AG155" s="1" t="str">
        <f t="shared" si="58"/>
        <v>EC</v>
      </c>
    </row>
    <row r="156" spans="1:33" hidden="1" x14ac:dyDescent="0.25">
      <c r="A156" s="49" t="s">
        <v>493</v>
      </c>
      <c r="B156" s="7">
        <v>4008</v>
      </c>
      <c r="C156" s="26" t="s">
        <v>59</v>
      </c>
      <c r="D156" s="26" t="s">
        <v>197</v>
      </c>
      <c r="E156" s="16">
        <v>42571.012256944443</v>
      </c>
      <c r="F156" s="16">
        <v>42571.013321759259</v>
      </c>
      <c r="G156" s="7">
        <v>1</v>
      </c>
      <c r="H156" s="16" t="s">
        <v>322</v>
      </c>
      <c r="I156" s="16">
        <v>42571.044108796297</v>
      </c>
      <c r="J156" s="7">
        <v>0</v>
      </c>
      <c r="K156" s="26" t="str">
        <f t="shared" si="45"/>
        <v>4007/4008</v>
      </c>
      <c r="L156" s="26" t="str">
        <f>VLOOKUP(A156,'Trips&amp;Operators'!$C$1:$E$10000,3,FALSE)</f>
        <v>COOLAHAN</v>
      </c>
      <c r="M156" s="6">
        <f t="shared" si="46"/>
        <v>3.0787037037953269E-2</v>
      </c>
      <c r="N156" s="7">
        <f t="shared" si="44"/>
        <v>44.333333334652707</v>
      </c>
      <c r="O156" s="7"/>
      <c r="P156" s="7"/>
      <c r="Q156" s="27"/>
      <c r="R156" s="27"/>
      <c r="S156" s="45">
        <f t="shared" si="47"/>
        <v>1</v>
      </c>
      <c r="T156" s="69" t="str">
        <f t="shared" si="48"/>
        <v>Southbound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23:17:39-0600',mode:absolute,to:'2016-07-20 02:03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6" s="74" t="str">
        <f t="shared" si="50"/>
        <v>N</v>
      </c>
      <c r="X156" s="92">
        <f t="shared" si="51"/>
        <v>1</v>
      </c>
      <c r="Y156" s="89">
        <f t="shared" si="52"/>
        <v>23.298400000000001</v>
      </c>
      <c r="Z156" s="89">
        <f t="shared" si="53"/>
        <v>1.5800000000000002E-2</v>
      </c>
      <c r="AA156" s="89">
        <f t="shared" si="54"/>
        <v>23.282600000000002</v>
      </c>
      <c r="AB156" s="86" t="e">
        <f>VLOOKUP(A156,Enforcements!$C$7:$J$23,8,0)</f>
        <v>#N/A</v>
      </c>
      <c r="AC156" s="82" t="e">
        <f>VLOOKUP(A156,Enforcements!$C$7:$E$23,3,0)</f>
        <v>#N/A</v>
      </c>
      <c r="AD156" s="83" t="str">
        <f t="shared" si="55"/>
        <v>0240-19</v>
      </c>
      <c r="AE156" s="75" t="str">
        <f t="shared" si="56"/>
        <v>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 &amp; aws s3 cp s3://rtdc.mdm.uploadarchive/RTDC4008/2016-07-21/ "C:\Users\stu\Documents\Analysis\2016-02-23 RTDC Observations"\RTDC4008\2016-07-21 --recursive &amp; "C:\Users\stu\Documents\GitHub\mrs-test-scripts\Headless Mode &amp; Sideloading\WalkAndUnGZ.bat" "C:\Users\stu\Documents\Analysis\2016-02-23 RTDC Observations"\RTDC4008\2016-07-21</v>
      </c>
      <c r="AF156" s="75" t="str">
        <f t="shared" si="57"/>
        <v>"C:\Program Files (x86)\AstroGrep\AstroGrep.exe" /spath="C:\Users\stu\Documents\Analysis\2016-02-23 RTDC Observations" /stypes="*4008*20160720*" /stext=" 07:.+((prompt.+disp)|(slice.+state.+chan)|(ment ac)|(system.+state.+chan)|(\|lc)|(penalty)|(\[timeout))" /e /r /s</v>
      </c>
      <c r="AG156" s="1" t="str">
        <f t="shared" si="58"/>
        <v>EC</v>
      </c>
    </row>
    <row r="157" spans="1:33" hidden="1" x14ac:dyDescent="0.25">
      <c r="A157" s="49" t="s">
        <v>517</v>
      </c>
      <c r="B157" s="7">
        <v>4011</v>
      </c>
      <c r="C157" s="26" t="s">
        <v>59</v>
      </c>
      <c r="D157" s="26" t="s">
        <v>644</v>
      </c>
      <c r="E157" s="16">
        <v>42570.995706018519</v>
      </c>
      <c r="F157" s="16">
        <v>42570.996805555558</v>
      </c>
      <c r="G157" s="7">
        <v>1</v>
      </c>
      <c r="H157" s="16" t="s">
        <v>312</v>
      </c>
      <c r="I157" s="16">
        <v>42571.024756944447</v>
      </c>
      <c r="J157" s="7">
        <v>0</v>
      </c>
      <c r="K157" s="26" t="str">
        <f t="shared" si="45"/>
        <v>4011/4012</v>
      </c>
      <c r="L157" s="26" t="str">
        <f>VLOOKUP(A157,'Trips&amp;Operators'!$C$1:$E$10000,3,FALSE)</f>
        <v>YANAI</v>
      </c>
      <c r="M157" s="6">
        <f t="shared" si="46"/>
        <v>2.7951388889050577E-2</v>
      </c>
      <c r="N157" s="7">
        <f t="shared" si="44"/>
        <v>40.250000000232831</v>
      </c>
      <c r="O157" s="7"/>
      <c r="P157" s="7"/>
      <c r="Q157" s="27"/>
      <c r="R157" s="27"/>
      <c r="S157" s="45">
        <f t="shared" si="47"/>
        <v>1</v>
      </c>
      <c r="T157" s="69" t="str">
        <f t="shared" si="48"/>
        <v>NorthBound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22:53:49-0600',mode:absolute,to:'2016-07-20 01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7" s="74" t="str">
        <f t="shared" si="50"/>
        <v>N</v>
      </c>
      <c r="X157" s="92">
        <f t="shared" si="51"/>
        <v>1</v>
      </c>
      <c r="Y157" s="89">
        <f t="shared" si="52"/>
        <v>4.3700000000000003E-2</v>
      </c>
      <c r="Z157" s="89">
        <f t="shared" si="53"/>
        <v>23.3291</v>
      </c>
      <c r="AA157" s="89">
        <f t="shared" si="54"/>
        <v>23.285399999999999</v>
      </c>
      <c r="AB157" s="86" t="e">
        <f>VLOOKUP(A157,Enforcements!$C$7:$J$23,8,0)</f>
        <v>#N/A</v>
      </c>
      <c r="AC157" s="82" t="e">
        <f>VLOOKUP(A157,Enforcements!$C$7:$E$23,3,0)</f>
        <v>#N/A</v>
      </c>
      <c r="AD157" s="83" t="str">
        <f t="shared" si="55"/>
        <v>0241-19</v>
      </c>
      <c r="AE157" s="75" t="str">
        <f t="shared" si="56"/>
        <v>aws s3 cp s3://rtdc.mdm.uploadarchive/RTDC4011/2016-07-19/ "C:\Users\stu\Documents\Analysis\2016-02-23 RTDC Observations"\RTDC4011\2016-07-19 --recursive &amp; "C:\Users\stu\Documents\GitHub\mrs-test-scripts\Headless Mode &amp; Sideloading\WalkAndUnGZ.bat" "C:\Users\stu\Documents\Analysis\2016-02-23 RTDC Observations"\RTDC4011\2016-07-19 &amp; aws s3 cp s3://rtdc.mdm.uploadarchive/RTDC4011/2016-07-20/ "C:\Users\stu\Documents\Analysis\2016-02-23 RTDC Observations"\RTDC4011\2016-07-20 --recursive &amp; "C:\Users\stu\Documents\GitHub\mrs-test-scripts\Headless Mode &amp; Sideloading\WalkAndUnGZ.bat" "C:\Users\stu\Documents\Analysis\2016-02-23 RTDC Observations"\RTDC4011\2016-07-20</v>
      </c>
      <c r="AF157" s="75" t="str">
        <f t="shared" si="57"/>
        <v>"C:\Program Files (x86)\AstroGrep\AstroGrep.exe" /spath="C:\Users\stu\Documents\Analysis\2016-02-23 RTDC Observations" /stypes="*4011*20160720*" /stext=" 06:.+((prompt.+disp)|(slice.+state.+chan)|(ment ac)|(system.+state.+chan)|(\|lc)|(penalty)|(\[timeout))" /e /r /s</v>
      </c>
      <c r="AG157" s="1" t="str">
        <f t="shared" si="58"/>
        <v>EC</v>
      </c>
    </row>
    <row r="158" spans="1:33" hidden="1" x14ac:dyDescent="0.25">
      <c r="A158" s="49" t="s">
        <v>429</v>
      </c>
      <c r="B158" s="7">
        <v>4012</v>
      </c>
      <c r="C158" s="26" t="s">
        <v>59</v>
      </c>
      <c r="D158" s="26" t="s">
        <v>68</v>
      </c>
      <c r="E158" s="16">
        <v>42571.036296296297</v>
      </c>
      <c r="F158" s="16">
        <v>42571.037291666667</v>
      </c>
      <c r="G158" s="7">
        <v>1</v>
      </c>
      <c r="H158" s="16" t="s">
        <v>61</v>
      </c>
      <c r="I158" s="16">
        <v>42571.064733796295</v>
      </c>
      <c r="J158" s="7">
        <v>1</v>
      </c>
      <c r="K158" s="26" t="str">
        <f t="shared" si="45"/>
        <v>4011/4012</v>
      </c>
      <c r="L158" s="26" t="str">
        <f>VLOOKUP(A158,'Trips&amp;Operators'!$C$1:$E$10000,3,FALSE)</f>
        <v>YANAI</v>
      </c>
      <c r="M158" s="6">
        <f t="shared" si="46"/>
        <v>2.7442129627161194E-2</v>
      </c>
      <c r="N158" s="7">
        <f t="shared" si="44"/>
        <v>39.516666663112119</v>
      </c>
      <c r="O158" s="7"/>
      <c r="P158" s="7"/>
      <c r="Q158" s="27"/>
      <c r="R158" s="27"/>
      <c r="S158" s="45">
        <f t="shared" si="47"/>
        <v>1</v>
      </c>
      <c r="T158" s="69" t="str">
        <f t="shared" si="48"/>
        <v>Southbound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23:52:16-0600',mode:absolute,to:'2016-07-20 02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8" s="74" t="str">
        <f t="shared" si="50"/>
        <v>N</v>
      </c>
      <c r="X158" s="92">
        <f t="shared" si="51"/>
        <v>1</v>
      </c>
      <c r="Y158" s="89">
        <f t="shared" si="52"/>
        <v>23.297699999999999</v>
      </c>
      <c r="Z158" s="89">
        <f t="shared" si="53"/>
        <v>1.52E-2</v>
      </c>
      <c r="AA158" s="89">
        <f t="shared" si="54"/>
        <v>23.282499999999999</v>
      </c>
      <c r="AB158" s="86" t="e">
        <f>VLOOKUP(A158,Enforcements!$C$7:$J$23,8,0)</f>
        <v>#N/A</v>
      </c>
      <c r="AC158" s="82" t="e">
        <f>VLOOKUP(A158,Enforcements!$C$7:$E$23,3,0)</f>
        <v>#N/A</v>
      </c>
      <c r="AD158" s="83" t="str">
        <f t="shared" si="55"/>
        <v>0242-19</v>
      </c>
      <c r="AE158" s="75" t="str">
        <f t="shared" si="56"/>
        <v>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 &amp; 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</v>
      </c>
      <c r="AF158" s="75" t="str">
        <f t="shared" si="57"/>
        <v>"C:\Program Files (x86)\AstroGrep\AstroGrep.exe" /spath="C:\Users\stu\Documents\Analysis\2016-02-23 RTDC Observations" /stypes="*4012*20160720*" /stext=" 07:.+((prompt.+disp)|(slice.+state.+chan)|(ment ac)|(system.+state.+chan)|(\|lc)|(penalty)|(\[timeout))" /e /r /s</v>
      </c>
      <c r="AG158" s="1" t="str">
        <f t="shared" si="58"/>
        <v>EC</v>
      </c>
    </row>
    <row r="159" spans="1:33" hidden="1" x14ac:dyDescent="0.25">
      <c r="A159" s="49" t="s">
        <v>454</v>
      </c>
      <c r="B159" s="7">
        <v>4016</v>
      </c>
      <c r="C159" s="26" t="s">
        <v>59</v>
      </c>
      <c r="D159" s="26" t="s">
        <v>582</v>
      </c>
      <c r="E159" s="16">
        <v>42571.018784722219</v>
      </c>
      <c r="F159" s="16">
        <v>42571.019872685189</v>
      </c>
      <c r="G159" s="7">
        <v>1</v>
      </c>
      <c r="H159" s="16" t="s">
        <v>267</v>
      </c>
      <c r="I159" s="16">
        <v>42571.046122685184</v>
      </c>
      <c r="J159" s="7">
        <v>0</v>
      </c>
      <c r="K159" s="26" t="str">
        <f t="shared" si="45"/>
        <v>4015/4016</v>
      </c>
      <c r="L159" s="26" t="str">
        <f>VLOOKUP(A159,'Trips&amp;Operators'!$C$1:$E$10000,3,FALSE)</f>
        <v>CHANDLER</v>
      </c>
      <c r="M159" s="6">
        <f t="shared" si="46"/>
        <v>2.6249999995343387E-2</v>
      </c>
      <c r="N159" s="7">
        <f t="shared" si="44"/>
        <v>37.799999993294477</v>
      </c>
      <c r="O159" s="7"/>
      <c r="P159" s="7"/>
      <c r="Q159" s="27"/>
      <c r="R159" s="27"/>
      <c r="S159" s="45">
        <f t="shared" si="47"/>
        <v>1</v>
      </c>
      <c r="T159" s="69" t="str">
        <f t="shared" si="48"/>
        <v>NorthBound</v>
      </c>
      <c r="U159" s="96">
        <f>COUNTIFS(Variables!$M$2:$M$19,IF(T159="NorthBound","&gt;=","&lt;=")&amp;Y159,Variables!$M$2:$M$19,IF(T159="NorthBound","&lt;=","&gt;=")&amp;Z159)</f>
        <v>12</v>
      </c>
      <c r="V15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https://search-rtdc-monitor-bjffxe2xuh6vdkpspy63sjmuny.us-east-1.es.amazonaws.com/_plugin/kibana/#/discover/Steve-Slow-Train-Analysis-(2080s-and-2083s)?_g=(refreshInterval:(display:Off,section:0,value:0),time:(from:'2016-07-19 23:27:03-0600',mode:absolute,to:'2016-07-20 02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9" s="74" t="str">
        <f t="shared" si="50"/>
        <v>N</v>
      </c>
      <c r="X159" s="92">
        <f t="shared" si="51"/>
        <v>1</v>
      </c>
      <c r="Y159" s="89">
        <f t="shared" si="52"/>
        <v>4.8399999999999999E-2</v>
      </c>
      <c r="Z159" s="89">
        <f t="shared" si="53"/>
        <v>23.3309</v>
      </c>
      <c r="AA159" s="89">
        <f t="shared" si="54"/>
        <v>23.282499999999999</v>
      </c>
      <c r="AB159" s="86" t="e">
        <f>VLOOKUP(A159,Enforcements!$C$7:$J$23,8,0)</f>
        <v>#N/A</v>
      </c>
      <c r="AC159" s="82" t="e">
        <f>VLOOKUP(A159,Enforcements!$C$7:$E$23,3,0)</f>
        <v>#N/A</v>
      </c>
      <c r="AD159" s="83" t="str">
        <f t="shared" si="55"/>
        <v>0243-19</v>
      </c>
      <c r="AE159" s="75" t="str">
        <f t="shared" si="56"/>
        <v>aws s3 cp s3://rtdc.mdm.uploadarchive/RTDC4016/2016-07-20/ "C:\Users\stu\Documents\Analysis\2016-02-23 RTDC Observations"\RTDC4016\2016-07-20 --recursive &amp; "C:\Users\stu\Documents\GitHub\mrs-test-scripts\Headless Mode &amp; Sideloading\WalkAndUnGZ.bat" "C:\Users\stu\Documents\Analysis\2016-02-23 RTDC Observations"\RTDC4016\2016-07-20 &amp; aws s3 cp s3://rtdc.mdm.uploadarchive/RTDC4016/2016-07-21/ "C:\Users\stu\Documents\Analysis\2016-02-23 RTDC Observations"\RTDC4016\2016-07-21 --recursive &amp; "C:\Users\stu\Documents\GitHub\mrs-test-scripts\Headless Mode &amp; Sideloading\WalkAndUnGZ.bat" "C:\Users\stu\Documents\Analysis\2016-02-23 RTDC Observations"\RTDC4016\2016-07-21</v>
      </c>
      <c r="AF159" s="75" t="str">
        <f t="shared" si="57"/>
        <v>"C:\Program Files (x86)\AstroGrep\AstroGrep.exe" /spath="C:\Users\stu\Documents\Analysis\2016-02-23 RTDC Observations" /stypes="*4016*20160720*" /stext=" 07:.+((prompt.+disp)|(slice.+state.+chan)|(ment ac)|(system.+state.+chan)|(\|lc)|(penalty)|(\[timeout))" /e /r /s</v>
      </c>
      <c r="AG159" s="1" t="str">
        <f t="shared" si="58"/>
        <v>EC</v>
      </c>
    </row>
    <row r="160" spans="1:33" hidden="1" x14ac:dyDescent="0.25">
      <c r="A160" s="49" t="s">
        <v>515</v>
      </c>
      <c r="B160" s="7">
        <v>4015</v>
      </c>
      <c r="C160" s="26" t="s">
        <v>59</v>
      </c>
      <c r="D160" s="26" t="s">
        <v>184</v>
      </c>
      <c r="E160" s="16">
        <v>42571.056875000002</v>
      </c>
      <c r="F160" s="16">
        <v>42571.058217592596</v>
      </c>
      <c r="G160" s="7">
        <v>1</v>
      </c>
      <c r="H160" s="16" t="s">
        <v>621</v>
      </c>
      <c r="I160" s="16">
        <v>42571.087418981479</v>
      </c>
      <c r="J160" s="7">
        <v>1</v>
      </c>
      <c r="K160" s="26" t="str">
        <f t="shared" si="45"/>
        <v>4015/4016</v>
      </c>
      <c r="L160" s="26" t="str">
        <f>VLOOKUP(A160,'Trips&amp;Operators'!$C$1:$E$10000,3,FALSE)</f>
        <v>CHANDLER</v>
      </c>
      <c r="M160" s="6">
        <f t="shared" si="46"/>
        <v>2.9201388882938772E-2</v>
      </c>
      <c r="N160" s="7">
        <f t="shared" si="44"/>
        <v>42.049999991431832</v>
      </c>
      <c r="O160" s="7"/>
      <c r="P160" s="7"/>
      <c r="Q160" s="27"/>
      <c r="R160" s="27"/>
      <c r="S160" s="45">
        <f t="shared" si="47"/>
        <v>1</v>
      </c>
      <c r="T160" s="69" t="str">
        <f t="shared" si="48"/>
        <v>Southbound</v>
      </c>
      <c r="U160" s="96">
        <f>COUNTIFS(Variables!$M$2:$M$19,IF(T160="NorthBound","&gt;=","&lt;=")&amp;Y160,Variables!$M$2:$M$19,IF(T160="NorthBound","&lt;=","&gt;=")&amp;Z160)</f>
        <v>12</v>
      </c>
      <c r="V16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https://search-rtdc-monitor-bjffxe2xuh6vdkpspy63sjmuny.us-east-1.es.amazonaws.com/_plugin/kibana/#/discover/Steve-Slow-Train-Analysis-(2080s-and-2083s)?_g=(refreshInterval:(display:Off,section:0,value:0),time:(from:'2016-07-20 00:21:54-0600',mode:absolute,to:'2016-07-20 03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60" s="74" t="str">
        <f t="shared" si="50"/>
        <v>N</v>
      </c>
      <c r="X160" s="92">
        <f t="shared" si="51"/>
        <v>1</v>
      </c>
      <c r="Y160" s="89">
        <f t="shared" si="52"/>
        <v>23.297999999999998</v>
      </c>
      <c r="Z160" s="89">
        <f t="shared" si="53"/>
        <v>1.89E-2</v>
      </c>
      <c r="AA160" s="89">
        <f t="shared" si="54"/>
        <v>23.2791</v>
      </c>
      <c r="AB160" s="86" t="e">
        <f>VLOOKUP(A160,Enforcements!$C$7:$J$23,8,0)</f>
        <v>#N/A</v>
      </c>
      <c r="AC160" s="82" t="e">
        <f>VLOOKUP(A160,Enforcements!$C$7:$E$23,3,0)</f>
        <v>#N/A</v>
      </c>
      <c r="AD160" s="83" t="str">
        <f t="shared" si="55"/>
        <v>0244-19</v>
      </c>
      <c r="AE160" s="75" t="str">
        <f t="shared" si="56"/>
        <v>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 &amp; aws s3 cp s3://rtdc.mdm.uploadarchive/RTDC4015/2016-07-21/ "C:\Users\stu\Documents\Analysis\2016-02-23 RTDC Observations"\RTDC4015\2016-07-21 --recursive &amp; "C:\Users\stu\Documents\GitHub\mrs-test-scripts\Headless Mode &amp; Sideloading\WalkAndUnGZ.bat" "C:\Users\stu\Documents\Analysis\2016-02-23 RTDC Observations"\RTDC4015\2016-07-21</v>
      </c>
      <c r="AF160" s="75" t="str">
        <f t="shared" si="57"/>
        <v>"C:\Program Files (x86)\AstroGrep\AstroGrep.exe" /spath="C:\Users\stu\Documents\Analysis\2016-02-23 RTDC Observations" /stypes="*4015*20160720*" /stext=" 08:.+((prompt.+disp)|(slice.+state.+chan)|(ment ac)|(system.+state.+chan)|(\|lc)|(penalty)|(\[timeout))" /e /r /s</v>
      </c>
      <c r="AG160" s="1" t="str">
        <f t="shared" si="58"/>
        <v>EC</v>
      </c>
    </row>
  </sheetData>
  <autoFilter ref="A12:AD160">
    <filterColumn colId="17">
      <customFilters>
        <customFilter operator="notEqual" val=" "/>
      </customFilters>
    </filterColumn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26" priority="76" operator="equal">
      <formula>"Y"</formula>
    </cfRule>
  </conditionalFormatting>
  <conditionalFormatting sqref="X13:X1048576">
    <cfRule type="cellIs" dxfId="25" priority="59" operator="greaterThan">
      <formula>1</formula>
    </cfRule>
  </conditionalFormatting>
  <conditionalFormatting sqref="X12:X1048576">
    <cfRule type="cellIs" dxfId="24" priority="56" operator="equal">
      <formula>0</formula>
    </cfRule>
  </conditionalFormatting>
  <conditionalFormatting sqref="A13:S160">
    <cfRule type="expression" dxfId="23" priority="52">
      <formula>$O13&gt;0</formula>
    </cfRule>
  </conditionalFormatting>
  <conditionalFormatting sqref="A13:S160">
    <cfRule type="expression" dxfId="22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8"/>
  <sheetViews>
    <sheetView zoomScale="85" zoomScaleNormal="85" workbookViewId="0">
      <selection activeCell="A23" sqref="A23:A25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106</v>
      </c>
      <c r="L2" s="98"/>
      <c r="M2" s="100">
        <f>COUNTIF($M$7:$M$591,"=Y")</f>
        <v>6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107</v>
      </c>
      <c r="L3" s="99"/>
      <c r="M3" s="101">
        <f>COUNTA($M$7:$M$591)-M2</f>
        <v>46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- 2016-07-19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162</v>
      </c>
      <c r="Q6" s="105" t="s">
        <v>69</v>
      </c>
      <c r="R6" s="106" t="s">
        <v>161</v>
      </c>
      <c r="S6" s="103" t="s">
        <v>155</v>
      </c>
      <c r="T6" s="107" t="s">
        <v>156</v>
      </c>
      <c r="U6" s="69" t="s">
        <v>173</v>
      </c>
      <c r="V6" s="69" t="s">
        <v>189</v>
      </c>
    </row>
    <row r="7" spans="1:22" s="1" customFormat="1" x14ac:dyDescent="0.25">
      <c r="A7" s="48">
        <v>42570.737592592595</v>
      </c>
      <c r="B7" s="65" t="s">
        <v>133</v>
      </c>
      <c r="C7" s="41" t="s">
        <v>420</v>
      </c>
      <c r="D7" s="41" t="s">
        <v>50</v>
      </c>
      <c r="E7" s="65" t="s">
        <v>353</v>
      </c>
      <c r="F7" s="66">
        <v>790</v>
      </c>
      <c r="G7" s="66">
        <v>729</v>
      </c>
      <c r="H7" s="66">
        <v>145229</v>
      </c>
      <c r="I7" s="65" t="s">
        <v>58</v>
      </c>
      <c r="J7" s="66">
        <v>110617</v>
      </c>
      <c r="K7" s="41" t="s">
        <v>53</v>
      </c>
      <c r="L7" s="93" t="str">
        <f>VLOOKUP(C7,'Trips&amp;Operators'!$C$1:$E$9999,3,0)</f>
        <v>COOLAHAN</v>
      </c>
      <c r="M7" s="9" t="s">
        <v>104</v>
      </c>
      <c r="N7" s="10" t="s">
        <v>401</v>
      </c>
      <c r="O7" s="41"/>
      <c r="P7" s="72" t="str">
        <f>VLOOKUP(C7,'Train Runs'!$A$13:$AE$844,31,0)</f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Q7" s="70" t="str">
        <f>VLOOKUP(C7,'Train Runs'!$A$13:$AE$844,22,0)</f>
        <v>https://search-rtdc-monitor-bjffxe2xuh6vdkpspy63sjmuny.us-east-1.es.amazonaws.com/_plugin/kibana/#/discover/Steve-Slow-Train-Analysis-(2080s-and-2083s)?_g=(refreshInterval:(display:Off,section:0,value:0),time:(from:'2016-07-19 16:50:47-0600',mode:absolute,to:'2016-07-19 19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/stypes="*4007*20160719*" /stext=" 23:.+((prompt.+disp)|(slice.+state.+chan)|(ment ac)|(system.+state.+chan)|(\|lc)|(penalty)|(\[timeout))" /e /r /s</v>
      </c>
      <c r="S7" s="9" t="str">
        <f t="shared" ref="S7:S38" si="1">MID(B7,13,4)</f>
        <v>4007</v>
      </c>
      <c r="T7" s="48">
        <f t="shared" ref="T7:T38" si="2">A7+6/24</f>
        <v>42570.987592592595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42570.806620370371</v>
      </c>
      <c r="B8" s="65" t="s">
        <v>119</v>
      </c>
      <c r="C8" s="41" t="s">
        <v>424</v>
      </c>
      <c r="D8" s="41" t="s">
        <v>50</v>
      </c>
      <c r="E8" s="65" t="s">
        <v>169</v>
      </c>
      <c r="F8" s="66">
        <v>580</v>
      </c>
      <c r="G8" s="66">
        <v>643</v>
      </c>
      <c r="H8" s="66">
        <v>79260</v>
      </c>
      <c r="I8" s="65" t="s">
        <v>170</v>
      </c>
      <c r="J8" s="66">
        <v>78469</v>
      </c>
      <c r="K8" s="41" t="s">
        <v>54</v>
      </c>
      <c r="L8" s="93" t="str">
        <f>VLOOKUP(C8,'Trips&amp;Operators'!$C$1:$E$9999,3,0)</f>
        <v>SHOOK</v>
      </c>
      <c r="M8" s="9" t="s">
        <v>105</v>
      </c>
      <c r="N8" s="10" t="s">
        <v>645</v>
      </c>
      <c r="O8" s="41"/>
      <c r="P8" s="72" t="str">
        <f>VLOOKUP(C8,'Train Runs'!$A$13:$AE$844,31,0)</f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Q8" s="70" t="str">
        <f>VLOOKUP(C8,'Train Runs'!$A$13:$AE$844,22,0)</f>
        <v>https://search-rtdc-monitor-bjffxe2xuh6vdkpspy63sjmuny.us-east-1.es.amazonaws.com/_plugin/kibana/#/discover/Steve-Slow-Train-Analysis-(2080s-and-2083s)?_g=(refreshInterval:(display:Off,section:0,value:0),time:(from:'2016-07-19 17:48:01-0600',mode:absolute,to:'2016-07-19 20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8" s="71" t="str">
        <f t="shared" si="0"/>
        <v>"C:\Program Files (x86)\AstroGrep\AstroGrep.exe" /spath="C:\Users\stu\Documents\Analysis\2016-02-23 RTDC Observations" /stypes="*4037*20160720*" /stext=" 01:.+((prompt.+disp)|(slice.+state.+chan)|(ment ac)|(system.+state.+chan)|(\|lc)|(penalty)|(\[timeout))" /e /r /s</v>
      </c>
      <c r="S8" s="9" t="str">
        <f t="shared" si="1"/>
        <v>4037</v>
      </c>
      <c r="T8" s="48">
        <f t="shared" si="2"/>
        <v>42571.056620370371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42570.552407407406</v>
      </c>
      <c r="B9" s="65" t="s">
        <v>128</v>
      </c>
      <c r="C9" s="41" t="s">
        <v>409</v>
      </c>
      <c r="D9" s="41" t="s">
        <v>190</v>
      </c>
      <c r="E9" s="65" t="s">
        <v>57</v>
      </c>
      <c r="F9" s="66">
        <v>150</v>
      </c>
      <c r="G9" s="66">
        <v>208</v>
      </c>
      <c r="H9" s="66">
        <v>992</v>
      </c>
      <c r="I9" s="65" t="s">
        <v>58</v>
      </c>
      <c r="J9" s="66">
        <v>0</v>
      </c>
      <c r="K9" s="41" t="s">
        <v>53</v>
      </c>
      <c r="L9" s="93" t="str">
        <f>VLOOKUP(C9,'Trips&amp;Operators'!$C$1:$E$9999,3,0)</f>
        <v>LOCKLEAR</v>
      </c>
      <c r="M9" s="9" t="s">
        <v>105</v>
      </c>
      <c r="N9" s="10"/>
      <c r="O9" s="41"/>
      <c r="P9" s="72" t="str">
        <f>VLOOKUP(C9,'Train Runs'!$A$13:$AE$844,31,0)</f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Q9" s="70" t="str">
        <f>VLOOKUP(C9,'Train Runs'!$A$13:$AE$844,22,0)</f>
        <v>https://search-rtdc-monitor-bjffxe2xuh6vdkpspy63sjmuny.us-east-1.es.amazonaws.com/_plugin/kibana/#/discover/Steve-Slow-Train-Analysis-(2080s-and-2083s)?_g=(refreshInterval:(display:Off,section:0,value:0),time:(from:'2016-07-19 12:10:47-0600',mode:absolute,to:'2016-07-19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9" s="71" t="str">
        <f t="shared" si="0"/>
        <v>"C:\Program Files (x86)\AstroGrep\AstroGrep.exe" /spath="C:\Users\stu\Documents\Analysis\2016-02-23 RTDC Observations" /stypes="*4044*20160719*" /stext=" 19:.+((prompt.+disp)|(slice.+state.+chan)|(ment ac)|(system.+state.+chan)|(\|lc)|(penalty)|(\[timeout))" /e /r /s</v>
      </c>
      <c r="S9" s="9" t="str">
        <f t="shared" si="1"/>
        <v>4044</v>
      </c>
      <c r="T9" s="48">
        <f t="shared" si="2"/>
        <v>42570.802407407406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42570.660185185188</v>
      </c>
      <c r="B10" s="65" t="s">
        <v>122</v>
      </c>
      <c r="C10" s="41" t="s">
        <v>416</v>
      </c>
      <c r="D10" s="41" t="s">
        <v>50</v>
      </c>
      <c r="E10" s="65" t="s">
        <v>57</v>
      </c>
      <c r="F10" s="66">
        <v>300</v>
      </c>
      <c r="G10" s="66">
        <v>279</v>
      </c>
      <c r="H10" s="66">
        <v>19951</v>
      </c>
      <c r="I10" s="65" t="s">
        <v>58</v>
      </c>
      <c r="J10" s="66">
        <v>20338</v>
      </c>
      <c r="K10" s="41" t="s">
        <v>53</v>
      </c>
      <c r="L10" s="93" t="str">
        <f>VLOOKUP(C10,'Trips&amp;Operators'!$C$1:$E$9999,3,0)</f>
        <v>MAYBERRY</v>
      </c>
      <c r="M10" s="9" t="s">
        <v>105</v>
      </c>
      <c r="N10" s="10"/>
      <c r="O10" s="41"/>
      <c r="P10" s="72" t="str">
        <f>VLOOKUP(C10,'Train Runs'!$A$13:$AE$844,31,0)</f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Q10" s="70" t="str">
        <f>VLOOKUP(C10,'Train Runs'!$A$13:$AE$844,22,0)</f>
        <v>https://search-rtdc-monitor-bjffxe2xuh6vdkpspy63sjmuny.us-east-1.es.amazonaws.com/_plugin/kibana/#/discover/Steve-Slow-Train-Analysis-(2080s-and-2083s)?_g=(refreshInterval:(display:Off,section:0,value:0),time:(from:'2016-07-19 14:39:21-0600',mode:absolute,to:'2016-07-19 17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0" s="71" t="str">
        <f t="shared" si="0"/>
        <v>"C:\Program Files (x86)\AstroGrep\AstroGrep.exe" /spath="C:\Users\stu\Documents\Analysis\2016-02-23 RTDC Observations" /stypes="*4027*20160719*" /stext=" 21:.+((prompt.+disp)|(slice.+state.+chan)|(ment ac)|(system.+state.+chan)|(\|lc)|(penalty)|(\[timeout))" /e /r /s</v>
      </c>
      <c r="S10" s="9" t="str">
        <f t="shared" si="1"/>
        <v>4027</v>
      </c>
      <c r="T10" s="48">
        <f t="shared" si="2"/>
        <v>42570.910185185188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42570.518067129633</v>
      </c>
      <c r="B11" s="65" t="s">
        <v>119</v>
      </c>
      <c r="C11" s="41" t="s">
        <v>406</v>
      </c>
      <c r="D11" s="41" t="s">
        <v>50</v>
      </c>
      <c r="E11" s="65" t="s">
        <v>57</v>
      </c>
      <c r="F11" s="66">
        <v>300</v>
      </c>
      <c r="G11" s="66">
        <v>458</v>
      </c>
      <c r="H11" s="66">
        <v>23636</v>
      </c>
      <c r="I11" s="65" t="s">
        <v>58</v>
      </c>
      <c r="J11" s="66">
        <v>21848</v>
      </c>
      <c r="K11" s="41" t="s">
        <v>54</v>
      </c>
      <c r="L11" s="93" t="str">
        <f>VLOOKUP(C11,'Trips&amp;Operators'!$C$1:$E$9999,3,0)</f>
        <v>STORY</v>
      </c>
      <c r="M11" s="9" t="s">
        <v>105</v>
      </c>
      <c r="N11" s="10"/>
      <c r="O11" s="41"/>
      <c r="P11" s="72" t="str">
        <f>VLOOKUP(C11,'Train Runs'!$A$13:$AE$844,31,0)</f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Q11" s="70" t="str">
        <f>VLOOKUP(C11,'Train Runs'!$A$13:$AE$844,22,0)</f>
        <v>https://search-rtdc-monitor-bjffxe2xuh6vdkpspy63sjmuny.us-east-1.es.amazonaws.com/_plugin/kibana/#/discover/Steve-Slow-Train-Analysis-(2080s-and-2083s)?_g=(refreshInterval:(display:Off,section:0,value:0),time:(from:'2016-07-19 10:45:49-0600',mode:absolute,to:'2016-07-19 13:33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1" s="71" t="str">
        <f t="shared" si="0"/>
        <v>"C:\Program Files (x86)\AstroGrep\AstroGrep.exe" /spath="C:\Users\stu\Documents\Analysis\2016-02-23 RTDC Observations" /stypes="*4037*20160719*" /stext=" 18:.+((prompt.+disp)|(slice.+state.+chan)|(ment ac)|(system.+state.+chan)|(\|lc)|(penalty)|(\[timeout))" /e /r /s</v>
      </c>
      <c r="S11" s="9" t="str">
        <f t="shared" si="1"/>
        <v>4037</v>
      </c>
      <c r="T11" s="48">
        <f t="shared" si="2"/>
        <v>42570.768067129633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42570.670335648145</v>
      </c>
      <c r="B12" s="65" t="s">
        <v>122</v>
      </c>
      <c r="C12" s="41" t="s">
        <v>416</v>
      </c>
      <c r="D12" s="41" t="s">
        <v>50</v>
      </c>
      <c r="E12" s="65" t="s">
        <v>57</v>
      </c>
      <c r="F12" s="66">
        <v>400</v>
      </c>
      <c r="G12" s="66">
        <v>466</v>
      </c>
      <c r="H12" s="66">
        <v>116364</v>
      </c>
      <c r="I12" s="65" t="s">
        <v>58</v>
      </c>
      <c r="J12" s="66">
        <v>116838</v>
      </c>
      <c r="K12" s="41" t="s">
        <v>53</v>
      </c>
      <c r="L12" s="93" t="str">
        <f>VLOOKUP(C12,'Trips&amp;Operators'!$C$1:$E$9999,3,0)</f>
        <v>MAYBERRY</v>
      </c>
      <c r="M12" s="9" t="s">
        <v>105</v>
      </c>
      <c r="N12" s="10"/>
      <c r="O12" s="41"/>
      <c r="P12" s="72" t="str">
        <f>VLOOKUP(C12,'Train Runs'!$A$13:$AE$844,31,0)</f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Q12" s="70" t="str">
        <f>VLOOKUP(C12,'Train Runs'!$A$13:$AE$844,22,0)</f>
        <v>https://search-rtdc-monitor-bjffxe2xuh6vdkpspy63sjmuny.us-east-1.es.amazonaws.com/_plugin/kibana/#/discover/Steve-Slow-Train-Analysis-(2080s-and-2083s)?_g=(refreshInterval:(display:Off,section:0,value:0),time:(from:'2016-07-19 14:39:21-0600',mode:absolute,to:'2016-07-19 17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2" s="71" t="str">
        <f t="shared" si="0"/>
        <v>"C:\Program Files (x86)\AstroGrep\AstroGrep.exe" /spath="C:\Users\stu\Documents\Analysis\2016-02-23 RTDC Observations" /stypes="*4027*20160719*" /stext=" 22:.+((prompt.+disp)|(slice.+state.+chan)|(ment ac)|(system.+state.+chan)|(\|lc)|(penalty)|(\[timeout))" /e /r /s</v>
      </c>
      <c r="S12" s="9" t="str">
        <f t="shared" si="1"/>
        <v>4027</v>
      </c>
      <c r="T12" s="48">
        <f t="shared" si="2"/>
        <v>42570.920335648145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42570.238541666666</v>
      </c>
      <c r="B13" s="65" t="s">
        <v>119</v>
      </c>
      <c r="C13" s="41" t="s">
        <v>384</v>
      </c>
      <c r="D13" s="41" t="s">
        <v>50</v>
      </c>
      <c r="E13" s="65" t="s">
        <v>57</v>
      </c>
      <c r="F13" s="66">
        <v>400</v>
      </c>
      <c r="G13" s="66">
        <v>444</v>
      </c>
      <c r="H13" s="66">
        <v>120519</v>
      </c>
      <c r="I13" s="65" t="s">
        <v>58</v>
      </c>
      <c r="J13" s="66">
        <v>119716</v>
      </c>
      <c r="K13" s="41" t="s">
        <v>54</v>
      </c>
      <c r="L13" s="93" t="str">
        <f>VLOOKUP(C13,'Trips&amp;Operators'!$C$1:$E$9999,3,0)</f>
        <v>SPECTOR</v>
      </c>
      <c r="M13" s="9" t="s">
        <v>105</v>
      </c>
      <c r="N13" s="10"/>
      <c r="O13" s="41"/>
      <c r="P13" s="72" t="str">
        <f>VLOOKUP(C13,'Train Runs'!$A$13:$AE$844,31,0)</f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Q13" s="70" t="str">
        <f>VLOOKUP(C13,'Train Runs'!$A$13:$AE$844,22,0)</f>
        <v>https://search-rtdc-monitor-bjffxe2xuh6vdkpspy63sjmuny.us-east-1.es.amazonaws.com/_plugin/kibana/#/discover/Steve-Slow-Train-Analysis-(2080s-and-2083s)?_g=(refreshInterval:(display:Off,section:0,value:0),time:(from:'2016-07-19 04:18:41-0600',mode:absolute,to:'2016-07-19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3" s="71" t="str">
        <f t="shared" si="0"/>
        <v>"C:\Program Files (x86)\AstroGrep\AstroGrep.exe" /spath="C:\Users\stu\Documents\Analysis\2016-02-23 RTDC Observations" /stypes="*4037*20160719*" /stext=" 11:.+((prompt.+disp)|(slice.+state.+chan)|(ment ac)|(system.+state.+chan)|(\|lc)|(penalty)|(\[timeout))" /e /r /s</v>
      </c>
      <c r="S13" s="9" t="str">
        <f t="shared" si="1"/>
        <v>4037</v>
      </c>
      <c r="T13" s="48">
        <f t="shared" si="2"/>
        <v>42570.488541666666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42570.525625000002</v>
      </c>
      <c r="B14" s="65" t="s">
        <v>122</v>
      </c>
      <c r="C14" s="41" t="s">
        <v>407</v>
      </c>
      <c r="D14" s="41" t="s">
        <v>190</v>
      </c>
      <c r="E14" s="65" t="s">
        <v>57</v>
      </c>
      <c r="F14" s="66">
        <v>600</v>
      </c>
      <c r="G14" s="66">
        <v>650</v>
      </c>
      <c r="H14" s="66">
        <v>123946</v>
      </c>
      <c r="I14" s="65" t="s">
        <v>58</v>
      </c>
      <c r="J14" s="66">
        <v>119716</v>
      </c>
      <c r="K14" s="41" t="s">
        <v>53</v>
      </c>
      <c r="L14" s="93" t="str">
        <f>VLOOKUP(C14,'Trips&amp;Operators'!$C$1:$E$9999,3,0)</f>
        <v>MAYBERRY</v>
      </c>
      <c r="M14" s="9" t="s">
        <v>105</v>
      </c>
      <c r="N14" s="10"/>
      <c r="O14" s="41"/>
      <c r="P14" s="72" t="str">
        <f>VLOOKUP(C14,'Train Runs'!$A$13:$AE$844,31,0)</f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Q14" s="70" t="str">
        <f>VLOOKUP(C14,'Train Runs'!$A$13:$AE$844,22,0)</f>
        <v>https://search-rtdc-monitor-bjffxe2xuh6vdkpspy63sjmuny.us-east-1.es.amazonaws.com/_plugin/kibana/#/discover/Steve-Slow-Train-Analysis-(2080s-and-2083s)?_g=(refreshInterval:(display:Off,section:0,value:0),time:(from:'2016-07-19 11:07:25-0600',mode:absolute,to:'2016-07-19 13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4" s="71" t="str">
        <f t="shared" si="0"/>
        <v>"C:\Program Files (x86)\AstroGrep\AstroGrep.exe" /spath="C:\Users\stu\Documents\Analysis\2016-02-23 RTDC Observations" /stypes="*4027*20160719*" /stext=" 18:.+((prompt.+disp)|(slice.+state.+chan)|(ment ac)|(system.+state.+chan)|(\|lc)|(penalty)|(\[timeout))" /e /r /s</v>
      </c>
      <c r="S14" s="9" t="str">
        <f t="shared" si="1"/>
        <v>4027</v>
      </c>
      <c r="T14" s="48">
        <f t="shared" si="2"/>
        <v>42570.775625000002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42570.231631944444</v>
      </c>
      <c r="B15" s="65" t="s">
        <v>119</v>
      </c>
      <c r="C15" s="41" t="s">
        <v>384</v>
      </c>
      <c r="D15" s="41" t="s">
        <v>190</v>
      </c>
      <c r="E15" s="65" t="s">
        <v>57</v>
      </c>
      <c r="F15" s="66">
        <v>600</v>
      </c>
      <c r="G15" s="66">
        <v>654</v>
      </c>
      <c r="H15" s="66">
        <v>184903</v>
      </c>
      <c r="I15" s="65" t="s">
        <v>58</v>
      </c>
      <c r="J15" s="66">
        <v>190834</v>
      </c>
      <c r="K15" s="41" t="s">
        <v>54</v>
      </c>
      <c r="L15" s="93" t="str">
        <f>VLOOKUP(C15,'Trips&amp;Operators'!$C$1:$E$9999,3,0)</f>
        <v>SPECTOR</v>
      </c>
      <c r="M15" s="9" t="s">
        <v>105</v>
      </c>
      <c r="N15" s="10"/>
      <c r="O15" s="41"/>
      <c r="P15" s="72" t="str">
        <f>VLOOKUP(C15,'Train Runs'!$A$13:$AE$844,31,0)</f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Q15" s="70" t="str">
        <f>VLOOKUP(C15,'Train Runs'!$A$13:$AE$844,22,0)</f>
        <v>https://search-rtdc-monitor-bjffxe2xuh6vdkpspy63sjmuny.us-east-1.es.amazonaws.com/_plugin/kibana/#/discover/Steve-Slow-Train-Analysis-(2080s-and-2083s)?_g=(refreshInterval:(display:Off,section:0,value:0),time:(from:'2016-07-19 04:18:41-0600',mode:absolute,to:'2016-07-19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5" s="71" t="str">
        <f t="shared" si="0"/>
        <v>"C:\Program Files (x86)\AstroGrep\AstroGrep.exe" /spath="C:\Users\stu\Documents\Analysis\2016-02-23 RTDC Observations" /stypes="*4037*20160719*" /stext=" 11:.+((prompt.+disp)|(slice.+state.+chan)|(ment ac)|(system.+state.+chan)|(\|lc)|(penalty)|(\[timeout))" /e /r /s</v>
      </c>
      <c r="S15" s="9" t="str">
        <f t="shared" si="1"/>
        <v>4037</v>
      </c>
      <c r="T15" s="48">
        <f t="shared" si="2"/>
        <v>42570.481631944444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42570.680104166669</v>
      </c>
      <c r="B16" s="65" t="s">
        <v>195</v>
      </c>
      <c r="C16" s="41" t="s">
        <v>419</v>
      </c>
      <c r="D16" s="41" t="s">
        <v>190</v>
      </c>
      <c r="E16" s="65" t="s">
        <v>57</v>
      </c>
      <c r="F16" s="66">
        <v>600</v>
      </c>
      <c r="G16" s="66">
        <v>651</v>
      </c>
      <c r="H16" s="66">
        <v>184476</v>
      </c>
      <c r="I16" s="65" t="s">
        <v>58</v>
      </c>
      <c r="J16" s="66">
        <v>190834</v>
      </c>
      <c r="K16" s="41" t="s">
        <v>54</v>
      </c>
      <c r="L16" s="93" t="str">
        <f>VLOOKUP(C16,'Trips&amp;Operators'!$C$1:$E$9999,3,0)</f>
        <v>DAVIS</v>
      </c>
      <c r="M16" s="9" t="s">
        <v>105</v>
      </c>
      <c r="N16" s="10"/>
      <c r="O16" s="41"/>
      <c r="P16" s="72" t="str">
        <f>VLOOKUP(C16,'Train Runs'!$A$13:$AE$844,31,0)</f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Q16" s="70" t="str">
        <f>VLOOKUP(C16,'Train Runs'!$A$13:$AE$844,22,0)</f>
        <v>https://search-rtdc-monitor-bjffxe2xuh6vdkpspy63sjmuny.us-east-1.es.amazonaws.com/_plugin/kibana/#/discover/Steve-Slow-Train-Analysis-(2080s-and-2083s)?_g=(refreshInterval:(display:Off,section:0,value:0),time:(from:'2016-07-19 15:01:54-0600',mode:absolute,to:'2016-07-19 17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6" s="71" t="str">
        <f t="shared" si="0"/>
        <v>"C:\Program Files (x86)\AstroGrep\AstroGrep.exe" /spath="C:\Users\stu\Documents\Analysis\2016-02-23 RTDC Observations" /stypes="*4010*20160719*" /stext=" 22:.+((prompt.+disp)|(slice.+state.+chan)|(ment ac)|(system.+state.+chan)|(\|lc)|(penalty)|(\[timeout))" /e /r /s</v>
      </c>
      <c r="S16" s="9" t="str">
        <f t="shared" si="1"/>
        <v>4010</v>
      </c>
      <c r="T16" s="48">
        <f t="shared" si="2"/>
        <v>42570.930104166669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42570.66920138889</v>
      </c>
      <c r="B17" s="65" t="s">
        <v>131</v>
      </c>
      <c r="C17" s="41" t="s">
        <v>418</v>
      </c>
      <c r="D17" s="41" t="s">
        <v>50</v>
      </c>
      <c r="E17" s="65" t="s">
        <v>57</v>
      </c>
      <c r="F17" s="66">
        <v>450</v>
      </c>
      <c r="G17" s="66">
        <v>440</v>
      </c>
      <c r="H17" s="66">
        <v>192161</v>
      </c>
      <c r="I17" s="65" t="s">
        <v>58</v>
      </c>
      <c r="J17" s="66">
        <v>191108</v>
      </c>
      <c r="K17" s="41" t="s">
        <v>54</v>
      </c>
      <c r="L17" s="93" t="str">
        <f>VLOOKUP(C17,'Trips&amp;Operators'!$C$1:$E$9999,3,0)</f>
        <v>LOCKLEAR</v>
      </c>
      <c r="M17" s="9" t="s">
        <v>105</v>
      </c>
      <c r="N17" s="10"/>
      <c r="O17" s="41"/>
      <c r="P17" s="72" t="str">
        <f>VLOOKUP(C17,'Train Runs'!$A$13:$AE$844,31,0)</f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Q17" s="70" t="str">
        <f>VLOOKUP(C17,'Train Runs'!$A$13:$AE$844,22,0)</f>
        <v>https://search-rtdc-monitor-bjffxe2xuh6vdkpspy63sjmuny.us-east-1.es.amazonaws.com/_plugin/kibana/#/discover/Steve-Slow-Train-Analysis-(2080s-and-2083s)?_g=(refreshInterval:(display:Off,section:0,value:0),time:(from:'2016-07-19 14:53:21-0600',mode:absolute,to:'2016-07-19 17:34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7" s="71" t="str">
        <f t="shared" si="0"/>
        <v>"C:\Program Files (x86)\AstroGrep\AstroGrep.exe" /spath="C:\Users\stu\Documents\Analysis\2016-02-23 RTDC Observations" /stypes="*4043*20160719*" /stext=" 22:.+((prompt.+disp)|(slice.+state.+chan)|(ment ac)|(system.+state.+chan)|(\|lc)|(penalty)|(\[timeout))" /e /r /s</v>
      </c>
      <c r="S17" s="9" t="str">
        <f t="shared" si="1"/>
        <v>4043</v>
      </c>
      <c r="T17" s="48">
        <f t="shared" si="2"/>
        <v>42570.91920138889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42570.675625000003</v>
      </c>
      <c r="B18" s="65" t="s">
        <v>195</v>
      </c>
      <c r="C18" s="41" t="s">
        <v>419</v>
      </c>
      <c r="D18" s="41" t="s">
        <v>50</v>
      </c>
      <c r="E18" s="65" t="s">
        <v>57</v>
      </c>
      <c r="F18" s="66">
        <v>150</v>
      </c>
      <c r="G18" s="66">
        <v>200</v>
      </c>
      <c r="H18" s="66">
        <v>229416</v>
      </c>
      <c r="I18" s="65" t="s">
        <v>58</v>
      </c>
      <c r="J18" s="66">
        <v>229055</v>
      </c>
      <c r="K18" s="41" t="s">
        <v>54</v>
      </c>
      <c r="L18" s="93" t="str">
        <f>VLOOKUP(C18,'Trips&amp;Operators'!$C$1:$E$9999,3,0)</f>
        <v>DAVIS</v>
      </c>
      <c r="M18" s="9" t="s">
        <v>105</v>
      </c>
      <c r="N18" s="10"/>
      <c r="O18" s="41"/>
      <c r="P18" s="72" t="str">
        <f>VLOOKUP(C18,'Train Runs'!$A$13:$AE$844,31,0)</f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Q18" s="70" t="str">
        <f>VLOOKUP(C18,'Train Runs'!$A$13:$AE$844,22,0)</f>
        <v>https://search-rtdc-monitor-bjffxe2xuh6vdkpspy63sjmuny.us-east-1.es.amazonaws.com/_plugin/kibana/#/discover/Steve-Slow-Train-Analysis-(2080s-and-2083s)?_g=(refreshInterval:(display:Off,section:0,value:0),time:(from:'2016-07-19 15:01:54-0600',mode:absolute,to:'2016-07-19 17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8" s="71" t="str">
        <f t="shared" si="0"/>
        <v>"C:\Program Files (x86)\AstroGrep\AstroGrep.exe" /spath="C:\Users\stu\Documents\Analysis\2016-02-23 RTDC Observations" /stypes="*4010*20160719*" /stext=" 22:.+((prompt.+disp)|(slice.+state.+chan)|(ment ac)|(system.+state.+chan)|(\|lc)|(penalty)|(\[timeout))" /e /r /s</v>
      </c>
      <c r="S18" s="9" t="str">
        <f t="shared" si="1"/>
        <v>4010</v>
      </c>
      <c r="T18" s="48">
        <f t="shared" si="2"/>
        <v>42570.925625000003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42570.629247685189</v>
      </c>
      <c r="B19" s="65" t="s">
        <v>109</v>
      </c>
      <c r="C19" s="41" t="s">
        <v>415</v>
      </c>
      <c r="D19" s="41" t="s">
        <v>50</v>
      </c>
      <c r="E19" s="65" t="s">
        <v>57</v>
      </c>
      <c r="F19" s="66">
        <v>150</v>
      </c>
      <c r="G19" s="66">
        <v>151</v>
      </c>
      <c r="H19" s="66">
        <v>230046</v>
      </c>
      <c r="I19" s="65" t="s">
        <v>58</v>
      </c>
      <c r="J19" s="66">
        <v>230436</v>
      </c>
      <c r="K19" s="41" t="s">
        <v>53</v>
      </c>
      <c r="L19" s="93" t="str">
        <f>VLOOKUP(C19,'Trips&amp;Operators'!$C$1:$E$9999,3,0)</f>
        <v>STORY</v>
      </c>
      <c r="M19" s="9" t="s">
        <v>105</v>
      </c>
      <c r="N19" s="10"/>
      <c r="O19" s="41"/>
      <c r="P19" s="72" t="str">
        <f>VLOOKUP(C19,'Train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19" s="70" t="str">
        <f>VLOOKUP(C19,'Train Runs'!$A$13:$AE$844,22,0)</f>
        <v>https://search-rtdc-monitor-bjffxe2xuh6vdkpspy63sjmuny.us-east-1.es.amazonaws.com/_plugin/kibana/#/discover/Steve-Slow-Train-Analysis-(2080s-and-2083s)?_g=(refreshInterval:(display:Off,section:0,value:0),time:(from:'2016-07-19 13:24:45-0600',mode:absolute,to:'2016-07-19 16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9" s="71" t="str">
        <f t="shared" si="0"/>
        <v>"C:\Program Files (x86)\AstroGrep\AstroGrep.exe" /spath="C:\Users\stu\Documents\Analysis\2016-02-23 RTDC Observations" /stypes="*4038*20160719*" /stext=" 21:.+((prompt.+disp)|(slice.+state.+chan)|(ment ac)|(system.+state.+chan)|(\|lc)|(penalty)|(\[timeout))" /e /r /s</v>
      </c>
      <c r="S19" s="9" t="str">
        <f t="shared" si="1"/>
        <v>4038</v>
      </c>
      <c r="T19" s="48">
        <f t="shared" si="2"/>
        <v>42570.879247685189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42570.31690972222</v>
      </c>
      <c r="B20" s="65" t="s">
        <v>109</v>
      </c>
      <c r="C20" s="41" t="s">
        <v>392</v>
      </c>
      <c r="D20" s="41" t="s">
        <v>190</v>
      </c>
      <c r="E20" s="65" t="s">
        <v>55</v>
      </c>
      <c r="F20" s="66">
        <v>0</v>
      </c>
      <c r="G20" s="66">
        <v>51</v>
      </c>
      <c r="H20" s="66">
        <v>1810</v>
      </c>
      <c r="I20" s="65" t="s">
        <v>56</v>
      </c>
      <c r="J20" s="66">
        <v>1692</v>
      </c>
      <c r="K20" s="41" t="s">
        <v>53</v>
      </c>
      <c r="L20" s="93" t="str">
        <f>VLOOKUP(C20,'Trips&amp;Operators'!$C$1:$E$9999,3,0)</f>
        <v>ROCHA</v>
      </c>
      <c r="M20" s="9" t="s">
        <v>105</v>
      </c>
      <c r="N20" s="10" t="s">
        <v>650</v>
      </c>
      <c r="O20" s="41"/>
      <c r="P20" s="72" t="str">
        <f>VLOOKUP(C20,'Train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20" s="70" t="str">
        <f>VLOOKUP(C20,'Train Runs'!$A$13:$AE$844,22,0)</f>
        <v>https://search-rtdc-monitor-bjffxe2xuh6vdkpspy63sjmuny.us-east-1.es.amazonaws.com/_plugin/kibana/#/discover/Steve-Slow-Train-Analysis-(2080s-and-2083s)?_g=(refreshInterval:(display:Off,section:0,value:0),time:(from:'2016-07-19 06:30:25-0600',mode:absolute,to:'2016-07-19 08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0" s="71" t="str">
        <f t="shared" si="0"/>
        <v>"C:\Program Files (x86)\AstroGrep\AstroGrep.exe" /spath="C:\Users\stu\Documents\Analysis\2016-02-23 RTDC Observations" /stypes="*4038*20160719*" /stext=" 13:.+((prompt.+disp)|(slice.+state.+chan)|(ment ac)|(system.+state.+chan)|(\|lc)|(penalty)|(\[timeout))" /e /r /s</v>
      </c>
      <c r="S20" s="9" t="str">
        <f t="shared" si="1"/>
        <v>4038</v>
      </c>
      <c r="T20" s="48">
        <f t="shared" si="2"/>
        <v>42570.56690972222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42570.317465277774</v>
      </c>
      <c r="B21" s="65" t="s">
        <v>109</v>
      </c>
      <c r="C21" s="41" t="s">
        <v>392</v>
      </c>
      <c r="D21" s="41" t="s">
        <v>190</v>
      </c>
      <c r="E21" s="65" t="s">
        <v>55</v>
      </c>
      <c r="F21" s="66">
        <v>0</v>
      </c>
      <c r="G21" s="66">
        <v>4</v>
      </c>
      <c r="H21" s="66">
        <v>1865</v>
      </c>
      <c r="I21" s="65" t="s">
        <v>56</v>
      </c>
      <c r="J21" s="66">
        <v>1692</v>
      </c>
      <c r="K21" s="41" t="s">
        <v>53</v>
      </c>
      <c r="L21" s="93" t="str">
        <f>VLOOKUP(C21,'Trips&amp;Operators'!$C$1:$E$9999,3,0)</f>
        <v>ROCHA</v>
      </c>
      <c r="M21" s="9" t="s">
        <v>105</v>
      </c>
      <c r="N21" s="10" t="s">
        <v>650</v>
      </c>
      <c r="O21" s="41"/>
      <c r="P21" s="72" t="str">
        <f>VLOOKUP(C21,'Train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21" s="70" t="str">
        <f>VLOOKUP(C21,'Train Runs'!$A$13:$AE$844,22,0)</f>
        <v>https://search-rtdc-monitor-bjffxe2xuh6vdkpspy63sjmuny.us-east-1.es.amazonaws.com/_plugin/kibana/#/discover/Steve-Slow-Train-Analysis-(2080s-and-2083s)?_g=(refreshInterval:(display:Off,section:0,value:0),time:(from:'2016-07-19 06:30:25-0600',mode:absolute,to:'2016-07-19 08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1" s="71" t="str">
        <f t="shared" si="0"/>
        <v>"C:\Program Files (x86)\AstroGrep\AstroGrep.exe" /spath="C:\Users\stu\Documents\Analysis\2016-02-23 RTDC Observations" /stypes="*4038*20160719*" /stext=" 13:.+((prompt.+disp)|(slice.+state.+chan)|(ment ac)|(system.+state.+chan)|(\|lc)|(penalty)|(\[timeout))" /e /r /s</v>
      </c>
      <c r="S21" s="9" t="str">
        <f t="shared" si="1"/>
        <v>4038</v>
      </c>
      <c r="T21" s="48">
        <f t="shared" si="2"/>
        <v>42570.567465277774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42570.380069444444</v>
      </c>
      <c r="B22" s="65" t="s">
        <v>372</v>
      </c>
      <c r="C22" s="41" t="s">
        <v>390</v>
      </c>
      <c r="D22" s="41" t="s">
        <v>50</v>
      </c>
      <c r="E22" s="65" t="s">
        <v>55</v>
      </c>
      <c r="F22" s="66">
        <v>0</v>
      </c>
      <c r="G22" s="66">
        <v>457</v>
      </c>
      <c r="H22" s="66">
        <v>39178</v>
      </c>
      <c r="I22" s="65" t="s">
        <v>56</v>
      </c>
      <c r="J22" s="66">
        <v>38656</v>
      </c>
      <c r="K22" s="41" t="s">
        <v>54</v>
      </c>
      <c r="L22" s="93" t="str">
        <f>VLOOKUP(C22,'Trips&amp;Operators'!$C$1:$E$9999,3,0)</f>
        <v>ACKERMAN</v>
      </c>
      <c r="M22" s="9" t="s">
        <v>104</v>
      </c>
      <c r="N22" s="10" t="s">
        <v>402</v>
      </c>
      <c r="O22" s="41"/>
      <c r="P22" s="72" t="str">
        <f>VLOOKUP(C22,'Train Runs'!$A$13:$AE$844,31,0)</f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Q22" s="70" t="str">
        <f>VLOOKUP(C22,'Train Runs'!$A$13:$AE$844,22,0)</f>
        <v>https://search-rtdc-monitor-bjffxe2xuh6vdkpspy63sjmuny.us-east-1.es.amazonaws.com/_plugin/kibana/#/discover/Steve-Slow-Train-Analysis-(2080s-and-2083s)?_g=(refreshInterval:(display:Off,section:0,value:0),time:(from:'2016-07-19 07:32:14-0600',mode:absolute,to:'2016-07-19 10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2" s="71" t="str">
        <f t="shared" si="0"/>
        <v>"C:\Program Files (x86)\AstroGrep\AstroGrep.exe" /spath="C:\Users\stu\Documents\Analysis\2016-02-23 RTDC Observations" /stypes="*4012*20160719*" /stext=" 15:.+((prompt.+disp)|(slice.+state.+chan)|(ment ac)|(system.+state.+chan)|(\|lc)|(penalty)|(\[timeout))" /e /r /s</v>
      </c>
      <c r="S22" s="9" t="str">
        <f t="shared" si="1"/>
        <v>4012</v>
      </c>
      <c r="T22" s="48">
        <f t="shared" si="2"/>
        <v>42570.630069444444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42570.552777777775</v>
      </c>
      <c r="B23" s="65" t="s">
        <v>128</v>
      </c>
      <c r="C23" s="41" t="s">
        <v>409</v>
      </c>
      <c r="D23" s="41" t="s">
        <v>50</v>
      </c>
      <c r="E23" s="65" t="s">
        <v>55</v>
      </c>
      <c r="F23" s="66">
        <v>0</v>
      </c>
      <c r="G23" s="66">
        <v>15</v>
      </c>
      <c r="H23" s="66">
        <v>1242</v>
      </c>
      <c r="I23" s="65" t="s">
        <v>56</v>
      </c>
      <c r="J23" s="66">
        <v>63995</v>
      </c>
      <c r="K23" s="41" t="s">
        <v>53</v>
      </c>
      <c r="L23" s="93" t="str">
        <f>VLOOKUP(C23,'Trips&amp;Operators'!$C$1:$E$9999,3,0)</f>
        <v>LOCKLEAR</v>
      </c>
      <c r="M23" s="9" t="s">
        <v>104</v>
      </c>
      <c r="N23" s="10" t="s">
        <v>402</v>
      </c>
      <c r="O23" s="41"/>
      <c r="P23" s="72" t="str">
        <f>VLOOKUP(C23,'Train Runs'!$A$13:$AE$844,31,0)</f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Q23" s="70" t="str">
        <f>VLOOKUP(C23,'Train Runs'!$A$13:$AE$844,22,0)</f>
        <v>https://search-rtdc-monitor-bjffxe2xuh6vdkpspy63sjmuny.us-east-1.es.amazonaws.com/_plugin/kibana/#/discover/Steve-Slow-Train-Analysis-(2080s-and-2083s)?_g=(refreshInterval:(display:Off,section:0,value:0),time:(from:'2016-07-19 12:10:47-0600',mode:absolute,to:'2016-07-19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3" s="71" t="str">
        <f t="shared" si="0"/>
        <v>"C:\Program Files (x86)\AstroGrep\AstroGrep.exe" /spath="C:\Users\stu\Documents\Analysis\2016-02-23 RTDC Observations" /stypes="*4044*20160719*" /stext=" 19:.+((prompt.+disp)|(slice.+state.+chan)|(ment ac)|(system.+state.+chan)|(\|lc)|(penalty)|(\[timeout))" /e /r /s</v>
      </c>
      <c r="S23" s="9" t="str">
        <f t="shared" si="1"/>
        <v>4044</v>
      </c>
      <c r="T23" s="48">
        <f t="shared" si="2"/>
        <v>42570.802777777775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42570.553460648145</v>
      </c>
      <c r="B24" s="65" t="s">
        <v>128</v>
      </c>
      <c r="C24" s="41" t="s">
        <v>409</v>
      </c>
      <c r="D24" s="41" t="s">
        <v>50</v>
      </c>
      <c r="E24" s="65" t="s">
        <v>55</v>
      </c>
      <c r="F24" s="66">
        <v>0</v>
      </c>
      <c r="G24" s="66">
        <v>15</v>
      </c>
      <c r="H24" s="66">
        <v>1242</v>
      </c>
      <c r="I24" s="65" t="s">
        <v>56</v>
      </c>
      <c r="J24" s="66">
        <v>63995</v>
      </c>
      <c r="K24" s="41" t="s">
        <v>53</v>
      </c>
      <c r="L24" s="93" t="str">
        <f>VLOOKUP(C24,'Trips&amp;Operators'!$C$1:$E$9999,3,0)</f>
        <v>LOCKLEAR</v>
      </c>
      <c r="M24" s="9" t="s">
        <v>104</v>
      </c>
      <c r="N24" s="10" t="s">
        <v>402</v>
      </c>
      <c r="O24" s="41"/>
      <c r="P24" s="72" t="str">
        <f>VLOOKUP(C24,'Train Runs'!$A$13:$AE$844,31,0)</f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Q24" s="70" t="str">
        <f>VLOOKUP(C24,'Train Runs'!$A$13:$AE$844,22,0)</f>
        <v>https://search-rtdc-monitor-bjffxe2xuh6vdkpspy63sjmuny.us-east-1.es.amazonaws.com/_plugin/kibana/#/discover/Steve-Slow-Train-Analysis-(2080s-and-2083s)?_g=(refreshInterval:(display:Off,section:0,value:0),time:(from:'2016-07-19 12:10:47-0600',mode:absolute,to:'2016-07-19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4" s="71" t="str">
        <f t="shared" si="0"/>
        <v>"C:\Program Files (x86)\AstroGrep\AstroGrep.exe" /spath="C:\Users\stu\Documents\Analysis\2016-02-23 RTDC Observations" /stypes="*4044*20160719*" /stext=" 19:.+((prompt.+disp)|(slice.+state.+chan)|(ment ac)|(system.+state.+chan)|(\|lc)|(penalty)|(\[timeout))" /e /r /s</v>
      </c>
      <c r="S24" s="9" t="str">
        <f t="shared" si="1"/>
        <v>4044</v>
      </c>
      <c r="T24" s="48">
        <f t="shared" si="2"/>
        <v>42570.803460648145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42570.554155092592</v>
      </c>
      <c r="B25" s="65" t="s">
        <v>128</v>
      </c>
      <c r="C25" s="41" t="s">
        <v>409</v>
      </c>
      <c r="D25" s="41" t="s">
        <v>50</v>
      </c>
      <c r="E25" s="65" t="s">
        <v>55</v>
      </c>
      <c r="F25" s="66">
        <v>0</v>
      </c>
      <c r="G25" s="66">
        <v>15</v>
      </c>
      <c r="H25" s="66">
        <v>1242</v>
      </c>
      <c r="I25" s="65" t="s">
        <v>56</v>
      </c>
      <c r="J25" s="66">
        <v>63995</v>
      </c>
      <c r="K25" s="41" t="s">
        <v>53</v>
      </c>
      <c r="L25" s="93" t="str">
        <f>VLOOKUP(C25,'Trips&amp;Operators'!$C$1:$E$9999,3,0)</f>
        <v>LOCKLEAR</v>
      </c>
      <c r="M25" s="9" t="s">
        <v>104</v>
      </c>
      <c r="N25" s="10" t="s">
        <v>402</v>
      </c>
      <c r="O25" s="41"/>
      <c r="P25" s="72" t="str">
        <f>VLOOKUP(C25,'Train Runs'!$A$13:$AE$844,31,0)</f>
        <v>aws s3 cp s3://rtdc.mdm.uploadarchive/RTDC4044/2016-07-19/ "C:\Users\stu\Documents\Analysis\2016-02-23 RTDC Observations"\RTDC4044\2016-07-19 --recursive &amp; "C:\Users\stu\Documents\GitHub\mrs-test-scripts\Headless Mode &amp; Sideloading\WalkAndUnGZ.bat" "C:\Users\stu\Documents\Analysis\2016-02-23 RTDC Observations"\RTDC4044\2016-07-19 &amp; aws s3 cp s3://rtdc.mdm.uploadarchive/RTDC4044/2016-07-20/ "C:\Users\stu\Documents\Analysis\2016-02-23 RTDC Observations"\RTDC4044\2016-07-20 --recursive &amp; "C:\Users\stu\Documents\GitHub\mrs-test-scripts\Headless Mode &amp; Sideloading\WalkAndUnGZ.bat" "C:\Users\stu\Documents\Analysis\2016-02-23 RTDC Observations"\RTDC4044\2016-07-20</v>
      </c>
      <c r="Q25" s="70" t="str">
        <f>VLOOKUP(C25,'Train Runs'!$A$13:$AE$844,22,0)</f>
        <v>https://search-rtdc-monitor-bjffxe2xuh6vdkpspy63sjmuny.us-east-1.es.amazonaws.com/_plugin/kibana/#/discover/Steve-Slow-Train-Analysis-(2080s-and-2083s)?_g=(refreshInterval:(display:Off,section:0,value:0),time:(from:'2016-07-19 12:10:47-0600',mode:absolute,to:'2016-07-19 14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5" s="71" t="str">
        <f t="shared" si="0"/>
        <v>"C:\Program Files (x86)\AstroGrep\AstroGrep.exe" /spath="C:\Users\stu\Documents\Analysis\2016-02-23 RTDC Observations" /stypes="*4044*20160719*" /stext=" 19:.+((prompt.+disp)|(slice.+state.+chan)|(ment ac)|(system.+state.+chan)|(\|lc)|(penalty)|(\[timeout))" /e /r /s</v>
      </c>
      <c r="S25" s="9" t="str">
        <f t="shared" si="1"/>
        <v>4044</v>
      </c>
      <c r="T25" s="48">
        <f t="shared" si="2"/>
        <v>42570.804155092592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42570.99019675926</v>
      </c>
      <c r="B26" s="65" t="s">
        <v>171</v>
      </c>
      <c r="C26" s="41" t="s">
        <v>428</v>
      </c>
      <c r="D26" s="41" t="s">
        <v>50</v>
      </c>
      <c r="E26" s="65" t="s">
        <v>55</v>
      </c>
      <c r="F26" s="66">
        <v>0</v>
      </c>
      <c r="G26" s="66">
        <v>607</v>
      </c>
      <c r="H26" s="66">
        <v>89837</v>
      </c>
      <c r="I26" s="65" t="s">
        <v>56</v>
      </c>
      <c r="J26" s="66">
        <v>87902</v>
      </c>
      <c r="K26" s="41" t="s">
        <v>54</v>
      </c>
      <c r="L26" s="93" t="str">
        <f>VLOOKUP(C26,'Trips&amp;Operators'!$C$1:$E$9999,3,0)</f>
        <v>CHANDLER</v>
      </c>
      <c r="M26" s="9" t="s">
        <v>104</v>
      </c>
      <c r="N26" s="10" t="s">
        <v>402</v>
      </c>
      <c r="O26" s="41"/>
      <c r="P26" s="72" t="str">
        <f>VLOOKUP(C26,'Train Runs'!$A$13:$AE$844,31,0)</f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Q26" s="70" t="str">
        <f>VLOOKUP(C26,'Train Runs'!$A$13:$AE$844,22,0)</f>
        <v>https://search-rtdc-monitor-bjffxe2xuh6vdkpspy63sjmuny.us-east-1.es.amazonaws.com/_plugin/kibana/#/discover/Steve-Slow-Train-Analysis-(2080s-and-2083s)?_g=(refreshInterval:(display:Off,section:0,value:0),time:(from:'2016-07-19 22:20:24-0600',mode:absolute,to:'2016-07-20 00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6" s="71" t="str">
        <f t="shared" si="0"/>
        <v>"C:\Program Files (x86)\AstroGrep\AstroGrep.exe" /spath="C:\Users\stu\Documents\Analysis\2016-02-23 RTDC Observations" /stypes="*4015*20160720*" /stext=" 05:.+((prompt.+disp)|(slice.+state.+chan)|(ment ac)|(system.+state.+chan)|(\|lc)|(penalty)|(\[timeout))" /e /r /s</v>
      </c>
      <c r="S26" s="9" t="str">
        <f t="shared" si="1"/>
        <v>4015</v>
      </c>
      <c r="T26" s="48">
        <f t="shared" si="2"/>
        <v>42571.24019675926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42570.475914351853</v>
      </c>
      <c r="B27" s="65" t="s">
        <v>109</v>
      </c>
      <c r="C27" s="41" t="s">
        <v>404</v>
      </c>
      <c r="D27" s="41" t="s">
        <v>50</v>
      </c>
      <c r="E27" s="65" t="s">
        <v>55</v>
      </c>
      <c r="F27" s="66">
        <v>0</v>
      </c>
      <c r="G27" s="66">
        <v>609</v>
      </c>
      <c r="H27" s="66">
        <v>151270</v>
      </c>
      <c r="I27" s="65" t="s">
        <v>56</v>
      </c>
      <c r="J27" s="66">
        <v>155600</v>
      </c>
      <c r="K27" s="41" t="s">
        <v>53</v>
      </c>
      <c r="L27" s="93" t="str">
        <f>VLOOKUP(C27,'Trips&amp;Operators'!$C$1:$E$9999,3,0)</f>
        <v>STORY</v>
      </c>
      <c r="M27" s="9" t="s">
        <v>105</v>
      </c>
      <c r="N27" s="10" t="s">
        <v>652</v>
      </c>
      <c r="O27" s="41"/>
      <c r="P27" s="72" t="str">
        <f>VLOOKUP(C27,'Train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27" s="70" t="str">
        <f>VLOOKUP(C27,'Train Runs'!$A$13:$AE$844,22,0)</f>
        <v>https://search-rtdc-monitor-bjffxe2xuh6vdkpspy63sjmuny.us-east-1.es.amazonaws.com/_plugin/kibana/#/discover/Steve-Slow-Train-Analysis-(2080s-and-2083s)?_g=(refreshInterval:(display:Off,section:0,value:0),time:(from:'2016-07-19 09:54:16-0600',mode:absolute,to:'2016-07-19 12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7" s="71" t="str">
        <f t="shared" si="0"/>
        <v>"C:\Program Files (x86)\AstroGrep\AstroGrep.exe" /spath="C:\Users\stu\Documents\Analysis\2016-02-23 RTDC Observations" /stypes="*4038*20160719*" /stext=" 17:.+((prompt.+disp)|(slice.+state.+chan)|(ment ac)|(system.+state.+chan)|(\|lc)|(penalty)|(\[timeout))" /e /r /s</v>
      </c>
      <c r="S27" s="9" t="str">
        <f t="shared" si="1"/>
        <v>4038</v>
      </c>
      <c r="T27" s="48">
        <f t="shared" si="2"/>
        <v>42570.725914351853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42570.22142361111</v>
      </c>
      <c r="B28" s="65" t="s">
        <v>372</v>
      </c>
      <c r="C28" s="41" t="s">
        <v>373</v>
      </c>
      <c r="D28" s="41" t="s">
        <v>50</v>
      </c>
      <c r="E28" s="65" t="s">
        <v>51</v>
      </c>
      <c r="F28" s="66">
        <v>0</v>
      </c>
      <c r="G28" s="66">
        <v>28</v>
      </c>
      <c r="H28" s="66">
        <v>63</v>
      </c>
      <c r="I28" s="65" t="s">
        <v>52</v>
      </c>
      <c r="J28" s="66">
        <v>1</v>
      </c>
      <c r="K28" s="41" t="s">
        <v>54</v>
      </c>
      <c r="L28" s="93" t="str">
        <f>VLOOKUP(C28,'Trips&amp;Operators'!$C$1:$E$9999,3,0)</f>
        <v>ACKERMAN</v>
      </c>
      <c r="M28" s="9" t="s">
        <v>105</v>
      </c>
      <c r="N28" s="10"/>
      <c r="O28" s="41"/>
      <c r="P28" s="72" t="str">
        <f>VLOOKUP(C28,'Train Runs'!$A$13:$AE$844,31,0)</f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Q28" s="70" t="str">
        <f>VLOOKUP(C28,'Train Runs'!$A$13:$AE$844,22,0)</f>
        <v>https://search-rtdc-monitor-bjffxe2xuh6vdkpspy63sjmuny.us-east-1.es.amazonaws.com/_plugin/kibana/#/discover/Steve-Slow-Train-Analysis-(2080s-and-2083s)?_g=(refreshInterval:(display:Off,section:0,value:0),time:(from:'2016-07-19 03:34:26-0600',mode:absolute,to:'2016-07-19 06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8" s="71" t="str">
        <f t="shared" si="0"/>
        <v>"C:\Program Files (x86)\AstroGrep\AstroGrep.exe" /spath="C:\Users\stu\Documents\Analysis\2016-02-23 RTDC Observations" /stypes="*4012*20160719*" /stext=" 11:.+((prompt.+disp)|(slice.+state.+chan)|(ment ac)|(system.+state.+chan)|(\|lc)|(penalty)|(\[timeout))" /e /r /s</v>
      </c>
      <c r="S28" s="9" t="str">
        <f t="shared" si="1"/>
        <v>4012</v>
      </c>
      <c r="T28" s="48">
        <f t="shared" si="2"/>
        <v>42570.47142361111</v>
      </c>
      <c r="U28" s="69" t="str">
        <f t="shared" si="3"/>
        <v>EC</v>
      </c>
      <c r="V28" s="69" t="str">
        <f t="shared" si="4"/>
        <v>KEEP</v>
      </c>
    </row>
    <row r="29" spans="1:22" hidden="1" x14ac:dyDescent="0.25">
      <c r="A29" s="48">
        <v>42570.262442129628</v>
      </c>
      <c r="B29" s="65" t="s">
        <v>121</v>
      </c>
      <c r="C29" s="41" t="s">
        <v>364</v>
      </c>
      <c r="D29" s="41" t="s">
        <v>50</v>
      </c>
      <c r="E29" s="65" t="s">
        <v>51</v>
      </c>
      <c r="F29" s="66">
        <v>0</v>
      </c>
      <c r="G29" s="66">
        <v>6</v>
      </c>
      <c r="H29" s="66">
        <v>167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DE LA ROSA</v>
      </c>
      <c r="M29" s="9" t="s">
        <v>105</v>
      </c>
      <c r="N29" s="10"/>
      <c r="O29" s="41"/>
      <c r="P29" s="72" t="str">
        <f>VLOOKUP(C29,'Train Runs'!$A$13:$AE$844,31,0)</f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Q29" s="70" t="str">
        <f>VLOOKUP(C29,'Train Runs'!$A$13:$AE$844,22,0)</f>
        <v>https://search-rtdc-monitor-bjffxe2xuh6vdkpspy63sjmuny.us-east-1.es.amazonaws.com/_plugin/kibana/#/discover/Steve-Slow-Train-Analysis-(2080s-and-2083s)?_g=(refreshInterval:(display:Off,section:0,value:0),time:(from:'2016-07-19 04:32:32-0600',mode:absolute,to:'2016-07-19 07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/stypes="*4030*20160719*" /stext=" 12:.+((prompt.+disp)|(slice.+state.+chan)|(ment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42570.512442129628</v>
      </c>
      <c r="U29" s="69" t="str">
        <f t="shared" si="3"/>
        <v>EC</v>
      </c>
      <c r="V29" s="69" t="str">
        <f t="shared" si="4"/>
        <v>OMIT</v>
      </c>
    </row>
    <row r="30" spans="1:22" hidden="1" x14ac:dyDescent="0.25">
      <c r="A30" s="48">
        <v>42570.310439814813</v>
      </c>
      <c r="B30" s="65" t="s">
        <v>372</v>
      </c>
      <c r="C30" s="41" t="s">
        <v>375</v>
      </c>
      <c r="D30" s="41" t="s">
        <v>50</v>
      </c>
      <c r="E30" s="65" t="s">
        <v>51</v>
      </c>
      <c r="F30" s="66">
        <v>0</v>
      </c>
      <c r="G30" s="66">
        <v>7</v>
      </c>
      <c r="H30" s="66">
        <v>296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ACKERMAN</v>
      </c>
      <c r="M30" s="9" t="s">
        <v>105</v>
      </c>
      <c r="N30" s="10"/>
      <c r="O30" s="41"/>
      <c r="P30" s="72" t="str">
        <f>VLOOKUP(C30,'Train Runs'!$A$13:$AE$844,31,0)</f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Q30" s="70" t="str">
        <f>VLOOKUP(C30,'Train Runs'!$A$13:$AE$844,22,0)</f>
        <v>https://search-rtdc-monitor-bjffxe2xuh6vdkpspy63sjmuny.us-east-1.es.amazonaws.com/_plugin/kibana/#/discover/Steve-Slow-Train-Analysis-(2080s-and-2083s)?_g=(refreshInterval:(display:Off,section:0,value:0),time:(from:'2016-07-19 05:34:15-0600',mode:absolute,to:'2016-07-19 08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0" s="71" t="str">
        <f t="shared" si="0"/>
        <v>"C:\Program Files (x86)\AstroGrep\AstroGrep.exe" /spath="C:\Users\stu\Documents\Analysis\2016-02-23 RTDC Observations" /stypes="*4012*20160719*" /stext=" 13:.+((prompt.+disp)|(slice.+state.+chan)|(ment ac)|(system.+state.+chan)|(\|lc)|(penalty)|(\[timeout))" /e /r /s</v>
      </c>
      <c r="S30" s="9" t="str">
        <f t="shared" si="1"/>
        <v>4012</v>
      </c>
      <c r="T30" s="48">
        <f t="shared" si="2"/>
        <v>42570.560439814813</v>
      </c>
      <c r="U30" s="69" t="str">
        <f t="shared" si="3"/>
        <v>EC</v>
      </c>
      <c r="V30" s="69" t="str">
        <f t="shared" si="4"/>
        <v>OMIT</v>
      </c>
    </row>
    <row r="31" spans="1:22" hidden="1" x14ac:dyDescent="0.25">
      <c r="A31" s="48">
        <v>42570.377337962964</v>
      </c>
      <c r="B31" s="65" t="s">
        <v>119</v>
      </c>
      <c r="C31" s="41" t="s">
        <v>391</v>
      </c>
      <c r="D31" s="41" t="s">
        <v>50</v>
      </c>
      <c r="E31" s="65" t="s">
        <v>51</v>
      </c>
      <c r="F31" s="66">
        <v>0</v>
      </c>
      <c r="G31" s="66">
        <v>8</v>
      </c>
      <c r="H31" s="66">
        <v>298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ROCHA</v>
      </c>
      <c r="M31" s="9" t="s">
        <v>105</v>
      </c>
      <c r="N31" s="10"/>
      <c r="O31" s="41"/>
      <c r="P31" s="72" t="str">
        <f>VLOOKUP(C31,'Train Runs'!$A$13:$AE$844,31,0)</f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Q31" s="70" t="str">
        <f>VLOOKUP(C31,'Train Runs'!$A$13:$AE$844,22,0)</f>
        <v>https://search-rtdc-monitor-bjffxe2xuh6vdkpspy63sjmuny.us-east-1.es.amazonaws.com/_plugin/kibana/#/discover/Steve-Slow-Train-Analysis-(2080s-and-2083s)?_g=(refreshInterval:(display:Off,section:0,value:0),time:(from:'2016-07-19 07:26:26-0600',mode:absolute,to:'2016-07-19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1" s="71" t="str">
        <f t="shared" si="0"/>
        <v>"C:\Program Files (x86)\AstroGrep\AstroGrep.exe" /spath="C:\Users\stu\Documents\Analysis\2016-02-23 RTDC Observations" /stypes="*4037*20160719*" /stext=" 15:.+((prompt.+disp)|(slice.+state.+chan)|(ment ac)|(system.+state.+chan)|(\|lc)|(penalty)|(\[timeout))" /e /r /s</v>
      </c>
      <c r="S31" s="9" t="str">
        <f t="shared" si="1"/>
        <v>4037</v>
      </c>
      <c r="T31" s="48">
        <f t="shared" si="2"/>
        <v>42570.627337962964</v>
      </c>
      <c r="U31" s="69" t="str">
        <f t="shared" si="3"/>
        <v>EC</v>
      </c>
      <c r="V31" s="69" t="str">
        <f t="shared" si="4"/>
        <v>OMIT</v>
      </c>
    </row>
    <row r="32" spans="1:22" hidden="1" x14ac:dyDescent="0.25">
      <c r="A32" s="48">
        <v>42570.418506944443</v>
      </c>
      <c r="B32" s="65" t="s">
        <v>121</v>
      </c>
      <c r="C32" s="41" t="s">
        <v>381</v>
      </c>
      <c r="D32" s="41" t="s">
        <v>50</v>
      </c>
      <c r="E32" s="65" t="s">
        <v>51</v>
      </c>
      <c r="F32" s="66">
        <v>0</v>
      </c>
      <c r="G32" s="66">
        <v>9</v>
      </c>
      <c r="H32" s="66">
        <v>150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DE LA ROSA</v>
      </c>
      <c r="M32" s="9" t="s">
        <v>105</v>
      </c>
      <c r="N32" s="10"/>
      <c r="O32" s="41"/>
      <c r="P32" s="72" t="str">
        <f>VLOOKUP(C32,'Train Runs'!$A$13:$AE$844,31,0)</f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Q32" s="70" t="str">
        <f>VLOOKUP(C32,'Train Runs'!$A$13:$AE$844,22,0)</f>
        <v>https://search-rtdc-monitor-bjffxe2xuh6vdkpspy63sjmuny.us-east-1.es.amazonaws.com/_plugin/kibana/#/discover/Steve-Slow-Train-Analysis-(2080s-and-2083s)?_g=(refreshInterval:(display:Off,section:0,value:0),time:(from:'2016-07-19 08:22:49-0600',mode:absolute,to:'2016-07-19 11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32" s="71" t="str">
        <f t="shared" si="0"/>
        <v>"C:\Program Files (x86)\AstroGrep\AstroGrep.exe" /spath="C:\Users\stu\Documents\Analysis\2016-02-23 RTDC Observations" /stypes="*4030*20160719*" /stext=" 16:.+((prompt.+disp)|(slice.+state.+chan)|(ment ac)|(system.+state.+chan)|(\|lc)|(penalty)|(\[timeout))" /e /r /s</v>
      </c>
      <c r="S32" s="9" t="str">
        <f t="shared" si="1"/>
        <v>4030</v>
      </c>
      <c r="T32" s="48">
        <f t="shared" si="2"/>
        <v>42570.668506944443</v>
      </c>
      <c r="U32" s="69" t="str">
        <f t="shared" si="3"/>
        <v>EC</v>
      </c>
      <c r="V32" s="69" t="str">
        <f t="shared" si="4"/>
        <v>OMIT</v>
      </c>
    </row>
    <row r="33" spans="1:22" hidden="1" x14ac:dyDescent="0.25">
      <c r="A33" s="48">
        <v>42570.47078703704</v>
      </c>
      <c r="B33" s="65" t="s">
        <v>131</v>
      </c>
      <c r="C33" s="41" t="s">
        <v>403</v>
      </c>
      <c r="D33" s="41" t="s">
        <v>50</v>
      </c>
      <c r="E33" s="65" t="s">
        <v>51</v>
      </c>
      <c r="F33" s="66">
        <v>0</v>
      </c>
      <c r="G33" s="66">
        <v>8</v>
      </c>
      <c r="H33" s="66">
        <v>112</v>
      </c>
      <c r="I33" s="65" t="s">
        <v>52</v>
      </c>
      <c r="J33" s="66">
        <v>1</v>
      </c>
      <c r="K33" s="41" t="s">
        <v>54</v>
      </c>
      <c r="L33" s="93" t="str">
        <f>VLOOKUP(C33,'Trips&amp;Operators'!$C$1:$E$9999,3,0)</f>
        <v>SANTIZO</v>
      </c>
      <c r="M33" s="9" t="s">
        <v>105</v>
      </c>
      <c r="N33" s="10"/>
      <c r="O33" s="41"/>
      <c r="P33" s="72" t="str">
        <f>VLOOKUP(C33,'Train Runs'!$A$13:$AE$844,31,0)</f>
        <v>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 &amp; aws s3 cp s3://rtdc.mdm.uploadarchive/RTDC4043/2016-07-20/ "C:\Users\stu\Documents\Analysis\2016-02-23 RTDC Observations"\RTDC4043\2016-07-20 --recursive &amp; "C:\Users\stu\Documents\GitHub\mrs-test-scripts\Headless Mode &amp; Sideloading\WalkAndUnGZ.bat" "C:\Users\stu\Documents\Analysis\2016-02-23 RTDC Observations"\RTDC4043\2016-07-20</v>
      </c>
      <c r="Q33" s="70" t="str">
        <f>VLOOKUP(C33,'Train Runs'!$A$13:$AE$844,22,0)</f>
        <v>https://search-rtdc-monitor-bjffxe2xuh6vdkpspy63sjmuny.us-east-1.es.amazonaws.com/_plugin/kibana/#/discover/Steve-Slow-Train-Analysis-(2080s-and-2083s)?_g=(refreshInterval:(display:Off,section:0,value:0),time:(from:'2016-07-19 09:23:37-0600',mode:absolute,to:'2016-07-19 12:18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1" t="str">
        <f t="shared" si="0"/>
        <v>"C:\Program Files (x86)\AstroGrep\AstroGrep.exe" /spath="C:\Users\stu\Documents\Analysis\2016-02-23 RTDC Observations" /stypes="*4043*20160719*" /stext=" 17:.+((prompt.+disp)|(slice.+state.+chan)|(ment ac)|(system.+state.+chan)|(\|lc)|(penalty)|(\[timeout))" /e /r /s</v>
      </c>
      <c r="S33" s="9" t="str">
        <f t="shared" si="1"/>
        <v>4043</v>
      </c>
      <c r="T33" s="48">
        <f t="shared" si="2"/>
        <v>42570.72078703704</v>
      </c>
      <c r="U33" s="69" t="str">
        <f t="shared" si="3"/>
        <v>EC</v>
      </c>
      <c r="V33" s="69" t="str">
        <f t="shared" si="4"/>
        <v>OMIT</v>
      </c>
    </row>
    <row r="34" spans="1:22" hidden="1" x14ac:dyDescent="0.25">
      <c r="A34" s="48">
        <v>42570.512337962966</v>
      </c>
      <c r="B34" s="65" t="s">
        <v>130</v>
      </c>
      <c r="C34" s="41" t="s">
        <v>405</v>
      </c>
      <c r="D34" s="41" t="s">
        <v>50</v>
      </c>
      <c r="E34" s="65" t="s">
        <v>51</v>
      </c>
      <c r="F34" s="66">
        <v>0</v>
      </c>
      <c r="G34" s="66">
        <v>9</v>
      </c>
      <c r="H34" s="66">
        <v>116</v>
      </c>
      <c r="I34" s="65" t="s">
        <v>52</v>
      </c>
      <c r="J34" s="66">
        <v>1</v>
      </c>
      <c r="K34" s="41" t="s">
        <v>54</v>
      </c>
      <c r="L34" s="93" t="str">
        <f>VLOOKUP(C34,'Trips&amp;Operators'!$C$1:$E$9999,3,0)</f>
        <v>STARKS</v>
      </c>
      <c r="M34" s="9" t="s">
        <v>105</v>
      </c>
      <c r="N34" s="10"/>
      <c r="O34" s="41"/>
      <c r="P34" s="72" t="str">
        <f>VLOOKUP(C34,'Train Runs'!$A$13:$AE$844,31,0)</f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Q34" s="70" t="str">
        <f>VLOOKUP(C34,'Train Runs'!$A$13:$AE$844,22,0)</f>
        <v>https://search-rtdc-monitor-bjffxe2xuh6vdkpspy63sjmuny.us-east-1.es.amazonaws.com/_plugin/kibana/#/discover/Steve-Slow-Train-Analysis-(2080s-and-2083s)?_g=(refreshInterval:(display:Off,section:0,value:0),time:(from:'2016-07-19 10:38:28-0600',mode:absolute,to:'2016-07-19 13:17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4" s="71" t="str">
        <f t="shared" si="0"/>
        <v>"C:\Program Files (x86)\AstroGrep\AstroGrep.exe" /spath="C:\Users\stu\Documents\Analysis\2016-02-23 RTDC Observations" /stypes="*4008*20160719*" /stext=" 18:.+((prompt.+disp)|(slice.+state.+chan)|(ment ac)|(system.+state.+chan)|(\|lc)|(penalty)|(\[timeout))" /e /r /s</v>
      </c>
      <c r="S34" s="9" t="str">
        <f t="shared" si="1"/>
        <v>4008</v>
      </c>
      <c r="T34" s="48">
        <f t="shared" si="2"/>
        <v>42570.762337962966</v>
      </c>
      <c r="U34" s="69" t="str">
        <f t="shared" si="3"/>
        <v>EC</v>
      </c>
      <c r="V34" s="69" t="str">
        <f t="shared" si="4"/>
        <v>OMIT</v>
      </c>
    </row>
    <row r="35" spans="1:22" x14ac:dyDescent="0.25">
      <c r="A35" s="48">
        <v>42570.554814814815</v>
      </c>
      <c r="B35" s="65" t="s">
        <v>195</v>
      </c>
      <c r="C35" s="41" t="s">
        <v>410</v>
      </c>
      <c r="D35" s="41" t="s">
        <v>50</v>
      </c>
      <c r="E35" s="65" t="s">
        <v>51</v>
      </c>
      <c r="F35" s="66">
        <v>0</v>
      </c>
      <c r="G35" s="66">
        <v>47</v>
      </c>
      <c r="H35" s="66">
        <v>143</v>
      </c>
      <c r="I35" s="65" t="s">
        <v>52</v>
      </c>
      <c r="J35" s="66">
        <v>1</v>
      </c>
      <c r="K35" s="41" t="s">
        <v>54</v>
      </c>
      <c r="L35" s="93" t="str">
        <f>VLOOKUP(C35,'Trips&amp;Operators'!$C$1:$E$9999,3,0)</f>
        <v>DAVIS</v>
      </c>
      <c r="M35" s="9" t="s">
        <v>105</v>
      </c>
      <c r="N35" s="10"/>
      <c r="O35" s="41"/>
      <c r="P35" s="72" t="str">
        <f>VLOOKUP(C35,'Train Runs'!$A$13:$AE$844,31,0)</f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Q35" s="70" t="str">
        <f>VLOOKUP(C35,'Train Runs'!$A$13:$AE$844,22,0)</f>
        <v>https://search-rtdc-monitor-bjffxe2xuh6vdkpspy63sjmuny.us-east-1.es.amazonaws.com/_plugin/kibana/#/discover/Steve-Slow-Train-Analysis-(2080s-and-2083s)?_g=(refreshInterval:(display:Off,section:0,value:0),time:(from:'2016-07-19 11:28:29-0600',mode:absolute,to:'2016-07-19 14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5" s="71" t="str">
        <f t="shared" si="0"/>
        <v>"C:\Program Files (x86)\AstroGrep\AstroGrep.exe" /spath="C:\Users\stu\Documents\Analysis\2016-02-23 RTDC Observations" /stypes="*4010*20160719*" /stext=" 19:.+((prompt.+disp)|(slice.+state.+chan)|(ment ac)|(system.+state.+chan)|(\|lc)|(penalty)|(\[timeout))" /e /r /s</v>
      </c>
      <c r="S35" s="9" t="str">
        <f t="shared" si="1"/>
        <v>4010</v>
      </c>
      <c r="T35" s="48">
        <f t="shared" si="2"/>
        <v>42570.804814814815</v>
      </c>
      <c r="U35" s="69" t="str">
        <f t="shared" si="3"/>
        <v>EC</v>
      </c>
      <c r="V35" s="69" t="str">
        <f t="shared" si="4"/>
        <v>KEEP</v>
      </c>
    </row>
    <row r="36" spans="1:22" x14ac:dyDescent="0.25">
      <c r="A36" s="48">
        <v>42570.576423611114</v>
      </c>
      <c r="B36" s="65" t="s">
        <v>118</v>
      </c>
      <c r="C36" s="41" t="s">
        <v>412</v>
      </c>
      <c r="D36" s="41" t="s">
        <v>50</v>
      </c>
      <c r="E36" s="65" t="s">
        <v>51</v>
      </c>
      <c r="F36" s="66">
        <v>0</v>
      </c>
      <c r="G36" s="66">
        <v>55</v>
      </c>
      <c r="H36" s="66">
        <v>181</v>
      </c>
      <c r="I36" s="65" t="s">
        <v>52</v>
      </c>
      <c r="J36" s="66">
        <v>1</v>
      </c>
      <c r="K36" s="41" t="s">
        <v>54</v>
      </c>
      <c r="L36" s="93" t="str">
        <f>VLOOKUP(C36,'Trips&amp;Operators'!$C$1:$E$9999,3,0)</f>
        <v>MAYBERRY</v>
      </c>
      <c r="M36" s="9" t="s">
        <v>105</v>
      </c>
      <c r="N36" s="10"/>
      <c r="O36" s="41"/>
      <c r="P36" s="72" t="str">
        <f>VLOOKUP(C36,'Train Runs'!$A$13:$AE$844,31,0)</f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Q36" s="70" t="str">
        <f>VLOOKUP(C36,'Train Runs'!$A$13:$AE$844,22,0)</f>
        <v>https://search-rtdc-monitor-bjffxe2xuh6vdkpspy63sjmuny.us-east-1.es.amazonaws.com/_plugin/kibana/#/discover/Steve-Slow-Train-Analysis-(2080s-and-2083s)?_g=(refreshInterval:(display:Off,section:0,value:0),time:(from:'2016-07-19 11:56:24-0600',mode:absolute,to:'2016-07-19 14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6" s="71" t="str">
        <f t="shared" si="0"/>
        <v>"C:\Program Files (x86)\AstroGrep\AstroGrep.exe" /spath="C:\Users\stu\Documents\Analysis\2016-02-23 RTDC Observations" /stypes="*4028*20160719*" /stext=" 19:.+((prompt.+disp)|(slice.+state.+chan)|(ment ac)|(system.+state.+chan)|(\|lc)|(penalty)|(\[timeout))" /e /r /s</v>
      </c>
      <c r="S36" s="9" t="str">
        <f t="shared" si="1"/>
        <v>4028</v>
      </c>
      <c r="T36" s="48">
        <f t="shared" si="2"/>
        <v>42570.826423611114</v>
      </c>
      <c r="U36" s="69" t="str">
        <f t="shared" si="3"/>
        <v>EC</v>
      </c>
      <c r="V36" s="69" t="str">
        <f t="shared" si="4"/>
        <v>KEEP</v>
      </c>
    </row>
    <row r="37" spans="1:22" ht="15" hidden="1" customHeight="1" x14ac:dyDescent="0.25">
      <c r="A37" s="48">
        <v>42570.628067129626</v>
      </c>
      <c r="B37" s="65" t="s">
        <v>195</v>
      </c>
      <c r="C37" s="41" t="s">
        <v>414</v>
      </c>
      <c r="D37" s="41" t="s">
        <v>50</v>
      </c>
      <c r="E37" s="65" t="s">
        <v>51</v>
      </c>
      <c r="F37" s="66">
        <v>0</v>
      </c>
      <c r="G37" s="66">
        <v>6</v>
      </c>
      <c r="H37" s="66">
        <v>132</v>
      </c>
      <c r="I37" s="65" t="s">
        <v>52</v>
      </c>
      <c r="J37" s="66">
        <v>1</v>
      </c>
      <c r="K37" s="41" t="s">
        <v>54</v>
      </c>
      <c r="L37" s="93" t="str">
        <f>VLOOKUP(C37,'Trips&amp;Operators'!$C$1:$E$9999,3,0)</f>
        <v>DAVIS</v>
      </c>
      <c r="M37" s="9" t="s">
        <v>105</v>
      </c>
      <c r="N37" s="10"/>
      <c r="O37" s="41"/>
      <c r="P37" s="72" t="str">
        <f>VLOOKUP(C37,'Train Runs'!$A$13:$AE$844,31,0)</f>
        <v>aws s3 cp s3://rtdc.mdm.uploadarchive/RTDC4010/2016-07-19/ "C:\Users\stu\Documents\Analysis\2016-02-23 RTDC Observations"\RTDC4010\2016-07-19 --recursive &amp; "C:\Users\stu\Documents\GitHub\mrs-test-scripts\Headless Mode &amp; Sideloading\WalkAndUnGZ.bat" "C:\Users\stu\Documents\Analysis\2016-02-23 RTDC Observations"\RTDC4010\2016-07-19 &amp; aws s3 cp s3://rtdc.mdm.uploadarchive/RTDC4010/2016-07-20/ "C:\Users\stu\Documents\Analysis\2016-02-23 RTDC Observations"\RTDC4010\2016-07-20 --recursive &amp; "C:\Users\stu\Documents\GitHub\mrs-test-scripts\Headless Mode &amp; Sideloading\WalkAndUnGZ.bat" "C:\Users\stu\Documents\Analysis\2016-02-23 RTDC Observations"\RTDC4010\2016-07-20</v>
      </c>
      <c r="Q37" s="70" t="str">
        <f>VLOOKUP(C37,'Train Runs'!$A$13:$AE$844,22,0)</f>
        <v>https://search-rtdc-monitor-bjffxe2xuh6vdkpspy63sjmuny.us-east-1.es.amazonaws.com/_plugin/kibana/#/discover/Steve-Slow-Train-Analysis-(2080s-and-2083s)?_g=(refreshInterval:(display:Off,section:0,value:0),time:(from:'2016-07-19 13:18:47-0600',mode:absolute,to:'2016-07-19 16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7" s="71" t="str">
        <f t="shared" si="0"/>
        <v>"C:\Program Files (x86)\AstroGrep\AstroGrep.exe" /spath="C:\Users\stu\Documents\Analysis\2016-02-23 RTDC Observations" /stypes="*4010*20160719*" /stext=" 21:.+((prompt.+disp)|(slice.+state.+chan)|(ment ac)|(system.+state.+chan)|(\|lc)|(penalty)|(\[timeout))" /e /r /s</v>
      </c>
      <c r="S37" s="9" t="str">
        <f t="shared" si="1"/>
        <v>4010</v>
      </c>
      <c r="T37" s="48">
        <f t="shared" si="2"/>
        <v>42570.878067129626</v>
      </c>
      <c r="U37" s="69" t="str">
        <f t="shared" si="3"/>
        <v>EC</v>
      </c>
      <c r="V37" s="69" t="str">
        <f t="shared" si="4"/>
        <v>OMIT</v>
      </c>
    </row>
    <row r="38" spans="1:22" ht="15" hidden="1" customHeight="1" x14ac:dyDescent="0.25">
      <c r="A38" s="48">
        <v>42570.753171296295</v>
      </c>
      <c r="B38" s="65" t="s">
        <v>372</v>
      </c>
      <c r="C38" s="41" t="s">
        <v>422</v>
      </c>
      <c r="D38" s="41" t="s">
        <v>50</v>
      </c>
      <c r="E38" s="65" t="s">
        <v>51</v>
      </c>
      <c r="F38" s="66">
        <v>0</v>
      </c>
      <c r="G38" s="66">
        <v>3</v>
      </c>
      <c r="H38" s="66">
        <v>130</v>
      </c>
      <c r="I38" s="65" t="s">
        <v>52</v>
      </c>
      <c r="J38" s="66">
        <v>1</v>
      </c>
      <c r="K38" s="41" t="s">
        <v>54</v>
      </c>
      <c r="L38" s="93" t="str">
        <f>VLOOKUP(C38,'Trips&amp;Operators'!$C$1:$E$9999,3,0)</f>
        <v>STEWART</v>
      </c>
      <c r="M38" s="9" t="s">
        <v>105</v>
      </c>
      <c r="N38" s="10"/>
      <c r="O38" s="41"/>
      <c r="P38" s="72" t="str">
        <f>VLOOKUP(C38,'Train Runs'!$A$13:$AE$844,31,0)</f>
        <v>aws s3 cp s3://rtdc.mdm.uploadarchive/RTDC4012/2016-07-19/ "C:\Users\stu\Documents\Analysis\2016-02-23 RTDC Observations"\RTDC4012\2016-07-19 --recursive &amp; "C:\Users\stu\Documents\GitHub\mrs-test-scripts\Headless Mode &amp; Sideloading\WalkAndUnGZ.bat" "C:\Users\stu\Documents\Analysis\2016-02-23 RTDC Observations"\RTDC4012\2016-07-19 &amp; 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</v>
      </c>
      <c r="Q38" s="70" t="str">
        <f>VLOOKUP(C38,'Train Runs'!$A$13:$AE$844,22,0)</f>
        <v>https://search-rtdc-monitor-bjffxe2xuh6vdkpspy63sjmuny.us-east-1.es.amazonaws.com/_plugin/kibana/#/discover/Steve-Slow-Train-Analysis-(2080s-and-2083s)?_g=(refreshInterval:(display:Off,section:0,value:0),time:(from:'2016-07-19 16:20:15-0600',mode:absolute,to:'2016-07-19 19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8" s="71" t="str">
        <f t="shared" si="0"/>
        <v>"C:\Program Files (x86)\AstroGrep\AstroGrep.exe" /spath="C:\Users\stu\Documents\Analysis\2016-02-23 RTDC Observations" /stypes="*4012*20160720*" /stext=" 00:.+((prompt.+disp)|(slice.+state.+chan)|(ment ac)|(system.+state.+chan)|(\|lc)|(penalty)|(\[timeout))" /e /r /s</v>
      </c>
      <c r="S38" s="9" t="str">
        <f t="shared" si="1"/>
        <v>4012</v>
      </c>
      <c r="T38" s="48">
        <f t="shared" si="2"/>
        <v>42571.003171296295</v>
      </c>
      <c r="U38" s="69" t="str">
        <f t="shared" si="3"/>
        <v>EC</v>
      </c>
      <c r="V38" s="69" t="str">
        <f t="shared" si="4"/>
        <v>OMIT</v>
      </c>
    </row>
    <row r="39" spans="1:22" x14ac:dyDescent="0.25">
      <c r="A39" s="48">
        <v>42570.798078703701</v>
      </c>
      <c r="B39" s="65" t="s">
        <v>118</v>
      </c>
      <c r="C39" s="41" t="s">
        <v>423</v>
      </c>
      <c r="D39" s="41" t="s">
        <v>50</v>
      </c>
      <c r="E39" s="65" t="s">
        <v>51</v>
      </c>
      <c r="F39" s="66">
        <v>0</v>
      </c>
      <c r="G39" s="66">
        <v>46</v>
      </c>
      <c r="H39" s="66">
        <v>150</v>
      </c>
      <c r="I39" s="65" t="s">
        <v>52</v>
      </c>
      <c r="J39" s="66">
        <v>1</v>
      </c>
      <c r="K39" s="41" t="s">
        <v>54</v>
      </c>
      <c r="L39" s="93" t="str">
        <f>VLOOKUP(C39,'Trips&amp;Operators'!$C$1:$E$9999,3,0)</f>
        <v>YOUNG</v>
      </c>
      <c r="M39" s="9" t="s">
        <v>105</v>
      </c>
      <c r="N39" s="10"/>
      <c r="O39" s="41"/>
      <c r="P39" s="72" t="str">
        <f>VLOOKUP(C39,'Train Runs'!$A$13:$AE$844,31,0)</f>
        <v>aws s3 cp s3://rtdc.mdm.uploadarchive/RTDC4028/2016-07-19/ "C:\Users\stu\Documents\Analysis\2016-02-23 RTDC Observations"\RTDC4028\2016-07-19 --recursive &amp; "C:\Users\stu\Documents\GitHub\mrs-test-scripts\Headless Mode &amp; Sideloading\WalkAndUnGZ.bat" "C:\Users\stu\Documents\Analysis\2016-02-23 RTDC Observations"\RTDC4028\2016-07-19 &amp; aws s3 cp s3://rtdc.mdm.uploadarchive/RTDC4028/2016-07-20/ "C:\Users\stu\Documents\Analysis\2016-02-23 RTDC Observations"\RTDC4028\2016-07-20 --recursive &amp; "C:\Users\stu\Documents\GitHub\mrs-test-scripts\Headless Mode &amp; Sideloading\WalkAndUnGZ.bat" "C:\Users\stu\Documents\Analysis\2016-02-23 RTDC Observations"\RTDC4028\2016-07-20</v>
      </c>
      <c r="Q39" s="70" t="str">
        <f>VLOOKUP(C39,'Train Runs'!$A$13:$AE$844,22,0)</f>
        <v>https://search-rtdc-monitor-bjffxe2xuh6vdkpspy63sjmuny.us-east-1.es.amazonaws.com/_plugin/kibana/#/discover/Steve-Slow-Train-Analysis-(2080s-and-2083s)?_g=(refreshInterval:(display:Off,section:0,value:0),time:(from:'2016-07-19 17:18:01-0600',mode:absolute,to:'2016-07-19 20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/stypes="*4028*20160720*" /stext=" 01:.+((prompt.+disp)|(slice.+state.+chan)|(ment ac)|(system.+state.+chan)|(\|lc)|(penalty)|(\[timeout))" /e /r /s</v>
      </c>
      <c r="S39" s="9" t="str">
        <f t="shared" ref="S39:S58" si="6">MID(B39,13,4)</f>
        <v>4028</v>
      </c>
      <c r="T39" s="48">
        <f t="shared" ref="T39:T58" si="7">A39+6/24</f>
        <v>42571.048078703701</v>
      </c>
      <c r="U39" s="69" t="str">
        <f t="shared" ref="U39:U58" si="8">IF(VALUE(LEFT(C39,3))&lt;300,"EC","NWGL")</f>
        <v>EC</v>
      </c>
      <c r="V39" s="69" t="str">
        <f t="shared" ref="V39:V58" si="9">IF(AND(E39="TRACK WARRANT AUTHORITY",G39&lt;10),"OMIT","KEEP")</f>
        <v>KEEP</v>
      </c>
    </row>
    <row r="40" spans="1:22" ht="15" hidden="1" customHeight="1" x14ac:dyDescent="0.25">
      <c r="A40" s="48">
        <v>42570.809675925928</v>
      </c>
      <c r="B40" s="65" t="s">
        <v>130</v>
      </c>
      <c r="C40" s="41" t="s">
        <v>425</v>
      </c>
      <c r="D40" s="41" t="s">
        <v>50</v>
      </c>
      <c r="E40" s="65" t="s">
        <v>51</v>
      </c>
      <c r="F40" s="66">
        <v>0</v>
      </c>
      <c r="G40" s="66">
        <v>6</v>
      </c>
      <c r="H40" s="66">
        <v>127</v>
      </c>
      <c r="I40" s="65" t="s">
        <v>52</v>
      </c>
      <c r="J40" s="66">
        <v>1</v>
      </c>
      <c r="K40" s="41" t="s">
        <v>54</v>
      </c>
      <c r="L40" s="93" t="str">
        <f>VLOOKUP(C40,'Trips&amp;Operators'!$C$1:$E$9999,3,0)</f>
        <v>COOLAHAN</v>
      </c>
      <c r="M40" s="9" t="s">
        <v>105</v>
      </c>
      <c r="N40" s="10"/>
      <c r="O40" s="41"/>
      <c r="P40" s="72" t="str">
        <f>VLOOKUP(C40,'Train Runs'!$A$13:$AE$844,31,0)</f>
        <v>aws s3 cp s3://rtdc.mdm.uploadarchive/RTDC4008/2016-07-19/ "C:\Users\stu\Documents\Analysis\2016-02-23 RTDC Observations"\RTDC4008\2016-07-19 --recursive &amp; "C:\Users\stu\Documents\GitHub\mrs-test-scripts\Headless Mode &amp; Sideloading\WalkAndUnGZ.bat" "C:\Users\stu\Documents\Analysis\2016-02-23 RTDC Observations"\RTDC4008\2016-07-19 &amp; aws s3 cp s3://rtdc.mdm.uploadarchive/RTDC4008/2016-07-20/ "C:\Users\stu\Documents\Analysis\2016-02-23 RTDC Observations"\RTDC4008\2016-07-20 --recursive &amp; "C:\Users\stu\Documents\GitHub\mrs-test-scripts\Headless Mode &amp; Sideloading\WalkAndUnGZ.bat" "C:\Users\stu\Documents\Analysis\2016-02-23 RTDC Observations"\RTDC4008\2016-07-20</v>
      </c>
      <c r="Q40" s="70" t="str">
        <f>VLOOKUP(C40,'Train Runs'!$A$13:$AE$844,22,0)</f>
        <v>https://search-rtdc-monitor-bjffxe2xuh6vdkpspy63sjmuny.us-east-1.es.amazonaws.com/_plugin/kibana/#/discover/Steve-Slow-Train-Analysis-(2080s-and-2083s)?_g=(refreshInterval:(display:Off,section:0,value:0),time:(from:'2016-07-19 17:38:04-0600',mode:absolute,to:'2016-07-19 20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0" s="71" t="str">
        <f t="shared" si="5"/>
        <v>"C:\Program Files (x86)\AstroGrep\AstroGrep.exe" /spath="C:\Users\stu\Documents\Analysis\2016-02-23 RTDC Observations" /stypes="*4008*20160720*" /stext=" 01:.+((prompt.+disp)|(slice.+state.+chan)|(ment ac)|(system.+state.+chan)|(\|lc)|(penalty)|(\[timeout))" /e /r /s</v>
      </c>
      <c r="S40" s="9" t="str">
        <f t="shared" si="6"/>
        <v>4008</v>
      </c>
      <c r="T40" s="48">
        <f t="shared" si="7"/>
        <v>42571.059675925928</v>
      </c>
      <c r="U40" s="69" t="str">
        <f t="shared" si="8"/>
        <v>EC</v>
      </c>
      <c r="V40" s="69" t="str">
        <f t="shared" si="9"/>
        <v>OMIT</v>
      </c>
    </row>
    <row r="41" spans="1:22" x14ac:dyDescent="0.25">
      <c r="A41" s="48">
        <v>42570.821342592593</v>
      </c>
      <c r="B41" s="65" t="s">
        <v>119</v>
      </c>
      <c r="C41" s="41" t="s">
        <v>424</v>
      </c>
      <c r="D41" s="41" t="s">
        <v>50</v>
      </c>
      <c r="E41" s="65" t="s">
        <v>51</v>
      </c>
      <c r="F41" s="66">
        <v>0</v>
      </c>
      <c r="G41" s="66">
        <v>51</v>
      </c>
      <c r="H41" s="66">
        <v>161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SHOOK</v>
      </c>
      <c r="M41" s="9" t="s">
        <v>105</v>
      </c>
      <c r="N41" s="10"/>
      <c r="O41" s="41"/>
      <c r="P41" s="72" t="str">
        <f>VLOOKUP(C41,'Train Runs'!$A$13:$AE$844,31,0)</f>
        <v>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 &amp; aws s3 cp s3://rtdc.mdm.uploadarchive/RTDC4037/2016-07-20/ "C:\Users\stu\Documents\Analysis\2016-02-23 RTDC Observations"\RTDC4037\2016-07-20 --recursive &amp; "C:\Users\stu\Documents\GitHub\mrs-test-scripts\Headless Mode &amp; Sideloading\WalkAndUnGZ.bat" "C:\Users\stu\Documents\Analysis\2016-02-23 RTDC Observations"\RTDC4037\2016-07-20</v>
      </c>
      <c r="Q41" s="70" t="str">
        <f>VLOOKUP(C41,'Train Runs'!$A$13:$AE$844,22,0)</f>
        <v>https://search-rtdc-monitor-bjffxe2xuh6vdkpspy63sjmuny.us-east-1.es.amazonaws.com/_plugin/kibana/#/discover/Steve-Slow-Train-Analysis-(2080s-and-2083s)?_g=(refreshInterval:(display:Off,section:0,value:0),time:(from:'2016-07-19 17:48:01-0600',mode:absolute,to:'2016-07-19 20:24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1" s="71" t="str">
        <f t="shared" si="5"/>
        <v>"C:\Program Files (x86)\AstroGrep\AstroGrep.exe" /spath="C:\Users\stu\Documents\Analysis\2016-02-23 RTDC Observations" /stypes="*4037*20160720*" /stext=" 01:.+((prompt.+disp)|(slice.+state.+chan)|(ment ac)|(system.+state.+chan)|(\|lc)|(penalty)|(\[timeout))" /e /r /s</v>
      </c>
      <c r="S41" s="9" t="str">
        <f t="shared" si="6"/>
        <v>4037</v>
      </c>
      <c r="T41" s="48">
        <f t="shared" si="7"/>
        <v>42571.071342592593</v>
      </c>
      <c r="U41" s="69" t="str">
        <f t="shared" si="8"/>
        <v>EC</v>
      </c>
      <c r="V41" s="69" t="str">
        <f t="shared" si="9"/>
        <v>KEEP</v>
      </c>
    </row>
    <row r="42" spans="1:22" ht="15" hidden="1" customHeight="1" x14ac:dyDescent="0.25">
      <c r="A42" s="48">
        <v>42570.857210648152</v>
      </c>
      <c r="B42" s="65" t="s">
        <v>121</v>
      </c>
      <c r="C42" s="41" t="s">
        <v>426</v>
      </c>
      <c r="D42" s="41" t="s">
        <v>50</v>
      </c>
      <c r="E42" s="65" t="s">
        <v>51</v>
      </c>
      <c r="F42" s="66">
        <v>0</v>
      </c>
      <c r="G42" s="66">
        <v>9</v>
      </c>
      <c r="H42" s="66">
        <v>123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STAMBAUGH</v>
      </c>
      <c r="M42" s="9" t="s">
        <v>105</v>
      </c>
      <c r="N42" s="10"/>
      <c r="O42" s="41"/>
      <c r="P42" s="72" t="str">
        <f>VLOOKUP(C42,'Train Runs'!$A$13:$AE$844,31,0)</f>
        <v>aws s3 cp s3://rtdc.mdm.uploadarchive/RTDC4030/2016-07-19/ "C:\Users\stu\Documents\Analysis\2016-02-23 RTDC Observations"\RTDC4030\2016-07-19 --recursive &amp; "C:\Users\stu\Documents\GitHub\mrs-test-scripts\Headless Mode &amp; Sideloading\WalkAndUnGZ.bat" "C:\Users\stu\Documents\Analysis\2016-02-23 RTDC Observations"\RTDC4030\2016-07-19 &amp; aws s3 cp s3://rtdc.mdm.uploadarchive/RTDC4030/2016-07-20/ "C:\Users\stu\Documents\Analysis\2016-02-23 RTDC Observations"\RTDC4030\2016-07-20 --recursive &amp; "C:\Users\stu\Documents\GitHub\mrs-test-scripts\Headless Mode &amp; Sideloading\WalkAndUnGZ.bat" "C:\Users\stu\Documents\Analysis\2016-02-23 RTDC Observations"\RTDC4030\2016-07-20</v>
      </c>
      <c r="Q42" s="70" t="str">
        <f>VLOOKUP(C42,'Train Runs'!$A$13:$AE$844,22,0)</f>
        <v>https://search-rtdc-monitor-bjffxe2xuh6vdkpspy63sjmuny.us-east-1.es.amazonaws.com/_plugin/kibana/#/discover/Steve-Slow-Train-Analysis-(2080s-and-2083s)?_g=(refreshInterval:(display:Off,section:0,value:0),time:(from:'2016-07-19 18:54:54-0600',mode:absolute,to:'2016-07-19 21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2" s="71" t="str">
        <f t="shared" si="5"/>
        <v>"C:\Program Files (x86)\AstroGrep\AstroGrep.exe" /spath="C:\Users\stu\Documents\Analysis\2016-02-23 RTDC Observations" /stypes="*4030*20160720*" /stext=" 02:.+((prompt.+disp)|(slice.+state.+chan)|(ment ac)|(system.+state.+chan)|(\|lc)|(penalty)|(\[timeout))" /e /r /s</v>
      </c>
      <c r="S42" s="9" t="str">
        <f t="shared" si="6"/>
        <v>4030</v>
      </c>
      <c r="T42" s="48">
        <f t="shared" si="7"/>
        <v>42571.107210648152</v>
      </c>
      <c r="U42" s="69" t="str">
        <f t="shared" si="8"/>
        <v>EC</v>
      </c>
      <c r="V42" s="69" t="str">
        <f t="shared" si="9"/>
        <v>OMIT</v>
      </c>
    </row>
    <row r="43" spans="1:22" hidden="1" x14ac:dyDescent="0.25">
      <c r="A43" s="48">
        <v>42571.005393518521</v>
      </c>
      <c r="B43" s="65" t="s">
        <v>171</v>
      </c>
      <c r="C43" s="41" t="s">
        <v>428</v>
      </c>
      <c r="D43" s="41" t="s">
        <v>50</v>
      </c>
      <c r="E43" s="65" t="s">
        <v>51</v>
      </c>
      <c r="F43" s="66">
        <v>0</v>
      </c>
      <c r="G43" s="66">
        <v>5</v>
      </c>
      <c r="H43" s="66">
        <v>147</v>
      </c>
      <c r="I43" s="65" t="s">
        <v>52</v>
      </c>
      <c r="J43" s="66">
        <v>1</v>
      </c>
      <c r="K43" s="41" t="s">
        <v>54</v>
      </c>
      <c r="L43" s="93" t="str">
        <f>VLOOKUP(C43,'Trips&amp;Operators'!$C$1:$E$9999,3,0)</f>
        <v>CHANDLER</v>
      </c>
      <c r="M43" s="9" t="s">
        <v>105</v>
      </c>
      <c r="N43" s="10"/>
      <c r="O43" s="41"/>
      <c r="P43" s="72" t="str">
        <f>VLOOKUP(C43,'Train Runs'!$A$13:$AE$844,31,0)</f>
        <v>aws s3 cp s3://rtdc.mdm.uploadarchive/RTDC4015/2016-07-19/ "C:\Users\stu\Documents\Analysis\2016-02-23 RTDC Observations"\RTDC4015\2016-07-19 --recursive &amp; "C:\Users\stu\Documents\GitHub\mrs-test-scripts\Headless Mode &amp; Sideloading\WalkAndUnGZ.bat" "C:\Users\stu\Documents\Analysis\2016-02-23 RTDC Observations"\RTDC4015\2016-07-19 &amp; aws s3 cp s3://rtdc.mdm.uploadarchive/RTDC4015/2016-07-20/ "C:\Users\stu\Documents\Analysis\2016-02-23 RTDC Observations"\RTDC4015\2016-07-20 --recursive &amp; "C:\Users\stu\Documents\GitHub\mrs-test-scripts\Headless Mode &amp; Sideloading\WalkAndUnGZ.bat" "C:\Users\stu\Documents\Analysis\2016-02-23 RTDC Observations"\RTDC4015\2016-07-20</v>
      </c>
      <c r="Q43" s="70" t="str">
        <f>VLOOKUP(C43,'Train Runs'!$A$13:$AE$844,22,0)</f>
        <v>https://search-rtdc-monitor-bjffxe2xuh6vdkpspy63sjmuny.us-east-1.es.amazonaws.com/_plugin/kibana/#/discover/Steve-Slow-Train-Analysis-(2080s-and-2083s)?_g=(refreshInterval:(display:Off,section:0,value:0),time:(from:'2016-07-19 22:20:24-0600',mode:absolute,to:'2016-07-20 00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3" s="71" t="str">
        <f t="shared" si="5"/>
        <v>"C:\Program Files (x86)\AstroGrep\AstroGrep.exe" /spath="C:\Users\stu\Documents\Analysis\2016-02-23 RTDC Observations" /stypes="*4015*20160720*" /stext=" 06:.+((prompt.+disp)|(slice.+state.+chan)|(ment ac)|(system.+state.+chan)|(\|lc)|(penalty)|(\[timeout))" /e /r /s</v>
      </c>
      <c r="S43" s="9" t="str">
        <f t="shared" si="6"/>
        <v>4015</v>
      </c>
      <c r="T43" s="48">
        <f t="shared" si="7"/>
        <v>42571.255393518521</v>
      </c>
      <c r="U43" s="69" t="str">
        <f t="shared" si="8"/>
        <v>EC</v>
      </c>
      <c r="V43" s="69" t="str">
        <f t="shared" si="9"/>
        <v>OMIT</v>
      </c>
    </row>
    <row r="44" spans="1:22" ht="15" hidden="1" customHeight="1" x14ac:dyDescent="0.25">
      <c r="A44" s="48">
        <v>42571.064641203702</v>
      </c>
      <c r="B44" s="65" t="s">
        <v>372</v>
      </c>
      <c r="C44" s="41" t="s">
        <v>429</v>
      </c>
      <c r="D44" s="41" t="s">
        <v>50</v>
      </c>
      <c r="E44" s="65" t="s">
        <v>51</v>
      </c>
      <c r="F44" s="66">
        <v>0</v>
      </c>
      <c r="G44" s="66">
        <v>5</v>
      </c>
      <c r="H44" s="66">
        <v>121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YANAI</v>
      </c>
      <c r="M44" s="9" t="s">
        <v>105</v>
      </c>
      <c r="N44" s="10"/>
      <c r="O44" s="41"/>
      <c r="P44" s="72" t="str">
        <f>VLOOKUP(C44,'Train Runs'!$A$13:$AE$844,31,0)</f>
        <v>aws s3 cp s3://rtdc.mdm.uploadarchive/RTDC4012/2016-07-20/ "C:\Users\stu\Documents\Analysis\2016-02-23 RTDC Observations"\RTDC4012\2016-07-20 --recursive &amp; "C:\Users\stu\Documents\GitHub\mrs-test-scripts\Headless Mode &amp; Sideloading\WalkAndUnGZ.bat" "C:\Users\stu\Documents\Analysis\2016-02-23 RTDC Observations"\RTDC4012\2016-07-20 &amp; aws s3 cp s3://rtdc.mdm.uploadarchive/RTDC4012/2016-07-21/ "C:\Users\stu\Documents\Analysis\2016-02-23 RTDC Observations"\RTDC4012\2016-07-21 --recursive &amp; "C:\Users\stu\Documents\GitHub\mrs-test-scripts\Headless Mode &amp; Sideloading\WalkAndUnGZ.bat" "C:\Users\stu\Documents\Analysis\2016-02-23 RTDC Observations"\RTDC4012\2016-07-21</v>
      </c>
      <c r="Q44" s="70" t="str">
        <f>VLOOKUP(C44,'Train Runs'!$A$13:$AE$844,22,0)</f>
        <v>https://search-rtdc-monitor-bjffxe2xuh6vdkpspy63sjmuny.us-east-1.es.amazonaws.com/_plugin/kibana/#/discover/Steve-Slow-Train-Analysis-(2080s-and-2083s)?_g=(refreshInterval:(display:Off,section:0,value:0),time:(from:'2016-07-19 23:52:16-0600',mode:absolute,to:'2016-07-20 02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4" s="71" t="str">
        <f t="shared" si="5"/>
        <v>"C:\Program Files (x86)\AstroGrep\AstroGrep.exe" /spath="C:\Users\stu\Documents\Analysis\2016-02-23 RTDC Observations" /stypes="*4012*20160720*" /stext=" 07:.+((prompt.+disp)|(slice.+state.+chan)|(ment ac)|(system.+state.+chan)|(\|lc)|(penalty)|(\[timeout))" /e /r /s</v>
      </c>
      <c r="S44" s="9" t="str">
        <f t="shared" si="6"/>
        <v>4012</v>
      </c>
      <c r="T44" s="48">
        <f t="shared" si="7"/>
        <v>42571.314641203702</v>
      </c>
      <c r="U44" s="69" t="str">
        <f t="shared" si="8"/>
        <v>EC</v>
      </c>
      <c r="V44" s="69" t="str">
        <f t="shared" si="9"/>
        <v>OMIT</v>
      </c>
    </row>
    <row r="45" spans="1:22" hidden="1" x14ac:dyDescent="0.25">
      <c r="A45" s="48">
        <v>42570.159803240742</v>
      </c>
      <c r="B45" s="65" t="s">
        <v>122</v>
      </c>
      <c r="C45" s="41" t="s">
        <v>369</v>
      </c>
      <c r="D45" s="41" t="s">
        <v>50</v>
      </c>
      <c r="E45" s="65" t="s">
        <v>51</v>
      </c>
      <c r="F45" s="66">
        <v>0</v>
      </c>
      <c r="G45" s="66">
        <v>6</v>
      </c>
      <c r="H45" s="66">
        <v>233334</v>
      </c>
      <c r="I45" s="65" t="s">
        <v>52</v>
      </c>
      <c r="J45" s="66">
        <v>233491</v>
      </c>
      <c r="K45" s="41" t="s">
        <v>53</v>
      </c>
      <c r="L45" s="93" t="str">
        <f>VLOOKUP(C45,'Trips&amp;Operators'!$C$1:$E$9999,3,0)</f>
        <v>BEAM</v>
      </c>
      <c r="M45" s="9" t="s">
        <v>105</v>
      </c>
      <c r="N45" s="10"/>
      <c r="O45" s="41"/>
      <c r="P45" s="72" t="str">
        <f>VLOOKUP(C45,'Train Runs'!$A$13:$AE$844,31,0)</f>
        <v>aws s3 cp s3://rtdc.mdm.uploadarchive/RTDC4027/2016-07-19/ "C:\Users\stu\Documents\Analysis\2016-02-23 RTDC Observations"\RTDC4027\2016-07-19 --recursive &amp; "C:\Users\stu\Documents\GitHub\mrs-test-scripts\Headless Mode &amp; Sideloading\WalkAndUnGZ.bat" "C:\Users\stu\Documents\Analysis\2016-02-23 RTDC Observations"\RTDC4027\2016-07-19 &amp; aws s3 cp s3://rtdc.mdm.uploadarchive/RTDC4027/2016-07-20/ "C:\Users\stu\Documents\Analysis\2016-02-23 RTDC Observations"\RTDC4027\2016-07-20 --recursive &amp; "C:\Users\stu\Documents\GitHub\mrs-test-scripts\Headless Mode &amp; Sideloading\WalkAndUnGZ.bat" "C:\Users\stu\Documents\Analysis\2016-02-23 RTDC Observations"\RTDC4027\2016-07-20</v>
      </c>
      <c r="Q45" s="70" t="str">
        <f>VLOOKUP(C45,'Train Runs'!$A$13:$AE$844,22,0)</f>
        <v>https://search-rtdc-monitor-bjffxe2xuh6vdkpspy63sjmuny.us-east-1.es.amazonaws.com/_plugin/kibana/#/discover/Steve-Slow-Train-Analysis-(2080s-and-2083s)?_g=(refreshInterval:(display:Off,section:0,value:0),time:(from:'2016-07-19 02:08:44-0600',mode:absolute,to:'2016-07-19 04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5" s="71" t="str">
        <f t="shared" si="5"/>
        <v>"C:\Program Files (x86)\AstroGrep\AstroGrep.exe" /spath="C:\Users\stu\Documents\Analysis\2016-02-23 RTDC Observations" /stypes="*4027*20160719*" /stext=" 09:.+((prompt.+disp)|(slice.+state.+chan)|(ment ac)|(system.+state.+chan)|(\|lc)|(penalty)|(\[timeout))" /e /r /s</v>
      </c>
      <c r="S45" s="9" t="str">
        <f t="shared" si="6"/>
        <v>4027</v>
      </c>
      <c r="T45" s="48">
        <f t="shared" si="7"/>
        <v>42570.409803240742</v>
      </c>
      <c r="U45" s="69" t="str">
        <f t="shared" si="8"/>
        <v>EC</v>
      </c>
      <c r="V45" s="69" t="str">
        <f t="shared" si="9"/>
        <v>OMIT</v>
      </c>
    </row>
    <row r="46" spans="1:22" ht="15" hidden="1" customHeight="1" x14ac:dyDescent="0.25">
      <c r="A46" s="48">
        <v>42570.243067129632</v>
      </c>
      <c r="B46" s="65" t="s">
        <v>133</v>
      </c>
      <c r="C46" s="41" t="s">
        <v>374</v>
      </c>
      <c r="D46" s="41" t="s">
        <v>50</v>
      </c>
      <c r="E46" s="65" t="s">
        <v>51</v>
      </c>
      <c r="F46" s="66">
        <v>0</v>
      </c>
      <c r="G46" s="66">
        <v>8</v>
      </c>
      <c r="H46" s="66">
        <v>233349</v>
      </c>
      <c r="I46" s="65" t="s">
        <v>52</v>
      </c>
      <c r="J46" s="66">
        <v>233491</v>
      </c>
      <c r="K46" s="41" t="s">
        <v>53</v>
      </c>
      <c r="L46" s="93" t="str">
        <f>VLOOKUP(C46,'Trips&amp;Operators'!$C$1:$E$9999,3,0)</f>
        <v>BEAM</v>
      </c>
      <c r="M46" s="9" t="s">
        <v>105</v>
      </c>
      <c r="N46" s="10"/>
      <c r="O46" s="41"/>
      <c r="P46" s="72" t="str">
        <f>VLOOKUP(C46,'Train Runs'!$A$13:$AE$844,31,0)</f>
        <v>aws s3 cp s3://rtdc.mdm.uploadarchive/RTDC4007/2016-07-19/ "C:\Users\stu\Documents\Analysis\2016-02-23 RTDC Observations"\RTDC4007\2016-07-19 --recursive &amp; "C:\Users\stu\Documents\GitHub\mrs-test-scripts\Headless Mode &amp; Sideloading\WalkAndUnGZ.bat" "C:\Users\stu\Documents\Analysis\2016-02-23 RTDC Observations"\RTDC4007\2016-07-19 &amp; aws s3 cp s3://rtdc.mdm.uploadarchive/RTDC4007/2016-07-20/ "C:\Users\stu\Documents\Analysis\2016-02-23 RTDC Observations"\RTDC4007\2016-07-20 --recursive &amp; "C:\Users\stu\Documents\GitHub\mrs-test-scripts\Headless Mode &amp; Sideloading\WalkAndUnGZ.bat" "C:\Users\stu\Documents\Analysis\2016-02-23 RTDC Observations"\RTDC4007\2016-07-20</v>
      </c>
      <c r="Q46" s="70" t="str">
        <f>VLOOKUP(C46,'Train Runs'!$A$13:$AE$844,22,0)</f>
        <v>https://search-rtdc-monitor-bjffxe2xuh6vdkpspy63sjmuny.us-east-1.es.amazonaws.com/_plugin/kibana/#/discover/Steve-Slow-Train-Analysis-(2080s-and-2083s)?_g=(refreshInterval:(display:Off,section:0,value:0),time:(from:'2016-07-19 04:10:53-0600',mode:absolute,to:'2016-07-19 06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6" s="71" t="str">
        <f t="shared" si="5"/>
        <v>"C:\Program Files (x86)\AstroGrep\AstroGrep.exe" /spath="C:\Users\stu\Documents\Analysis\2016-02-23 RTDC Observations" /stypes="*4007*20160719*" /stext=" 11:.+((prompt.+disp)|(slice.+state.+chan)|(ment ac)|(system.+state.+chan)|(\|lc)|(penalty)|(\[timeout))" /e /r /s</v>
      </c>
      <c r="S46" s="9" t="str">
        <f t="shared" si="6"/>
        <v>4007</v>
      </c>
      <c r="T46" s="48">
        <f t="shared" si="7"/>
        <v>42570.493067129632</v>
      </c>
      <c r="U46" s="69" t="str">
        <f t="shared" si="8"/>
        <v>EC</v>
      </c>
      <c r="V46" s="69" t="str">
        <f t="shared" si="9"/>
        <v>OMIT</v>
      </c>
    </row>
    <row r="47" spans="1:22" hidden="1" x14ac:dyDescent="0.25">
      <c r="A47" s="48">
        <v>42570.253680555557</v>
      </c>
      <c r="B47" s="65" t="s">
        <v>76</v>
      </c>
      <c r="C47" s="41" t="s">
        <v>385</v>
      </c>
      <c r="D47" s="41" t="s">
        <v>50</v>
      </c>
      <c r="E47" s="65" t="s">
        <v>51</v>
      </c>
      <c r="F47" s="66">
        <v>0</v>
      </c>
      <c r="G47" s="66">
        <v>6</v>
      </c>
      <c r="H47" s="66">
        <v>233334</v>
      </c>
      <c r="I47" s="65" t="s">
        <v>52</v>
      </c>
      <c r="J47" s="66">
        <v>233491</v>
      </c>
      <c r="K47" s="41" t="s">
        <v>53</v>
      </c>
      <c r="L47" s="93" t="str">
        <f>VLOOKUP(C47,'Trips&amp;Operators'!$C$1:$E$9999,3,0)</f>
        <v>ROCHA</v>
      </c>
      <c r="M47" s="9" t="s">
        <v>105</v>
      </c>
      <c r="N47" s="10"/>
      <c r="O47" s="41"/>
      <c r="P47" s="72" t="str">
        <f>VLOOKUP(C47,'Train Runs'!$A$13:$AE$844,31,0)</f>
        <v>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 &amp; aws s3 cp s3://rtdc.mdm.uploadarchive/RTDC4031/2016-07-20/ "C:\Users\stu\Documents\Analysis\2016-02-23 RTDC Observations"\RTDC4031\2016-07-20 --recursive &amp; "C:\Users\stu\Documents\GitHub\mrs-test-scripts\Headless Mode &amp; Sideloading\WalkAndUnGZ.bat" "C:\Users\stu\Documents\Analysis\2016-02-23 RTDC Observations"\RTDC4031\2016-07-20</v>
      </c>
      <c r="Q47" s="70" t="str">
        <f>VLOOKUP(C47,'Train Runs'!$A$13:$AE$844,22,0)</f>
        <v>https://search-rtdc-monitor-bjffxe2xuh6vdkpspy63sjmuny.us-east-1.es.amazonaws.com/_plugin/kibana/#/discover/Steve-Slow-Train-Analysis-(2080s-and-2083s)?_g=(refreshInterval:(display:Off,section:0,value:0),time:(from:'2016-07-19 04:26:47-0600',mode:absolute,to:'2016-07-19 07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7" s="71" t="str">
        <f t="shared" si="5"/>
        <v>"C:\Program Files (x86)\AstroGrep\AstroGrep.exe" /spath="C:\Users\stu\Documents\Analysis\2016-02-23 RTDC Observations" /stypes="*4031*20160719*" /stext=" 12:.+((prompt.+disp)|(slice.+state.+chan)|(ment ac)|(system.+state.+chan)|(\|lc)|(penalty)|(\[timeout))" /e /r /s</v>
      </c>
      <c r="S47" s="9" t="str">
        <f t="shared" si="6"/>
        <v>4031</v>
      </c>
      <c r="T47" s="48">
        <f t="shared" si="7"/>
        <v>42570.503680555557</v>
      </c>
      <c r="U47" s="69" t="str">
        <f t="shared" si="8"/>
        <v>EC</v>
      </c>
      <c r="V47" s="69" t="str">
        <f t="shared" si="9"/>
        <v>OMIT</v>
      </c>
    </row>
    <row r="48" spans="1:22" hidden="1" x14ac:dyDescent="0.25">
      <c r="A48" s="48">
        <v>42570.344652777778</v>
      </c>
      <c r="B48" s="65" t="s">
        <v>109</v>
      </c>
      <c r="C48" s="41" t="s">
        <v>392</v>
      </c>
      <c r="D48" s="41" t="s">
        <v>50</v>
      </c>
      <c r="E48" s="65" t="s">
        <v>51</v>
      </c>
      <c r="F48" s="66">
        <v>0</v>
      </c>
      <c r="G48" s="66">
        <v>8</v>
      </c>
      <c r="H48" s="66">
        <v>233338</v>
      </c>
      <c r="I48" s="65" t="s">
        <v>52</v>
      </c>
      <c r="J48" s="66">
        <v>233491</v>
      </c>
      <c r="K48" s="41" t="s">
        <v>53</v>
      </c>
      <c r="L48" s="93" t="str">
        <f>VLOOKUP(C48,'Trips&amp;Operators'!$C$1:$E$9999,3,0)</f>
        <v>ROCHA</v>
      </c>
      <c r="M48" s="9" t="s">
        <v>105</v>
      </c>
      <c r="N48" s="10"/>
      <c r="O48" s="41"/>
      <c r="P48" s="72" t="str">
        <f>VLOOKUP(C48,'Train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48" s="70" t="str">
        <f>VLOOKUP(C48,'Train Runs'!$A$13:$AE$844,22,0)</f>
        <v>https://search-rtdc-monitor-bjffxe2xuh6vdkpspy63sjmuny.us-east-1.es.amazonaws.com/_plugin/kibana/#/discover/Steve-Slow-Train-Analysis-(2080s-and-2083s)?_g=(refreshInterval:(display:Off,section:0,value:0),time:(from:'2016-07-19 06:30:25-0600',mode:absolute,to:'2016-07-19 08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8" s="71" t="str">
        <f t="shared" si="5"/>
        <v>"C:\Program Files (x86)\AstroGrep\AstroGrep.exe" /spath="C:\Users\stu\Documents\Analysis\2016-02-23 RTDC Observations" /stypes="*4038*20160719*" /stext=" 14:.+((prompt.+disp)|(slice.+state.+chan)|(ment ac)|(system.+state.+chan)|(\|lc)|(penalty)|(\[timeout))" /e /r /s</v>
      </c>
      <c r="S48" s="9" t="str">
        <f t="shared" si="6"/>
        <v>4038</v>
      </c>
      <c r="T48" s="48">
        <f t="shared" si="7"/>
        <v>42570.594652777778</v>
      </c>
      <c r="U48" s="69" t="str">
        <f t="shared" si="8"/>
        <v>EC</v>
      </c>
      <c r="V48" s="69" t="str">
        <f t="shared" si="9"/>
        <v>OMIT</v>
      </c>
    </row>
    <row r="49" spans="1:22" ht="15" hidden="1" customHeight="1" x14ac:dyDescent="0.25">
      <c r="A49" s="48">
        <v>42570.368206018517</v>
      </c>
      <c r="B49" s="65" t="s">
        <v>194</v>
      </c>
      <c r="C49" s="41" t="s">
        <v>387</v>
      </c>
      <c r="D49" s="41" t="s">
        <v>50</v>
      </c>
      <c r="E49" s="65" t="s">
        <v>51</v>
      </c>
      <c r="F49" s="66">
        <v>0</v>
      </c>
      <c r="G49" s="66">
        <v>6</v>
      </c>
      <c r="H49" s="66">
        <v>233357</v>
      </c>
      <c r="I49" s="65" t="s">
        <v>52</v>
      </c>
      <c r="J49" s="66">
        <v>233491</v>
      </c>
      <c r="K49" s="41" t="s">
        <v>53</v>
      </c>
      <c r="L49" s="93" t="str">
        <f>VLOOKUP(C49,'Trips&amp;Operators'!$C$1:$E$9999,3,0)</f>
        <v>SPECTOR</v>
      </c>
      <c r="M49" s="9" t="s">
        <v>105</v>
      </c>
      <c r="N49" s="10"/>
      <c r="O49" s="41"/>
      <c r="P49" s="72" t="str">
        <f>VLOOKUP(C49,'Train Runs'!$A$13:$AE$844,31,0)</f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Q49" s="70" t="str">
        <f>VLOOKUP(C49,'Train Runs'!$A$13:$AE$844,22,0)</f>
        <v>https://search-rtdc-monitor-bjffxe2xuh6vdkpspy63sjmuny.us-east-1.es.amazonaws.com/_plugin/kibana/#/discover/Steve-Slow-Train-Analysis-(2080s-and-2083s)?_g=(refreshInterval:(display:Off,section:0,value:0),time:(from:'2016-07-19 07:06:04-0600',mode:absolute,to:'2016-07-19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49" s="71" t="str">
        <f t="shared" si="5"/>
        <v>"C:\Program Files (x86)\AstroGrep\AstroGrep.exe" /spath="C:\Users\stu\Documents\Analysis\2016-02-23 RTDC Observations" /stypes="*4009*20160719*" /stext=" 14:.+((prompt.+disp)|(slice.+state.+chan)|(ment ac)|(system.+state.+chan)|(\|lc)|(penalty)|(\[timeout))" /e /r /s</v>
      </c>
      <c r="S49" s="9" t="str">
        <f t="shared" si="6"/>
        <v>4009</v>
      </c>
      <c r="T49" s="48">
        <f t="shared" si="7"/>
        <v>42570.618206018517</v>
      </c>
      <c r="U49" s="69" t="str">
        <f t="shared" si="8"/>
        <v>EC</v>
      </c>
      <c r="V49" s="69" t="str">
        <f t="shared" si="9"/>
        <v>OMIT</v>
      </c>
    </row>
    <row r="50" spans="1:22" ht="15" hidden="1" customHeight="1" x14ac:dyDescent="0.25">
      <c r="A50" s="48">
        <v>42570.409953703704</v>
      </c>
      <c r="B50" s="65" t="s">
        <v>109</v>
      </c>
      <c r="C50" s="41" t="s">
        <v>357</v>
      </c>
      <c r="D50" s="41" t="s">
        <v>50</v>
      </c>
      <c r="E50" s="65" t="s">
        <v>51</v>
      </c>
      <c r="F50" s="66">
        <v>0</v>
      </c>
      <c r="G50" s="66">
        <v>5</v>
      </c>
      <c r="H50" s="66">
        <v>233330</v>
      </c>
      <c r="I50" s="65" t="s">
        <v>52</v>
      </c>
      <c r="J50" s="66">
        <v>233491</v>
      </c>
      <c r="K50" s="41" t="s">
        <v>53</v>
      </c>
      <c r="L50" s="93" t="str">
        <f>VLOOKUP(C50,'Trips&amp;Operators'!$C$1:$E$9999,3,0)</f>
        <v>ROCHA</v>
      </c>
      <c r="M50" s="9" t="s">
        <v>105</v>
      </c>
      <c r="N50" s="10"/>
      <c r="O50" s="41"/>
      <c r="P50" s="72" t="str">
        <f>VLOOKUP(C50,'Train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50" s="70" t="str">
        <f>VLOOKUP(C50,'Train Runs'!$A$13:$AE$844,22,0)</f>
        <v>https://search-rtdc-monitor-bjffxe2xuh6vdkpspy63sjmuny.us-east-1.es.amazonaws.com/_plugin/kibana/#/discover/Steve-Slow-Train-Analysis-(2080s-and-2083s)?_g=(refreshInterval:(display:Off,section:0,value:0),time:(from:'2016-07-19 08:13:00-0600',mode:absolute,to:'2016-07-19 10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71" t="str">
        <f t="shared" si="5"/>
        <v>"C:\Program Files (x86)\AstroGrep\AstroGrep.exe" /spath="C:\Users\stu\Documents\Analysis\2016-02-23 RTDC Observations" /stypes="*4038*20160719*" /stext=" 15:.+((prompt.+disp)|(slice.+state.+chan)|(ment ac)|(system.+state.+chan)|(\|lc)|(penalty)|(\[timeout))" /e /r /s</v>
      </c>
      <c r="S50" s="9" t="str">
        <f t="shared" si="6"/>
        <v>4038</v>
      </c>
      <c r="T50" s="48">
        <f t="shared" si="7"/>
        <v>42570.659953703704</v>
      </c>
      <c r="U50" s="69" t="str">
        <f t="shared" si="8"/>
        <v>EC</v>
      </c>
      <c r="V50" s="69" t="str">
        <f t="shared" si="9"/>
        <v>OMIT</v>
      </c>
    </row>
    <row r="51" spans="1:22" ht="15" hidden="1" customHeight="1" x14ac:dyDescent="0.25">
      <c r="A51" s="48">
        <v>42570.526620370372</v>
      </c>
      <c r="B51" s="65" t="s">
        <v>120</v>
      </c>
      <c r="C51" s="41" t="s">
        <v>408</v>
      </c>
      <c r="D51" s="41" t="s">
        <v>50</v>
      </c>
      <c r="E51" s="65" t="s">
        <v>51</v>
      </c>
      <c r="F51" s="66">
        <v>0</v>
      </c>
      <c r="G51" s="66">
        <v>8</v>
      </c>
      <c r="H51" s="66">
        <v>233351</v>
      </c>
      <c r="I51" s="65" t="s">
        <v>52</v>
      </c>
      <c r="J51" s="66">
        <v>233491</v>
      </c>
      <c r="K51" s="41" t="s">
        <v>53</v>
      </c>
      <c r="L51" s="93" t="str">
        <f>VLOOKUP(C51,'Trips&amp;Operators'!$C$1:$E$9999,3,0)</f>
        <v>YOUNG</v>
      </c>
      <c r="M51" s="9" t="s">
        <v>105</v>
      </c>
      <c r="N51" s="10"/>
      <c r="O51" s="41"/>
      <c r="P51" s="72" t="str">
        <f>VLOOKUP(C51,'Train Runs'!$A$13:$AE$844,31,0)</f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Q51" s="70" t="str">
        <f>VLOOKUP(C51,'Train Runs'!$A$13:$AE$844,22,0)</f>
        <v>https://search-rtdc-monitor-bjffxe2xuh6vdkpspy63sjmuny.us-east-1.es.amazonaws.com/_plugin/kibana/#/discover/Steve-Slow-Train-Analysis-(2080s-and-2083s)?_g=(refreshInterval:(display:Off,section:0,value:0),time:(from:'2016-07-19 10:53:02-0600',mode:absolute,to:'2016-07-19 13:38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1" s="71" t="str">
        <f t="shared" si="5"/>
        <v>"C:\Program Files (x86)\AstroGrep\AstroGrep.exe" /spath="C:\Users\stu\Documents\Analysis\2016-02-23 RTDC Observations" /stypes="*4029*20160719*" /stext=" 18:.+((prompt.+disp)|(slice.+state.+chan)|(ment ac)|(system.+state.+chan)|(\|lc)|(penalty)|(\[timeout))" /e /r /s</v>
      </c>
      <c r="S51" s="9" t="str">
        <f t="shared" si="6"/>
        <v>4029</v>
      </c>
      <c r="T51" s="48">
        <f t="shared" si="7"/>
        <v>42570.776620370372</v>
      </c>
      <c r="U51" s="69" t="str">
        <f t="shared" si="8"/>
        <v>EC</v>
      </c>
      <c r="V51" s="69" t="str">
        <f t="shared" si="9"/>
        <v>OMIT</v>
      </c>
    </row>
    <row r="52" spans="1:22" ht="15" customHeight="1" x14ac:dyDescent="0.25">
      <c r="A52" s="48">
        <v>42570.555925925924</v>
      </c>
      <c r="B52" s="65" t="s">
        <v>109</v>
      </c>
      <c r="C52" s="41" t="s">
        <v>411</v>
      </c>
      <c r="D52" s="41" t="s">
        <v>50</v>
      </c>
      <c r="E52" s="65" t="s">
        <v>51</v>
      </c>
      <c r="F52" s="66">
        <v>0</v>
      </c>
      <c r="G52" s="66">
        <v>108</v>
      </c>
      <c r="H52" s="66">
        <v>233071</v>
      </c>
      <c r="I52" s="65" t="s">
        <v>52</v>
      </c>
      <c r="J52" s="66">
        <v>233491</v>
      </c>
      <c r="K52" s="41" t="s">
        <v>53</v>
      </c>
      <c r="L52" s="93" t="str">
        <f>VLOOKUP(C52,'Trips&amp;Operators'!$C$1:$E$9999,3,0)</f>
        <v>STORY</v>
      </c>
      <c r="M52" s="9" t="s">
        <v>105</v>
      </c>
      <c r="N52" s="10"/>
      <c r="O52" s="41"/>
      <c r="P52" s="72" t="str">
        <f>VLOOKUP(C52,'Train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52" s="70" t="str">
        <f>VLOOKUP(C52,'Train Runs'!$A$13:$AE$844,22,0)</f>
        <v>https://search-rtdc-monitor-bjffxe2xuh6vdkpspy63sjmuny.us-east-1.es.amazonaws.com/_plugin/kibana/#/discover/Steve-Slow-Train-Analysis-(2080s-and-2083s)?_g=(refreshInterval:(display:Off,section:0,value:0),time:(from:'2016-07-19 11:35:55-0600',mode:absolute,to:'2016-07-19 14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2" s="71" t="str">
        <f t="shared" si="5"/>
        <v>"C:\Program Files (x86)\AstroGrep\AstroGrep.exe" /spath="C:\Users\stu\Documents\Analysis\2016-02-23 RTDC Observations" /stypes="*4038*20160719*" /stext=" 19:.+((prompt.+disp)|(slice.+state.+chan)|(ment ac)|(system.+state.+chan)|(\|lc)|(penalty)|(\[timeout))" /e /r /s</v>
      </c>
      <c r="S52" s="9" t="str">
        <f t="shared" si="6"/>
        <v>4038</v>
      </c>
      <c r="T52" s="48">
        <f t="shared" si="7"/>
        <v>42570.805925925924</v>
      </c>
      <c r="U52" s="69" t="str">
        <f t="shared" si="8"/>
        <v>EC</v>
      </c>
      <c r="V52" s="69" t="str">
        <f t="shared" si="9"/>
        <v>KEEP</v>
      </c>
    </row>
    <row r="53" spans="1:22" hidden="1" x14ac:dyDescent="0.25">
      <c r="A53" s="48">
        <v>42570.556458333333</v>
      </c>
      <c r="B53" s="65" t="s">
        <v>109</v>
      </c>
      <c r="C53" s="41" t="s">
        <v>411</v>
      </c>
      <c r="D53" s="41" t="s">
        <v>50</v>
      </c>
      <c r="E53" s="65" t="s">
        <v>51</v>
      </c>
      <c r="F53" s="66">
        <v>0</v>
      </c>
      <c r="G53" s="66">
        <v>4</v>
      </c>
      <c r="H53" s="66">
        <v>233155</v>
      </c>
      <c r="I53" s="65" t="s">
        <v>52</v>
      </c>
      <c r="J53" s="66">
        <v>233491</v>
      </c>
      <c r="K53" s="41" t="s">
        <v>53</v>
      </c>
      <c r="L53" s="93" t="str">
        <f>VLOOKUP(C53,'Trips&amp;Operators'!$C$1:$E$9999,3,0)</f>
        <v>STORY</v>
      </c>
      <c r="M53" s="9" t="s">
        <v>105</v>
      </c>
      <c r="N53" s="10"/>
      <c r="O53" s="41"/>
      <c r="P53" s="72" t="str">
        <f>VLOOKUP(C53,'Train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53" s="70" t="str">
        <f>VLOOKUP(C53,'Train Runs'!$A$13:$AE$844,22,0)</f>
        <v>https://search-rtdc-monitor-bjffxe2xuh6vdkpspy63sjmuny.us-east-1.es.amazonaws.com/_plugin/kibana/#/discover/Steve-Slow-Train-Analysis-(2080s-and-2083s)?_g=(refreshInterval:(display:Off,section:0,value:0),time:(from:'2016-07-19 11:35:55-0600',mode:absolute,to:'2016-07-19 14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3" s="71" t="str">
        <f t="shared" si="5"/>
        <v>"C:\Program Files (x86)\AstroGrep\AstroGrep.exe" /spath="C:\Users\stu\Documents\Analysis\2016-02-23 RTDC Observations" /stypes="*4038*20160719*" /stext=" 19:.+((prompt.+disp)|(slice.+state.+chan)|(ment ac)|(system.+state.+chan)|(\|lc)|(penalty)|(\[timeout))" /e /r /s</v>
      </c>
      <c r="S53" s="9" t="str">
        <f t="shared" si="6"/>
        <v>4038</v>
      </c>
      <c r="T53" s="48">
        <f t="shared" si="7"/>
        <v>42570.806458333333</v>
      </c>
      <c r="U53" s="69" t="str">
        <f t="shared" si="8"/>
        <v>EC</v>
      </c>
      <c r="V53" s="69" t="str">
        <f t="shared" si="9"/>
        <v>OMIT</v>
      </c>
    </row>
    <row r="54" spans="1:22" hidden="1" x14ac:dyDescent="0.25">
      <c r="A54" s="48">
        <v>42570.590381944443</v>
      </c>
      <c r="B54" s="65" t="s">
        <v>194</v>
      </c>
      <c r="C54" s="41" t="s">
        <v>413</v>
      </c>
      <c r="D54" s="41" t="s">
        <v>50</v>
      </c>
      <c r="E54" s="65" t="s">
        <v>51</v>
      </c>
      <c r="F54" s="66">
        <v>0</v>
      </c>
      <c r="G54" s="66">
        <v>6</v>
      </c>
      <c r="H54" s="66">
        <v>233331</v>
      </c>
      <c r="I54" s="65" t="s">
        <v>52</v>
      </c>
      <c r="J54" s="66">
        <v>233491</v>
      </c>
      <c r="K54" s="41" t="s">
        <v>53</v>
      </c>
      <c r="L54" s="93" t="str">
        <f>VLOOKUP(C54,'Trips&amp;Operators'!$C$1:$E$9999,3,0)</f>
        <v>DAVIS</v>
      </c>
      <c r="M54" s="9" t="s">
        <v>105</v>
      </c>
      <c r="N54" s="10"/>
      <c r="O54" s="41"/>
      <c r="P54" s="72" t="str">
        <f>VLOOKUP(C54,'Train Runs'!$A$13:$AE$844,31,0)</f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Q54" s="70" t="str">
        <f>VLOOKUP(C54,'Train Runs'!$A$13:$AE$844,22,0)</f>
        <v>https://search-rtdc-monitor-bjffxe2xuh6vdkpspy63sjmuny.us-east-1.es.amazonaws.com/_plugin/kibana/#/discover/Steve-Slow-Train-Analysis-(2080s-and-2083s)?_g=(refreshInterval:(display:Off,section:0,value:0),time:(from:'2016-07-19 12:22:32-0600',mode:absolute,to:'2016-07-19 15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4" s="71" t="str">
        <f t="shared" si="5"/>
        <v>"C:\Program Files (x86)\AstroGrep\AstroGrep.exe" /spath="C:\Users\stu\Documents\Analysis\2016-02-23 RTDC Observations" /stypes="*4009*20160719*" /stext=" 20:.+((prompt.+disp)|(slice.+state.+chan)|(ment ac)|(system.+state.+chan)|(\|lc)|(penalty)|(\[timeout))" /e /r /s</v>
      </c>
      <c r="S54" s="9" t="str">
        <f t="shared" si="6"/>
        <v>4009</v>
      </c>
      <c r="T54" s="48">
        <f t="shared" si="7"/>
        <v>42570.840381944443</v>
      </c>
      <c r="U54" s="69" t="str">
        <f t="shared" si="8"/>
        <v>EC</v>
      </c>
      <c r="V54" s="69" t="str">
        <f t="shared" si="9"/>
        <v>OMIT</v>
      </c>
    </row>
    <row r="55" spans="1:22" hidden="1" x14ac:dyDescent="0.25">
      <c r="A55" s="48">
        <v>42570.630729166667</v>
      </c>
      <c r="B55" s="65" t="s">
        <v>109</v>
      </c>
      <c r="C55" s="41" t="s">
        <v>415</v>
      </c>
      <c r="D55" s="41" t="s">
        <v>50</v>
      </c>
      <c r="E55" s="65" t="s">
        <v>51</v>
      </c>
      <c r="F55" s="66">
        <v>0</v>
      </c>
      <c r="G55" s="66">
        <v>7</v>
      </c>
      <c r="H55" s="66">
        <v>233408</v>
      </c>
      <c r="I55" s="65" t="s">
        <v>52</v>
      </c>
      <c r="J55" s="66">
        <v>233491</v>
      </c>
      <c r="K55" s="41" t="s">
        <v>53</v>
      </c>
      <c r="L55" s="93" t="str">
        <f>VLOOKUP(C55,'Trips&amp;Operators'!$C$1:$E$9999,3,0)</f>
        <v>STORY</v>
      </c>
      <c r="M55" s="9" t="s">
        <v>105</v>
      </c>
      <c r="N55" s="10"/>
      <c r="O55" s="41"/>
      <c r="P55" s="72" t="str">
        <f>VLOOKUP(C55,'Train Runs'!$A$13:$AE$844,31,0)</f>
        <v>aws s3 cp s3://rtdc.mdm.uploadarchive/RTDC4038/2016-07-19/ "C:\Users\stu\Documents\Analysis\2016-02-23 RTDC Observations"\RTDC4038\2016-07-19 --recursive &amp; "C:\Users\stu\Documents\GitHub\mrs-test-scripts\Headless Mode &amp; Sideloading\WalkAndUnGZ.bat" "C:\Users\stu\Documents\Analysis\2016-02-23 RTDC Observations"\RTDC4038\2016-07-19 &amp; aws s3 cp s3://rtdc.mdm.uploadarchive/RTDC4038/2016-07-20/ "C:\Users\stu\Documents\Analysis\2016-02-23 RTDC Observations"\RTDC4038\2016-07-20 --recursive &amp; "C:\Users\stu\Documents\GitHub\mrs-test-scripts\Headless Mode &amp; Sideloading\WalkAndUnGZ.bat" "C:\Users\stu\Documents\Analysis\2016-02-23 RTDC Observations"\RTDC4038\2016-07-20</v>
      </c>
      <c r="Q55" s="70" t="str">
        <f>VLOOKUP(C55,'Train Runs'!$A$13:$AE$844,22,0)</f>
        <v>https://search-rtdc-monitor-bjffxe2xuh6vdkpspy63sjmuny.us-east-1.es.amazonaws.com/_plugin/kibana/#/discover/Steve-Slow-Train-Analysis-(2080s-and-2083s)?_g=(refreshInterval:(display:Off,section:0,value:0),time:(from:'2016-07-19 13:24:45-0600',mode:absolute,to:'2016-07-19 16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5" s="71" t="str">
        <f t="shared" si="5"/>
        <v>"C:\Program Files (x86)\AstroGrep\AstroGrep.exe" /spath="C:\Users\stu\Documents\Analysis\2016-02-23 RTDC Observations" /stypes="*4038*20160719*" /stext=" 21:.+((prompt.+disp)|(slice.+state.+chan)|(ment ac)|(system.+state.+chan)|(\|lc)|(penalty)|(\[timeout))" /e /r /s</v>
      </c>
      <c r="S55" s="9" t="str">
        <f t="shared" si="6"/>
        <v>4038</v>
      </c>
      <c r="T55" s="48">
        <f t="shared" si="7"/>
        <v>42570.880729166667</v>
      </c>
      <c r="U55" s="69" t="str">
        <f t="shared" si="8"/>
        <v>EC</v>
      </c>
      <c r="V55" s="69" t="str">
        <f t="shared" si="9"/>
        <v>OMIT</v>
      </c>
    </row>
    <row r="56" spans="1:22" hidden="1" x14ac:dyDescent="0.25">
      <c r="A56" s="48">
        <v>42570.660601851851</v>
      </c>
      <c r="B56" s="65" t="s">
        <v>194</v>
      </c>
      <c r="C56" s="41" t="s">
        <v>417</v>
      </c>
      <c r="D56" s="41" t="s">
        <v>50</v>
      </c>
      <c r="E56" s="65" t="s">
        <v>51</v>
      </c>
      <c r="F56" s="66">
        <v>0</v>
      </c>
      <c r="G56" s="66">
        <v>8</v>
      </c>
      <c r="H56" s="66">
        <v>233312</v>
      </c>
      <c r="I56" s="65" t="s">
        <v>52</v>
      </c>
      <c r="J56" s="66">
        <v>233491</v>
      </c>
      <c r="K56" s="41" t="s">
        <v>53</v>
      </c>
      <c r="L56" s="93" t="str">
        <f>VLOOKUP(C56,'Trips&amp;Operators'!$C$1:$E$9999,3,0)</f>
        <v>DAVIS</v>
      </c>
      <c r="M56" s="9" t="s">
        <v>105</v>
      </c>
      <c r="N56" s="10"/>
      <c r="O56" s="41"/>
      <c r="P56" s="72" t="str">
        <f>VLOOKUP(C56,'Train Runs'!$A$13:$AE$844,31,0)</f>
        <v>aws s3 cp s3://rtdc.mdm.uploadarchive/RTDC4009/2016-07-19/ "C:\Users\stu\Documents\Analysis\2016-02-23 RTDC Observations"\RTDC4009\2016-07-19 --recursive &amp; "C:\Users\stu\Documents\GitHub\mrs-test-scripts\Headless Mode &amp; Sideloading\WalkAndUnGZ.bat" "C:\Users\stu\Documents\Analysis\2016-02-23 RTDC Observations"\RTDC4009\2016-07-19 &amp; aws s3 cp s3://rtdc.mdm.uploadarchive/RTDC4009/2016-07-20/ "C:\Users\stu\Documents\Analysis\2016-02-23 RTDC Observations"\RTDC4009\2016-07-20 --recursive &amp; "C:\Users\stu\Documents\GitHub\mrs-test-scripts\Headless Mode &amp; Sideloading\WalkAndUnGZ.bat" "C:\Users\stu\Documents\Analysis\2016-02-23 RTDC Observations"\RTDC4009\2016-07-20</v>
      </c>
      <c r="Q56" s="70" t="str">
        <f>VLOOKUP(C56,'Train Runs'!$A$13:$AE$844,22,0)</f>
        <v>https://search-rtdc-monitor-bjffxe2xuh6vdkpspy63sjmuny.us-east-1.es.amazonaws.com/_plugin/kibana/#/discover/Steve-Slow-Train-Analysis-(2080s-and-2083s)?_g=(refreshInterval:(display:Off,section:0,value:0),time:(from:'2016-07-19 14:10:04-0600',mode:absolute,to:'2016-07-19 16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6" s="71" t="str">
        <f t="shared" si="5"/>
        <v>"C:\Program Files (x86)\AstroGrep\AstroGrep.exe" /spath="C:\Users\stu\Documents\Analysis\2016-02-23 RTDC Observations" /stypes="*4009*20160719*" /stext=" 21:.+((prompt.+disp)|(slice.+state.+chan)|(ment ac)|(system.+state.+chan)|(\|lc)|(penalty)|(\[timeout))" /e /r /s</v>
      </c>
      <c r="S56" s="9" t="str">
        <f t="shared" si="6"/>
        <v>4009</v>
      </c>
      <c r="T56" s="48">
        <f t="shared" si="7"/>
        <v>42570.910601851851</v>
      </c>
      <c r="U56" s="69" t="str">
        <f t="shared" si="8"/>
        <v>EC</v>
      </c>
      <c r="V56" s="69" t="str">
        <f t="shared" si="9"/>
        <v>OMIT</v>
      </c>
    </row>
    <row r="57" spans="1:22" hidden="1" x14ac:dyDescent="0.25">
      <c r="A57" s="48">
        <v>42570.743703703702</v>
      </c>
      <c r="B57" s="65" t="s">
        <v>120</v>
      </c>
      <c r="C57" s="41" t="s">
        <v>421</v>
      </c>
      <c r="D57" s="41" t="s">
        <v>50</v>
      </c>
      <c r="E57" s="65" t="s">
        <v>51</v>
      </c>
      <c r="F57" s="66">
        <v>0</v>
      </c>
      <c r="G57" s="66">
        <v>6</v>
      </c>
      <c r="H57" s="66">
        <v>233330</v>
      </c>
      <c r="I57" s="65" t="s">
        <v>52</v>
      </c>
      <c r="J57" s="66">
        <v>233491</v>
      </c>
      <c r="K57" s="41" t="s">
        <v>53</v>
      </c>
      <c r="L57" s="93" t="str">
        <f>VLOOKUP(C57,'Trips&amp;Operators'!$C$1:$E$9999,3,0)</f>
        <v>STAMBAUGH</v>
      </c>
      <c r="M57" s="9" t="s">
        <v>105</v>
      </c>
      <c r="N57" s="10"/>
      <c r="O57" s="41"/>
      <c r="P57" s="72" t="str">
        <f>VLOOKUP(C57,'Train Runs'!$A$13:$AE$844,31,0)</f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Q57" s="70" t="str">
        <f>VLOOKUP(C57,'Train Runs'!$A$13:$AE$844,22,0)</f>
        <v>https://search-rtdc-monitor-bjffxe2xuh6vdkpspy63sjmuny.us-east-1.es.amazonaws.com/_plugin/kibana/#/discover/Steve-Slow-Train-Analysis-(2080s-and-2083s)?_g=(refreshInterval:(display:Off,section:0,value:0),time:(from:'2016-07-19 16:09:49-0600',mode:absolute,to:'2016-07-19 18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7" s="71" t="str">
        <f t="shared" si="5"/>
        <v>"C:\Program Files (x86)\AstroGrep\AstroGrep.exe" /spath="C:\Users\stu\Documents\Analysis\2016-02-23 RTDC Observations" /stypes="*4029*20160719*" /stext=" 23:.+((prompt.+disp)|(slice.+state.+chan)|(ment ac)|(system.+state.+chan)|(\|lc)|(penalty)|(\[timeout))" /e /r /s</v>
      </c>
      <c r="S57" s="9" t="str">
        <f t="shared" si="6"/>
        <v>4029</v>
      </c>
      <c r="T57" s="48">
        <f t="shared" si="7"/>
        <v>42570.993703703702</v>
      </c>
      <c r="U57" s="69" t="str">
        <f t="shared" si="8"/>
        <v>EC</v>
      </c>
      <c r="V57" s="69" t="str">
        <f t="shared" si="9"/>
        <v>OMIT</v>
      </c>
    </row>
    <row r="58" spans="1:22" hidden="1" x14ac:dyDescent="0.25">
      <c r="A58" s="48">
        <v>42570.89984953704</v>
      </c>
      <c r="B58" s="65" t="s">
        <v>120</v>
      </c>
      <c r="C58" s="41" t="s">
        <v>427</v>
      </c>
      <c r="D58" s="41" t="s">
        <v>50</v>
      </c>
      <c r="E58" s="65" t="s">
        <v>51</v>
      </c>
      <c r="F58" s="66">
        <v>0</v>
      </c>
      <c r="G58" s="66">
        <v>5</v>
      </c>
      <c r="H58" s="66">
        <v>233329</v>
      </c>
      <c r="I58" s="65" t="s">
        <v>52</v>
      </c>
      <c r="J58" s="66">
        <v>233491</v>
      </c>
      <c r="K58" s="41" t="s">
        <v>53</v>
      </c>
      <c r="L58" s="93" t="str">
        <f>VLOOKUP(C58,'Trips&amp;Operators'!$C$1:$E$9999,3,0)</f>
        <v>LEVERE</v>
      </c>
      <c r="M58" s="9" t="s">
        <v>105</v>
      </c>
      <c r="N58" s="10"/>
      <c r="O58" s="41"/>
      <c r="P58" s="72" t="str">
        <f>VLOOKUP(C58,'Train Runs'!$A$13:$AE$844,31,0)</f>
        <v>aws s3 cp s3://rtdc.mdm.uploadarchive/RTDC4029/2016-07-19/ "C:\Users\stu\Documents\Analysis\2016-02-23 RTDC Observations"\RTDC4029\2016-07-19 --recursive &amp; "C:\Users\stu\Documents\GitHub\mrs-test-scripts\Headless Mode &amp; Sideloading\WalkAndUnGZ.bat" "C:\Users\stu\Documents\Analysis\2016-02-23 RTDC Observations"\RTDC4029\2016-07-19 &amp; aws s3 cp s3://rtdc.mdm.uploadarchive/RTDC4029/2016-07-20/ "C:\Users\stu\Documents\Analysis\2016-02-23 RTDC Observations"\RTDC4029\2016-07-20 --recursive &amp; "C:\Users\stu\Documents\GitHub\mrs-test-scripts\Headless Mode &amp; Sideloading\WalkAndUnGZ.bat" "C:\Users\stu\Documents\Analysis\2016-02-23 RTDC Observations"\RTDC4029\2016-07-20</v>
      </c>
      <c r="Q58" s="70" t="str">
        <f>VLOOKUP(C58,'Train Runs'!$A$13:$AE$844,22,0)</f>
        <v>https://search-rtdc-monitor-bjffxe2xuh6vdkpspy63sjmuny.us-east-1.es.amazonaws.com/_plugin/kibana/#/discover/Steve-Slow-Train-Analysis-(2080s-and-2083s)?_g=(refreshInterval:(display:Off,section:0,value:0),time:(from:'2016-07-19 19:42:20-0600',mode:absolute,to:'2016-07-19 22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8" s="71" t="str">
        <f t="shared" si="5"/>
        <v>"C:\Program Files (x86)\AstroGrep\AstroGrep.exe" /spath="C:\Users\stu\Documents\Analysis\2016-02-23 RTDC Observations" /stypes="*4029*20160720*" /stext=" 03:.+((prompt.+disp)|(slice.+state.+chan)|(ment ac)|(system.+state.+chan)|(\|lc)|(penalty)|(\[timeout))" /e /r /s</v>
      </c>
      <c r="S58" s="9" t="str">
        <f t="shared" si="6"/>
        <v>4029</v>
      </c>
      <c r="T58" s="48">
        <f t="shared" si="7"/>
        <v>42571.14984953704</v>
      </c>
      <c r="U58" s="69" t="str">
        <f t="shared" si="8"/>
        <v>EC</v>
      </c>
      <c r="V58" s="69" t="str">
        <f t="shared" si="9"/>
        <v>OMIT</v>
      </c>
    </row>
  </sheetData>
  <autoFilter ref="A6:V58">
    <filterColumn colId="21">
      <filters>
        <filter val="KEEP"/>
      </filters>
    </filterColumn>
  </autoFilter>
  <sortState ref="A7:V71">
    <sortCondition ref="U7:U71"/>
    <sortCondition ref="E7:E71"/>
    <sortCondition ref="J7:J71"/>
    <sortCondition ref="C7:C71"/>
    <sortCondition ref="F7:F71"/>
  </sortState>
  <mergeCells count="1">
    <mergeCell ref="A5:M5"/>
  </mergeCells>
  <conditionalFormatting sqref="M6:N6 P6 M7:M1048576">
    <cfRule type="cellIs" dxfId="20" priority="14" operator="equal">
      <formula>"Y"</formula>
    </cfRule>
  </conditionalFormatting>
  <conditionalFormatting sqref="A7:N58">
    <cfRule type="expression" dxfId="19" priority="7">
      <formula>$M7="Y"</formula>
    </cfRule>
  </conditionalFormatting>
  <conditionalFormatting sqref="M2:M3">
    <cfRule type="cellIs" dxfId="18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4" sqref="D4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2016-07-19</v>
      </c>
      <c r="B1" s="117"/>
      <c r="C1" s="117"/>
      <c r="D1" s="117"/>
      <c r="E1" s="117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83</v>
      </c>
      <c r="G2" s="39" t="s">
        <v>84</v>
      </c>
    </row>
    <row r="3" spans="1:10" x14ac:dyDescent="0.25">
      <c r="A3" s="41" t="s">
        <v>647</v>
      </c>
      <c r="B3" s="41"/>
      <c r="C3" s="41"/>
      <c r="D3" s="41" t="s">
        <v>649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648</v>
      </c>
      <c r="B4" s="41"/>
      <c r="C4" s="41"/>
      <c r="D4" s="41" t="s">
        <v>649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/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/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39"/>
      <c r="B7"/>
      <c r="C7"/>
      <c r="H7" s="25"/>
      <c r="I7" s="25"/>
      <c r="J7" s="25"/>
    </row>
    <row r="8" spans="1:10" x14ac:dyDescent="0.25">
      <c r="A8" s="39"/>
      <c r="B8"/>
      <c r="C8"/>
      <c r="H8" s="25"/>
      <c r="I8" s="25"/>
      <c r="J8" s="25"/>
    </row>
    <row r="9" spans="1:10" x14ac:dyDescent="0.25">
      <c r="A9" s="39"/>
      <c r="B9"/>
      <c r="C9"/>
      <c r="H9" s="25"/>
      <c r="I9" s="25"/>
      <c r="J9" s="25"/>
    </row>
    <row r="10" spans="1:10" x14ac:dyDescent="0.25">
      <c r="A10" s="39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32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>
        <v>42569.868587962963</v>
      </c>
      <c r="B1" s="25" t="s">
        <v>74</v>
      </c>
      <c r="C1" s="25" t="s">
        <v>336</v>
      </c>
      <c r="D1" s="25">
        <v>2000000</v>
      </c>
      <c r="E1" s="25" t="s">
        <v>149</v>
      </c>
      <c r="F1" s="25" t="str">
        <f>B1</f>
        <v>rtdc.l.rtdc.4018:itc</v>
      </c>
      <c r="G1" s="8">
        <f>A1</f>
        <v>42569.868587962963</v>
      </c>
    </row>
    <row r="2" spans="1:7" x14ac:dyDescent="0.25">
      <c r="A2" s="8">
        <v>42570.338090277779</v>
      </c>
      <c r="B2" s="25" t="s">
        <v>130</v>
      </c>
      <c r="C2" s="25" t="s">
        <v>379</v>
      </c>
      <c r="D2" s="25">
        <v>1240000</v>
      </c>
      <c r="E2" s="25" t="s">
        <v>132</v>
      </c>
      <c r="F2" s="25" t="str">
        <f t="shared" ref="F2:F65" si="0">B2</f>
        <v>rtdc.l.rtdc.4008:itc</v>
      </c>
      <c r="G2" s="8">
        <f t="shared" ref="G2:G65" si="1">A2</f>
        <v>42570.338090277779</v>
      </c>
    </row>
    <row r="3" spans="1:7" x14ac:dyDescent="0.25">
      <c r="A3" s="8">
        <v>42570.377743055556</v>
      </c>
      <c r="B3" s="25" t="s">
        <v>195</v>
      </c>
      <c r="C3" s="25" t="s">
        <v>380</v>
      </c>
      <c r="D3" s="25">
        <v>1090000</v>
      </c>
      <c r="E3" s="25" t="s">
        <v>125</v>
      </c>
      <c r="F3" s="25" t="str">
        <f t="shared" si="0"/>
        <v>rtdc.l.rtdc.4010:itc</v>
      </c>
      <c r="G3" s="8">
        <f t="shared" si="1"/>
        <v>42570.377743055556</v>
      </c>
    </row>
    <row r="4" spans="1:7" x14ac:dyDescent="0.25">
      <c r="A4" s="8">
        <v>42570.391192129631</v>
      </c>
      <c r="B4" s="25" t="s">
        <v>121</v>
      </c>
      <c r="C4" s="25" t="s">
        <v>381</v>
      </c>
      <c r="D4" s="25">
        <v>1780000</v>
      </c>
      <c r="E4" s="25" t="s">
        <v>134</v>
      </c>
      <c r="F4" s="25" t="str">
        <f t="shared" si="0"/>
        <v>rtdc.l.rtdc.4030:itc</v>
      </c>
      <c r="G4" s="8">
        <f t="shared" si="1"/>
        <v>42570.391192129631</v>
      </c>
    </row>
    <row r="5" spans="1:7" x14ac:dyDescent="0.25">
      <c r="A5" s="8">
        <v>42570.316284722219</v>
      </c>
      <c r="B5" s="25" t="s">
        <v>118</v>
      </c>
      <c r="C5" s="25" t="s">
        <v>378</v>
      </c>
      <c r="D5" s="25">
        <v>1100000</v>
      </c>
      <c r="E5" s="25" t="s">
        <v>281</v>
      </c>
      <c r="F5" s="25" t="str">
        <f t="shared" si="0"/>
        <v>rtdc.l.rtdc.4028:itc</v>
      </c>
      <c r="G5" s="8">
        <f t="shared" si="1"/>
        <v>42570.316284722219</v>
      </c>
    </row>
    <row r="6" spans="1:7" x14ac:dyDescent="0.25">
      <c r="A6" s="8">
        <v>42570.421226851853</v>
      </c>
      <c r="B6" s="25" t="s">
        <v>120</v>
      </c>
      <c r="C6" s="25" t="s">
        <v>430</v>
      </c>
      <c r="D6" s="25">
        <v>1780000</v>
      </c>
      <c r="E6" s="25" t="s">
        <v>134</v>
      </c>
      <c r="F6" s="25" t="str">
        <f t="shared" si="0"/>
        <v>rtdc.l.rtdc.4029:itc</v>
      </c>
      <c r="G6" s="8">
        <f t="shared" si="1"/>
        <v>42570.421226851853</v>
      </c>
    </row>
    <row r="7" spans="1:7" x14ac:dyDescent="0.25">
      <c r="A7" s="8">
        <v>42570.452453703707</v>
      </c>
      <c r="B7" s="25" t="s">
        <v>195</v>
      </c>
      <c r="C7" s="25" t="s">
        <v>431</v>
      </c>
      <c r="D7" s="25">
        <v>1090000</v>
      </c>
      <c r="E7" s="25" t="s">
        <v>125</v>
      </c>
      <c r="F7" s="25" t="str">
        <f t="shared" si="0"/>
        <v>rtdc.l.rtdc.4010:itc</v>
      </c>
      <c r="G7" s="8">
        <f t="shared" si="1"/>
        <v>42570.452453703707</v>
      </c>
    </row>
    <row r="8" spans="1:7" x14ac:dyDescent="0.25">
      <c r="A8" s="8">
        <v>42570.454930555556</v>
      </c>
      <c r="B8" s="25" t="s">
        <v>109</v>
      </c>
      <c r="C8" s="25" t="s">
        <v>404</v>
      </c>
      <c r="D8" s="25">
        <v>1740000</v>
      </c>
      <c r="E8" s="25" t="s">
        <v>278</v>
      </c>
      <c r="F8" s="25" t="str">
        <f t="shared" si="0"/>
        <v>rtdc.l.rtdc.4038:itc</v>
      </c>
      <c r="G8" s="8">
        <f t="shared" si="1"/>
        <v>42570.454930555556</v>
      </c>
    </row>
    <row r="9" spans="1:7" ht="15.75" thickBot="1" x14ac:dyDescent="0.3">
      <c r="A9" s="32">
        <v>42570.464259259257</v>
      </c>
      <c r="B9" s="25" t="s">
        <v>355</v>
      </c>
      <c r="C9" s="25" t="s">
        <v>432</v>
      </c>
      <c r="D9" s="25">
        <v>880000</v>
      </c>
      <c r="E9" s="25" t="s">
        <v>273</v>
      </c>
      <c r="F9" s="25" t="str">
        <f t="shared" si="0"/>
        <v>rtdc.l.rtdc.4011:itc</v>
      </c>
      <c r="G9" s="8">
        <f t="shared" si="1"/>
        <v>42570.464259259257</v>
      </c>
    </row>
    <row r="10" spans="1:7" x14ac:dyDescent="0.25">
      <c r="A10" s="8">
        <v>42570.474803240744</v>
      </c>
      <c r="B10" s="25" t="s">
        <v>118</v>
      </c>
      <c r="C10" s="25" t="s">
        <v>433</v>
      </c>
      <c r="D10" s="25">
        <v>1100000</v>
      </c>
      <c r="E10" s="25" t="s">
        <v>281</v>
      </c>
      <c r="F10" s="25" t="str">
        <f t="shared" si="0"/>
        <v>rtdc.l.rtdc.4028:itc</v>
      </c>
      <c r="G10" s="8">
        <f t="shared" si="1"/>
        <v>42570.474803240744</v>
      </c>
    </row>
    <row r="11" spans="1:7" x14ac:dyDescent="0.25">
      <c r="A11" s="8">
        <v>42570.305787037039</v>
      </c>
      <c r="B11" s="25" t="s">
        <v>133</v>
      </c>
      <c r="C11" s="25" t="s">
        <v>377</v>
      </c>
      <c r="D11" s="25">
        <v>1240000</v>
      </c>
      <c r="E11" s="25" t="s">
        <v>132</v>
      </c>
      <c r="F11" s="25" t="str">
        <f t="shared" si="0"/>
        <v>rtdc.l.rtdc.4007:itc</v>
      </c>
      <c r="G11" s="8">
        <f t="shared" si="1"/>
        <v>42570.305787037039</v>
      </c>
    </row>
    <row r="12" spans="1:7" x14ac:dyDescent="0.25">
      <c r="A12" s="8">
        <v>42570.486562500002</v>
      </c>
      <c r="B12" s="25" t="s">
        <v>194</v>
      </c>
      <c r="C12" s="25" t="s">
        <v>434</v>
      </c>
      <c r="D12" s="25">
        <v>1990000</v>
      </c>
      <c r="E12" s="25" t="s">
        <v>153</v>
      </c>
      <c r="F12" s="25" t="str">
        <f t="shared" si="0"/>
        <v>rtdc.l.rtdc.4009:itc</v>
      </c>
      <c r="G12" s="8">
        <f t="shared" si="1"/>
        <v>42570.486562500002</v>
      </c>
    </row>
    <row r="13" spans="1:7" x14ac:dyDescent="0.25">
      <c r="A13" s="8">
        <v>42570.296354166669</v>
      </c>
      <c r="B13" s="25" t="s">
        <v>195</v>
      </c>
      <c r="C13" s="25" t="s">
        <v>376</v>
      </c>
      <c r="D13" s="25">
        <v>1090000</v>
      </c>
      <c r="E13" s="25" t="s">
        <v>125</v>
      </c>
      <c r="F13" s="25" t="str">
        <f t="shared" si="0"/>
        <v>rtdc.l.rtdc.4010:itc</v>
      </c>
      <c r="G13" s="8">
        <f t="shared" si="1"/>
        <v>42570.296354166669</v>
      </c>
    </row>
    <row r="14" spans="1:7" x14ac:dyDescent="0.25">
      <c r="A14" s="8">
        <v>42570.579699074071</v>
      </c>
      <c r="B14" s="25" t="s">
        <v>122</v>
      </c>
      <c r="C14" s="25" t="s">
        <v>435</v>
      </c>
      <c r="D14" s="25">
        <v>1520000</v>
      </c>
      <c r="E14" s="25" t="s">
        <v>282</v>
      </c>
      <c r="F14" s="25" t="str">
        <f t="shared" si="0"/>
        <v>rtdc.l.rtdc.4027:itc</v>
      </c>
      <c r="G14" s="8">
        <f t="shared" si="1"/>
        <v>42570.579699074071</v>
      </c>
    </row>
    <row r="15" spans="1:7" x14ac:dyDescent="0.25">
      <c r="A15" s="8">
        <v>42570.274467592593</v>
      </c>
      <c r="B15" s="25" t="s">
        <v>372</v>
      </c>
      <c r="C15" s="25" t="s">
        <v>375</v>
      </c>
      <c r="D15" s="25">
        <v>1260000</v>
      </c>
      <c r="E15" s="25" t="s">
        <v>279</v>
      </c>
      <c r="F15" s="25" t="str">
        <f t="shared" si="0"/>
        <v>rtdc.l.rtdc.4012:itc</v>
      </c>
      <c r="G15" s="8">
        <f t="shared" si="1"/>
        <v>42570.274467592593</v>
      </c>
    </row>
    <row r="16" spans="1:7" x14ac:dyDescent="0.25">
      <c r="A16" s="8">
        <v>42570.596886574072</v>
      </c>
      <c r="B16" s="25" t="s">
        <v>195</v>
      </c>
      <c r="C16" s="25" t="s">
        <v>414</v>
      </c>
      <c r="D16" s="25">
        <v>1990000</v>
      </c>
      <c r="E16" s="25" t="s">
        <v>153</v>
      </c>
      <c r="F16" s="25" t="str">
        <f t="shared" si="0"/>
        <v>rtdc.l.rtdc.4010:itc</v>
      </c>
      <c r="G16" s="8">
        <f t="shared" si="1"/>
        <v>42570.596886574072</v>
      </c>
    </row>
    <row r="17" spans="1:7" x14ac:dyDescent="0.25">
      <c r="A17" s="8">
        <v>42570.216365740744</v>
      </c>
      <c r="B17" s="25" t="s">
        <v>133</v>
      </c>
      <c r="C17" s="25" t="s">
        <v>374</v>
      </c>
      <c r="D17" s="25">
        <v>1340000</v>
      </c>
      <c r="E17" s="25" t="s">
        <v>127</v>
      </c>
      <c r="F17" s="25" t="str">
        <f t="shared" si="0"/>
        <v>rtdc.l.rtdc.4007:itc</v>
      </c>
      <c r="G17" s="8">
        <f t="shared" si="1"/>
        <v>42570.216365740744</v>
      </c>
    </row>
    <row r="18" spans="1:7" x14ac:dyDescent="0.25">
      <c r="A18" s="8">
        <v>42570.615034722221</v>
      </c>
      <c r="B18" s="25" t="s">
        <v>355</v>
      </c>
      <c r="C18" s="25" t="s">
        <v>436</v>
      </c>
      <c r="D18" s="25">
        <v>880000</v>
      </c>
      <c r="E18" s="25" t="s">
        <v>273</v>
      </c>
      <c r="F18" s="25" t="str">
        <f t="shared" si="0"/>
        <v>rtdc.l.rtdc.4011:itc</v>
      </c>
      <c r="G18" s="8">
        <f t="shared" si="1"/>
        <v>42570.615034722221</v>
      </c>
    </row>
    <row r="19" spans="1:7" x14ac:dyDescent="0.25">
      <c r="A19" s="8">
        <v>42570.191076388888</v>
      </c>
      <c r="B19" s="25" t="s">
        <v>372</v>
      </c>
      <c r="C19" s="25" t="s">
        <v>373</v>
      </c>
      <c r="D19" s="25">
        <v>1260000</v>
      </c>
      <c r="E19" s="25" t="s">
        <v>279</v>
      </c>
      <c r="F19" s="25" t="str">
        <f t="shared" si="0"/>
        <v>rtdc.l.rtdc.4012:itc</v>
      </c>
      <c r="G19" s="8">
        <f t="shared" si="1"/>
        <v>42570.191076388888</v>
      </c>
    </row>
    <row r="20" spans="1:7" x14ac:dyDescent="0.25">
      <c r="A20" s="8">
        <v>42570.651585648149</v>
      </c>
      <c r="B20" s="25" t="s">
        <v>122</v>
      </c>
      <c r="C20" s="25" t="s">
        <v>437</v>
      </c>
      <c r="D20" s="25">
        <v>1520000</v>
      </c>
      <c r="E20" s="25" t="s">
        <v>282</v>
      </c>
      <c r="F20" s="25" t="str">
        <f t="shared" si="0"/>
        <v>rtdc.l.rtdc.4027:itc</v>
      </c>
      <c r="G20" s="8">
        <f t="shared" si="1"/>
        <v>42570.651585648149</v>
      </c>
    </row>
    <row r="21" spans="1:7" x14ac:dyDescent="0.25">
      <c r="A21" s="8">
        <v>42570.179722222223</v>
      </c>
      <c r="B21" s="25" t="s">
        <v>109</v>
      </c>
      <c r="C21" s="25" t="s">
        <v>371</v>
      </c>
      <c r="D21" s="25">
        <v>1090000</v>
      </c>
      <c r="E21" s="25" t="s">
        <v>125</v>
      </c>
      <c r="F21" s="25" t="str">
        <f t="shared" si="0"/>
        <v>rtdc.l.rtdc.4038:itc</v>
      </c>
      <c r="G21" s="8">
        <f t="shared" si="1"/>
        <v>42570.179722222223</v>
      </c>
    </row>
    <row r="22" spans="1:7" x14ac:dyDescent="0.25">
      <c r="A22" s="34">
        <v>42570.693622685183</v>
      </c>
      <c r="B22" s="25" t="s">
        <v>128</v>
      </c>
      <c r="C22" s="25" t="s">
        <v>438</v>
      </c>
      <c r="D22" s="25">
        <v>1120000</v>
      </c>
      <c r="E22" s="25" t="s">
        <v>354</v>
      </c>
      <c r="F22" s="25" t="str">
        <f t="shared" si="0"/>
        <v>rtdc.l.rtdc.4044:itc</v>
      </c>
      <c r="G22" s="8">
        <f t="shared" si="1"/>
        <v>42570.693622685183</v>
      </c>
    </row>
    <row r="23" spans="1:7" x14ac:dyDescent="0.25">
      <c r="A23" s="8">
        <v>42570.167280092595</v>
      </c>
      <c r="B23" s="25" t="s">
        <v>130</v>
      </c>
      <c r="C23" s="25" t="s">
        <v>370</v>
      </c>
      <c r="D23" s="25">
        <v>1340000</v>
      </c>
      <c r="E23" s="25" t="s">
        <v>127</v>
      </c>
      <c r="F23" s="25" t="str">
        <f t="shared" si="0"/>
        <v>rtdc.l.rtdc.4008:itc</v>
      </c>
      <c r="G23" s="8">
        <f t="shared" si="1"/>
        <v>42570.167280092595</v>
      </c>
    </row>
    <row r="24" spans="1:7" x14ac:dyDescent="0.25">
      <c r="A24" s="8">
        <v>42570.800196759257</v>
      </c>
      <c r="B24" s="25" t="s">
        <v>130</v>
      </c>
      <c r="C24" s="25" t="s">
        <v>425</v>
      </c>
      <c r="D24" s="25">
        <v>1290000</v>
      </c>
      <c r="E24" s="25" t="s">
        <v>304</v>
      </c>
      <c r="F24" s="25" t="str">
        <f t="shared" si="0"/>
        <v>rtdc.l.rtdc.4008:itc</v>
      </c>
      <c r="G24" s="8">
        <f t="shared" si="1"/>
        <v>42570.800196759257</v>
      </c>
    </row>
    <row r="25" spans="1:7" x14ac:dyDescent="0.25">
      <c r="A25" s="8">
        <v>42570.01667824074</v>
      </c>
      <c r="B25" s="25" t="s">
        <v>135</v>
      </c>
      <c r="C25" s="25" t="s">
        <v>351</v>
      </c>
      <c r="D25" s="25">
        <v>1230000</v>
      </c>
      <c r="E25" s="25" t="s">
        <v>368</v>
      </c>
      <c r="F25" s="25" t="str">
        <f t="shared" si="0"/>
        <v>rtdc.l.rtdc.4040:itc</v>
      </c>
      <c r="G25" s="8">
        <f t="shared" si="1"/>
        <v>42570.01667824074</v>
      </c>
    </row>
    <row r="26" spans="1:7" x14ac:dyDescent="0.25">
      <c r="A26" s="8">
        <v>42570.84778935185</v>
      </c>
      <c r="B26" s="25" t="s">
        <v>130</v>
      </c>
      <c r="C26" s="25" t="s">
        <v>439</v>
      </c>
      <c r="D26" s="25">
        <v>1290000</v>
      </c>
      <c r="E26" s="25" t="s">
        <v>304</v>
      </c>
      <c r="F26" s="25" t="str">
        <f t="shared" si="0"/>
        <v>rtdc.l.rtdc.4008:itc</v>
      </c>
      <c r="G26" s="8">
        <f t="shared" si="1"/>
        <v>42570.84778935185</v>
      </c>
    </row>
    <row r="27" spans="1:7" x14ac:dyDescent="0.25">
      <c r="A27" s="8">
        <v>42569.99486111111</v>
      </c>
      <c r="B27" s="25" t="s">
        <v>115</v>
      </c>
      <c r="C27" s="25" t="s">
        <v>349</v>
      </c>
      <c r="D27" s="25">
        <v>1800000</v>
      </c>
      <c r="E27" s="25" t="s">
        <v>274</v>
      </c>
      <c r="F27" s="25" t="str">
        <f t="shared" si="0"/>
        <v>rtdc.l.rtdc.4014:itc</v>
      </c>
      <c r="G27" s="8">
        <f t="shared" si="1"/>
        <v>42569.99486111111</v>
      </c>
    </row>
    <row r="28" spans="1:7" x14ac:dyDescent="0.25">
      <c r="A28" s="8">
        <v>42570.938113425924</v>
      </c>
      <c r="B28" s="25" t="s">
        <v>172</v>
      </c>
      <c r="C28" s="25" t="s">
        <v>440</v>
      </c>
      <c r="D28" s="25">
        <v>1800000</v>
      </c>
      <c r="E28" s="25" t="s">
        <v>274</v>
      </c>
      <c r="F28" s="25" t="str">
        <f t="shared" si="0"/>
        <v>rtdc.l.rtdc.4016:itc</v>
      </c>
      <c r="G28" s="8">
        <f t="shared" si="1"/>
        <v>42570.938113425924</v>
      </c>
    </row>
    <row r="29" spans="1:7" x14ac:dyDescent="0.25">
      <c r="A29" s="8">
        <v>42569.967986111114</v>
      </c>
      <c r="B29" s="25" t="s">
        <v>172</v>
      </c>
      <c r="C29" s="25" t="s">
        <v>347</v>
      </c>
      <c r="D29" s="25">
        <v>1810000</v>
      </c>
      <c r="E29" s="25" t="s">
        <v>141</v>
      </c>
      <c r="F29" s="25" t="str">
        <f t="shared" si="0"/>
        <v>rtdc.l.rtdc.4016:itc</v>
      </c>
      <c r="G29" s="8">
        <f t="shared" si="1"/>
        <v>42569.967986111114</v>
      </c>
    </row>
    <row r="30" spans="1:7" x14ac:dyDescent="0.25">
      <c r="A30" s="8">
        <v>42570.946967592594</v>
      </c>
      <c r="B30" s="25" t="s">
        <v>120</v>
      </c>
      <c r="C30" s="25" t="s">
        <v>441</v>
      </c>
      <c r="D30" s="25">
        <v>1180000</v>
      </c>
      <c r="E30" s="25" t="s">
        <v>302</v>
      </c>
      <c r="F30" s="25" t="str">
        <f t="shared" si="0"/>
        <v>rtdc.l.rtdc.4029:itc</v>
      </c>
      <c r="G30" s="8">
        <f t="shared" si="1"/>
        <v>42570.946967592594</v>
      </c>
    </row>
    <row r="31" spans="1:7" x14ac:dyDescent="0.25">
      <c r="A31" s="8">
        <v>42569.952060185184</v>
      </c>
      <c r="B31" s="25" t="s">
        <v>74</v>
      </c>
      <c r="C31" s="25" t="s">
        <v>345</v>
      </c>
      <c r="D31" s="25">
        <v>2000000</v>
      </c>
      <c r="E31" s="25" t="s">
        <v>149</v>
      </c>
      <c r="F31" s="25" t="str">
        <f t="shared" si="0"/>
        <v>rtdc.l.rtdc.4018:itc</v>
      </c>
      <c r="G31" s="8">
        <f t="shared" si="1"/>
        <v>42569.952060185184</v>
      </c>
    </row>
    <row r="32" spans="1:7" x14ac:dyDescent="0.25">
      <c r="A32" s="8">
        <v>42570.977916666663</v>
      </c>
      <c r="B32" s="25" t="s">
        <v>133</v>
      </c>
      <c r="C32" s="25" t="s">
        <v>442</v>
      </c>
      <c r="D32" s="25">
        <v>1290000</v>
      </c>
      <c r="E32" s="25" t="s">
        <v>304</v>
      </c>
      <c r="F32" s="25" t="str">
        <f t="shared" si="0"/>
        <v>rtdc.l.rtdc.4007:itc</v>
      </c>
      <c r="G32" s="8">
        <f t="shared" si="1"/>
        <v>42570.977916666663</v>
      </c>
    </row>
    <row r="33" spans="1:7" x14ac:dyDescent="0.25">
      <c r="A33" s="8">
        <v>42569.908275462964</v>
      </c>
      <c r="B33" s="25" t="s">
        <v>75</v>
      </c>
      <c r="C33" s="25" t="s">
        <v>337</v>
      </c>
      <c r="D33" s="25">
        <v>2000000</v>
      </c>
      <c r="E33" s="25" t="s">
        <v>149</v>
      </c>
      <c r="F33" s="25" t="str">
        <f t="shared" si="0"/>
        <v>rtdc.l.rtdc.4017:itc</v>
      </c>
      <c r="G33" s="8">
        <f t="shared" si="1"/>
        <v>42569.908275462964</v>
      </c>
    </row>
    <row r="34" spans="1:7" x14ac:dyDescent="0.25">
      <c r="A34" s="8">
        <v>42570.989907407406</v>
      </c>
      <c r="B34" s="25" t="s">
        <v>121</v>
      </c>
      <c r="C34" s="25" t="s">
        <v>443</v>
      </c>
      <c r="D34" s="25">
        <v>1180000</v>
      </c>
      <c r="E34" s="25" t="s">
        <v>302</v>
      </c>
      <c r="F34" s="25" t="str">
        <f t="shared" si="0"/>
        <v>rtdc.l.rtdc.4030:itc</v>
      </c>
      <c r="G34" s="8">
        <f t="shared" si="1"/>
        <v>42570.989907407406</v>
      </c>
    </row>
    <row r="35" spans="1:7" x14ac:dyDescent="0.25">
      <c r="A35" s="8">
        <v>42569.869641203702</v>
      </c>
      <c r="B35" s="25" t="s">
        <v>116</v>
      </c>
      <c r="C35" s="25" t="s">
        <v>333</v>
      </c>
      <c r="D35" s="25">
        <v>1800000</v>
      </c>
      <c r="E35" s="25" t="s">
        <v>274</v>
      </c>
      <c r="F35" s="25" t="str">
        <f t="shared" si="0"/>
        <v>rtdc.l.rtdc.4013:itc</v>
      </c>
      <c r="G35" s="8">
        <f t="shared" si="1"/>
        <v>42569.869641203702</v>
      </c>
    </row>
    <row r="36" spans="1:7" x14ac:dyDescent="0.25">
      <c r="A36" s="8">
        <v>42571.03670138889</v>
      </c>
      <c r="B36" s="25" t="s">
        <v>372</v>
      </c>
      <c r="C36" s="25" t="s">
        <v>429</v>
      </c>
      <c r="D36" s="25">
        <v>1230000</v>
      </c>
      <c r="E36" s="25" t="s">
        <v>368</v>
      </c>
      <c r="F36" s="25" t="str">
        <f t="shared" si="0"/>
        <v>rtdc.l.rtdc.4012:itc</v>
      </c>
      <c r="G36" s="8">
        <f t="shared" si="1"/>
        <v>42571.03670138889</v>
      </c>
    </row>
    <row r="37" spans="1:7" x14ac:dyDescent="0.25">
      <c r="A37" s="8">
        <v>42571.348101851851</v>
      </c>
      <c r="B37" s="25" t="s">
        <v>72</v>
      </c>
      <c r="C37" s="25" t="s">
        <v>444</v>
      </c>
      <c r="D37" s="25">
        <v>2000000</v>
      </c>
      <c r="E37" s="25" t="s">
        <v>149</v>
      </c>
      <c r="F37" s="25" t="str">
        <f t="shared" si="0"/>
        <v>rtdc.l.rtdc.4019:itc</v>
      </c>
      <c r="G37" s="8">
        <f t="shared" si="1"/>
        <v>42571.348101851851</v>
      </c>
    </row>
    <row r="38" spans="1:7" x14ac:dyDescent="0.25">
      <c r="A38" s="8">
        <v>42571.149699074071</v>
      </c>
      <c r="B38" s="25" t="s">
        <v>117</v>
      </c>
      <c r="C38" s="25" t="s">
        <v>445</v>
      </c>
      <c r="D38" s="25">
        <v>1260000</v>
      </c>
      <c r="E38" s="25" t="s">
        <v>279</v>
      </c>
      <c r="F38" s="25" t="str">
        <f t="shared" si="0"/>
        <v>rtdc.l.rtdc.4025:itc</v>
      </c>
      <c r="G38" s="8">
        <f t="shared" si="1"/>
        <v>42571.149699074071</v>
      </c>
    </row>
    <row r="39" spans="1:7" x14ac:dyDescent="0.25">
      <c r="A39" s="8">
        <v>42571.324131944442</v>
      </c>
      <c r="B39" s="25" t="s">
        <v>200</v>
      </c>
      <c r="C39" s="25" t="s">
        <v>446</v>
      </c>
      <c r="D39" s="25">
        <v>2010000</v>
      </c>
      <c r="E39" s="25" t="s">
        <v>152</v>
      </c>
      <c r="F39" s="25" t="str">
        <f t="shared" si="0"/>
        <v>rtdc.l.rtdc.4041:itc</v>
      </c>
      <c r="G39" s="8">
        <f t="shared" si="1"/>
        <v>42571.324131944442</v>
      </c>
    </row>
    <row r="40" spans="1:7" x14ac:dyDescent="0.25">
      <c r="A40" s="8">
        <v>42571.180520833332</v>
      </c>
      <c r="B40" s="33" t="s">
        <v>109</v>
      </c>
      <c r="C40" s="25" t="s">
        <v>447</v>
      </c>
      <c r="D40" s="25">
        <v>1090000</v>
      </c>
      <c r="E40" s="25" t="s">
        <v>125</v>
      </c>
      <c r="F40" s="25" t="str">
        <f t="shared" si="0"/>
        <v>rtdc.l.rtdc.4038:itc</v>
      </c>
      <c r="G40" s="8">
        <f t="shared" si="1"/>
        <v>42571.180520833332</v>
      </c>
    </row>
    <row r="41" spans="1:7" x14ac:dyDescent="0.25">
      <c r="A41" s="8">
        <v>42571.232974537037</v>
      </c>
      <c r="B41" s="25" t="s">
        <v>73</v>
      </c>
      <c r="C41" s="25" t="s">
        <v>448</v>
      </c>
      <c r="D41" s="25">
        <v>1260000</v>
      </c>
      <c r="E41" s="25" t="s">
        <v>279</v>
      </c>
      <c r="F41" s="25" t="str">
        <f t="shared" si="0"/>
        <v>rtdc.l.rtdc.4020:itc</v>
      </c>
      <c r="G41" s="8">
        <f t="shared" si="1"/>
        <v>42571.232974537037</v>
      </c>
    </row>
    <row r="42" spans="1:7" x14ac:dyDescent="0.25">
      <c r="A42" s="8">
        <v>42571.189606481479</v>
      </c>
      <c r="B42" s="25" t="s">
        <v>120</v>
      </c>
      <c r="C42" s="25" t="s">
        <v>449</v>
      </c>
      <c r="D42" s="25">
        <v>1460000</v>
      </c>
      <c r="E42" s="25" t="s">
        <v>110</v>
      </c>
      <c r="F42" s="25" t="str">
        <f t="shared" si="0"/>
        <v>rtdc.l.rtdc.4029:itc</v>
      </c>
      <c r="G42" s="8">
        <f t="shared" si="1"/>
        <v>42571.189606481479</v>
      </c>
    </row>
    <row r="43" spans="1:7" x14ac:dyDescent="0.25">
      <c r="A43" s="8">
        <v>42571.230925925927</v>
      </c>
      <c r="B43" s="25" t="s">
        <v>121</v>
      </c>
      <c r="C43" s="25" t="s">
        <v>450</v>
      </c>
      <c r="D43" s="25">
        <v>1460000</v>
      </c>
      <c r="E43" s="25" t="s">
        <v>110</v>
      </c>
      <c r="F43" s="25" t="str">
        <f t="shared" si="0"/>
        <v>rtdc.l.rtdc.4030:itc</v>
      </c>
      <c r="G43" s="8">
        <f t="shared" si="1"/>
        <v>42571.230925925927</v>
      </c>
    </row>
    <row r="44" spans="1:7" x14ac:dyDescent="0.25">
      <c r="A44" s="8">
        <v>42571.223495370374</v>
      </c>
      <c r="B44" s="25" t="s">
        <v>119</v>
      </c>
      <c r="C44" s="25" t="s">
        <v>451</v>
      </c>
      <c r="D44" s="25">
        <v>1090000</v>
      </c>
      <c r="E44" s="25" t="s">
        <v>125</v>
      </c>
      <c r="F44" s="25" t="str">
        <f t="shared" si="0"/>
        <v>rtdc.l.rtdc.4037:itc</v>
      </c>
      <c r="G44" s="8">
        <f t="shared" si="1"/>
        <v>42571.223495370374</v>
      </c>
    </row>
    <row r="45" spans="1:7" x14ac:dyDescent="0.25">
      <c r="A45" s="8">
        <v>42571.129166666666</v>
      </c>
      <c r="B45" s="25" t="s">
        <v>194</v>
      </c>
      <c r="C45" s="25" t="s">
        <v>452</v>
      </c>
      <c r="D45" s="25">
        <v>2010000</v>
      </c>
      <c r="E45" s="25" t="s">
        <v>152</v>
      </c>
      <c r="F45" s="25" t="str">
        <f t="shared" si="0"/>
        <v>rtdc.l.rtdc.4009:itc</v>
      </c>
      <c r="G45" s="8">
        <f t="shared" si="1"/>
        <v>42571.129166666666</v>
      </c>
    </row>
    <row r="46" spans="1:7" x14ac:dyDescent="0.25">
      <c r="A46" s="8">
        <v>42571.224409722221</v>
      </c>
      <c r="B46" s="25" t="s">
        <v>117</v>
      </c>
      <c r="C46" s="25" t="s">
        <v>453</v>
      </c>
      <c r="D46" s="25">
        <v>1190000</v>
      </c>
      <c r="E46" s="25" t="s">
        <v>198</v>
      </c>
      <c r="F46" s="25" t="str">
        <f t="shared" si="0"/>
        <v>rtdc.l.rtdc.4025:itc</v>
      </c>
      <c r="G46" s="8">
        <f t="shared" si="1"/>
        <v>42571.224409722221</v>
      </c>
    </row>
    <row r="47" spans="1:7" x14ac:dyDescent="0.25">
      <c r="A47" s="8">
        <v>42571.019293981481</v>
      </c>
      <c r="B47" s="25" t="s">
        <v>172</v>
      </c>
      <c r="C47" s="25" t="s">
        <v>454</v>
      </c>
      <c r="D47" s="25">
        <v>1800000</v>
      </c>
      <c r="E47" s="25" t="s">
        <v>274</v>
      </c>
      <c r="F47" s="25" t="str">
        <f t="shared" si="0"/>
        <v>rtdc.l.rtdc.4016:itc</v>
      </c>
      <c r="G47" s="8">
        <f t="shared" si="1"/>
        <v>42571.019293981481</v>
      </c>
    </row>
    <row r="48" spans="1:7" x14ac:dyDescent="0.25">
      <c r="A48" s="8">
        <v>42571.256643518522</v>
      </c>
      <c r="B48" s="25" t="s">
        <v>114</v>
      </c>
      <c r="C48" s="25" t="s">
        <v>455</v>
      </c>
      <c r="D48" s="25">
        <v>1190000</v>
      </c>
      <c r="E48" s="25" t="s">
        <v>198</v>
      </c>
      <c r="F48" s="25" t="str">
        <f t="shared" si="0"/>
        <v>rtdc.l.rtdc.4026:itc</v>
      </c>
      <c r="G48" s="8">
        <f t="shared" si="1"/>
        <v>42571.256643518522</v>
      </c>
    </row>
    <row r="49" spans="1:7" x14ac:dyDescent="0.25">
      <c r="A49" s="8">
        <v>42570.945798611108</v>
      </c>
      <c r="B49" s="25" t="s">
        <v>120</v>
      </c>
      <c r="C49" s="25" t="s">
        <v>441</v>
      </c>
      <c r="D49" s="25">
        <v>1180000</v>
      </c>
      <c r="E49" s="25" t="s">
        <v>302</v>
      </c>
      <c r="F49" s="25" t="str">
        <f t="shared" si="0"/>
        <v>rtdc.l.rtdc.4029:itc</v>
      </c>
      <c r="G49" s="8">
        <f t="shared" si="1"/>
        <v>42570.945798611108</v>
      </c>
    </row>
    <row r="50" spans="1:7" x14ac:dyDescent="0.25">
      <c r="A50" s="8">
        <v>42571.285358796296</v>
      </c>
      <c r="B50" s="25" t="s">
        <v>118</v>
      </c>
      <c r="C50" s="25" t="s">
        <v>456</v>
      </c>
      <c r="D50" s="25">
        <v>1780000</v>
      </c>
      <c r="E50" s="25" t="s">
        <v>134</v>
      </c>
      <c r="F50" s="25" t="str">
        <f t="shared" si="0"/>
        <v>rtdc.l.rtdc.4028:itc</v>
      </c>
      <c r="G50" s="8">
        <f t="shared" si="1"/>
        <v>42571.285358796296</v>
      </c>
    </row>
    <row r="51" spans="1:7" x14ac:dyDescent="0.25">
      <c r="A51" s="8">
        <v>42570.913391203707</v>
      </c>
      <c r="B51" s="25" t="s">
        <v>355</v>
      </c>
      <c r="C51" s="25" t="s">
        <v>457</v>
      </c>
      <c r="D51" s="25">
        <v>1230000</v>
      </c>
      <c r="E51" s="25" t="s">
        <v>368</v>
      </c>
      <c r="F51" s="25" t="str">
        <f t="shared" si="0"/>
        <v>rtdc.l.rtdc.4011:itc</v>
      </c>
      <c r="G51" s="8">
        <f t="shared" si="1"/>
        <v>42570.913391203707</v>
      </c>
    </row>
    <row r="52" spans="1:7" x14ac:dyDescent="0.25">
      <c r="A52" s="8">
        <v>42571.288182870368</v>
      </c>
      <c r="B52" s="25" t="s">
        <v>82</v>
      </c>
      <c r="C52" s="25" t="s">
        <v>458</v>
      </c>
      <c r="D52" s="25">
        <v>2010000</v>
      </c>
      <c r="E52" s="25" t="s">
        <v>152</v>
      </c>
      <c r="F52" s="25" t="str">
        <f t="shared" si="0"/>
        <v>rtdc.l.rtdc.4042:itc</v>
      </c>
      <c r="G52" s="8">
        <f t="shared" si="1"/>
        <v>42571.288182870368</v>
      </c>
    </row>
    <row r="53" spans="1:7" x14ac:dyDescent="0.25">
      <c r="A53" s="8">
        <v>42570.893946759257</v>
      </c>
      <c r="B53" s="25" t="s">
        <v>133</v>
      </c>
      <c r="C53" s="25" t="s">
        <v>459</v>
      </c>
      <c r="D53" s="25">
        <v>1290000</v>
      </c>
      <c r="E53" s="25" t="s">
        <v>304</v>
      </c>
      <c r="F53" s="25" t="str">
        <f t="shared" si="0"/>
        <v>rtdc.l.rtdc.4007:itc</v>
      </c>
      <c r="G53" s="8">
        <f t="shared" si="1"/>
        <v>42570.893946759257</v>
      </c>
    </row>
    <row r="54" spans="1:7" x14ac:dyDescent="0.25">
      <c r="A54" s="8">
        <v>42571.308749999997</v>
      </c>
      <c r="B54" s="25" t="s">
        <v>73</v>
      </c>
      <c r="C54" s="25" t="s">
        <v>460</v>
      </c>
      <c r="D54" s="25">
        <v>2000000</v>
      </c>
      <c r="E54" s="25" t="s">
        <v>149</v>
      </c>
      <c r="F54" s="25" t="str">
        <f t="shared" si="0"/>
        <v>rtdc.l.rtdc.4020:itc</v>
      </c>
      <c r="G54" s="8">
        <f t="shared" si="1"/>
        <v>42571.308749999997</v>
      </c>
    </row>
    <row r="55" spans="1:7" x14ac:dyDescent="0.25">
      <c r="A55" s="8">
        <v>42570.893587962964</v>
      </c>
      <c r="B55" s="25" t="s">
        <v>171</v>
      </c>
      <c r="C55" s="25" t="s">
        <v>461</v>
      </c>
      <c r="D55" s="25">
        <v>1800000</v>
      </c>
      <c r="E55" s="25" t="s">
        <v>274</v>
      </c>
      <c r="F55" s="25" t="str">
        <f t="shared" si="0"/>
        <v>rtdc.l.rtdc.4015:itc</v>
      </c>
      <c r="G55" s="8">
        <f t="shared" si="1"/>
        <v>42570.893587962964</v>
      </c>
    </row>
    <row r="56" spans="1:7" x14ac:dyDescent="0.25">
      <c r="A56" s="8">
        <v>42571.337939814817</v>
      </c>
      <c r="B56" s="25" t="s">
        <v>120</v>
      </c>
      <c r="C56" s="25" t="s">
        <v>462</v>
      </c>
      <c r="D56" s="25">
        <v>1460000</v>
      </c>
      <c r="E56" s="25" t="s">
        <v>110</v>
      </c>
      <c r="F56" s="25" t="str">
        <f t="shared" si="0"/>
        <v>rtdc.l.rtdc.4029:itc</v>
      </c>
      <c r="G56" s="8">
        <f t="shared" si="1"/>
        <v>42571.337939814817</v>
      </c>
    </row>
    <row r="57" spans="1:7" x14ac:dyDescent="0.25">
      <c r="A57" s="8">
        <v>42570.830150462964</v>
      </c>
      <c r="B57" s="25" t="s">
        <v>355</v>
      </c>
      <c r="C57" s="25" t="s">
        <v>463</v>
      </c>
      <c r="D57" s="25">
        <v>1230000</v>
      </c>
      <c r="E57" s="25" t="s">
        <v>368</v>
      </c>
      <c r="F57" s="25" t="str">
        <f t="shared" si="0"/>
        <v>rtdc.l.rtdc.4011:itc</v>
      </c>
      <c r="G57" s="8">
        <f t="shared" si="1"/>
        <v>42570.830150462964</v>
      </c>
    </row>
    <row r="58" spans="1:7" x14ac:dyDescent="0.25">
      <c r="A58" s="8">
        <v>42571.356851851851</v>
      </c>
      <c r="B58" s="25" t="s">
        <v>118</v>
      </c>
      <c r="C58" s="25" t="s">
        <v>464</v>
      </c>
      <c r="D58" s="25">
        <v>1780000</v>
      </c>
      <c r="E58" s="25" t="s">
        <v>134</v>
      </c>
      <c r="F58" s="25" t="str">
        <f t="shared" si="0"/>
        <v>rtdc.l.rtdc.4028:itc</v>
      </c>
      <c r="G58" s="8">
        <f t="shared" si="1"/>
        <v>42571.356851851851</v>
      </c>
    </row>
    <row r="59" spans="1:7" x14ac:dyDescent="0.25">
      <c r="A59" s="8">
        <v>42570.813298611109</v>
      </c>
      <c r="B59" s="25" t="s">
        <v>119</v>
      </c>
      <c r="C59" s="25" t="s">
        <v>424</v>
      </c>
      <c r="D59" s="25">
        <v>2020000</v>
      </c>
      <c r="E59" s="25" t="s">
        <v>199</v>
      </c>
      <c r="F59" s="25" t="str">
        <f t="shared" si="0"/>
        <v>rtdc.l.rtdc.4037:itc</v>
      </c>
      <c r="G59" s="8">
        <f t="shared" si="1"/>
        <v>42570.813298611109</v>
      </c>
    </row>
    <row r="60" spans="1:7" x14ac:dyDescent="0.25">
      <c r="A60" s="8">
        <v>42569.879837962966</v>
      </c>
      <c r="B60" s="25" t="s">
        <v>172</v>
      </c>
      <c r="C60" s="25" t="s">
        <v>338</v>
      </c>
      <c r="D60" s="25">
        <v>1810000</v>
      </c>
      <c r="E60" s="25" t="s">
        <v>141</v>
      </c>
      <c r="F60" s="25" t="str">
        <f t="shared" si="0"/>
        <v>rtdc.l.rtdc.4016:itc</v>
      </c>
      <c r="G60" s="8">
        <f t="shared" si="1"/>
        <v>42569.879837962966</v>
      </c>
    </row>
    <row r="61" spans="1:7" x14ac:dyDescent="0.25">
      <c r="A61" s="8">
        <v>42570.811840277776</v>
      </c>
      <c r="B61" s="25" t="s">
        <v>133</v>
      </c>
      <c r="C61" s="25" t="s">
        <v>465</v>
      </c>
      <c r="D61" s="25">
        <v>1290000</v>
      </c>
      <c r="E61" s="25" t="s">
        <v>304</v>
      </c>
      <c r="F61" s="25" t="str">
        <f t="shared" si="0"/>
        <v>rtdc.l.rtdc.4007:itc</v>
      </c>
      <c r="G61" s="8">
        <f t="shared" si="1"/>
        <v>42570.811840277776</v>
      </c>
    </row>
    <row r="62" spans="1:7" x14ac:dyDescent="0.25">
      <c r="A62" s="8">
        <v>42569.913263888891</v>
      </c>
      <c r="B62" s="25" t="s">
        <v>115</v>
      </c>
      <c r="C62" s="25" t="s">
        <v>340</v>
      </c>
      <c r="D62" s="25">
        <v>1800000</v>
      </c>
      <c r="E62" s="25" t="s">
        <v>274</v>
      </c>
      <c r="F62" s="25" t="str">
        <f t="shared" si="0"/>
        <v>rtdc.l.rtdc.4014:itc</v>
      </c>
      <c r="G62" s="8">
        <f t="shared" si="1"/>
        <v>42569.913263888891</v>
      </c>
    </row>
    <row r="63" spans="1:7" x14ac:dyDescent="0.25">
      <c r="A63" s="8">
        <v>42570.808379629627</v>
      </c>
      <c r="B63" s="25" t="s">
        <v>171</v>
      </c>
      <c r="C63" s="25" t="s">
        <v>466</v>
      </c>
      <c r="D63" s="25">
        <v>1800000</v>
      </c>
      <c r="E63" s="25" t="s">
        <v>274</v>
      </c>
      <c r="F63" s="25" t="str">
        <f t="shared" si="0"/>
        <v>rtdc.l.rtdc.4015:itc</v>
      </c>
      <c r="G63" s="8">
        <f t="shared" si="1"/>
        <v>42570.808379629627</v>
      </c>
    </row>
    <row r="64" spans="1:7" x14ac:dyDescent="0.25">
      <c r="A64" s="34">
        <v>42569.931122685186</v>
      </c>
      <c r="B64" s="25" t="s">
        <v>171</v>
      </c>
      <c r="C64" s="25" t="s">
        <v>339</v>
      </c>
      <c r="D64" s="25">
        <v>1810000</v>
      </c>
      <c r="E64" s="25" t="s">
        <v>141</v>
      </c>
      <c r="F64" s="25" t="str">
        <f t="shared" si="0"/>
        <v>rtdc.l.rtdc.4015:itc</v>
      </c>
      <c r="G64" s="8">
        <f t="shared" si="1"/>
        <v>42569.931122685186</v>
      </c>
    </row>
    <row r="65" spans="1:7" x14ac:dyDescent="0.25">
      <c r="A65" s="8">
        <v>42570.787303240744</v>
      </c>
      <c r="B65" s="25" t="s">
        <v>120</v>
      </c>
      <c r="C65" s="25" t="s">
        <v>467</v>
      </c>
      <c r="D65" s="25">
        <v>2000000</v>
      </c>
      <c r="E65" s="25" t="s">
        <v>149</v>
      </c>
      <c r="F65" s="25" t="str">
        <f t="shared" si="0"/>
        <v>rtdc.l.rtdc.4029:itc</v>
      </c>
      <c r="G65" s="8">
        <f t="shared" si="1"/>
        <v>42570.787303240744</v>
      </c>
    </row>
    <row r="66" spans="1:7" x14ac:dyDescent="0.25">
      <c r="A66" s="8">
        <v>42570.047476851854</v>
      </c>
      <c r="B66" s="25" t="s">
        <v>140</v>
      </c>
      <c r="C66" s="25" t="s">
        <v>352</v>
      </c>
      <c r="D66" s="25">
        <v>1230000</v>
      </c>
      <c r="E66" s="25" t="s">
        <v>368</v>
      </c>
      <c r="F66" s="25" t="str">
        <f t="shared" ref="F66:F129" si="2">B66</f>
        <v>rtdc.l.rtdc.4039:itc</v>
      </c>
      <c r="G66" s="8">
        <f t="shared" ref="G66:G129" si="3">A66</f>
        <v>42570.047476851854</v>
      </c>
    </row>
    <row r="67" spans="1:7" x14ac:dyDescent="0.25">
      <c r="A67" s="8">
        <v>42570.78402777778</v>
      </c>
      <c r="B67" s="25" t="s">
        <v>119</v>
      </c>
      <c r="C67" s="25" t="s">
        <v>424</v>
      </c>
      <c r="D67" s="25">
        <v>2020000</v>
      </c>
      <c r="E67" s="25" t="s">
        <v>199</v>
      </c>
      <c r="F67" s="25" t="str">
        <f t="shared" si="2"/>
        <v>rtdc.l.rtdc.4037:itc</v>
      </c>
      <c r="G67" s="8">
        <f t="shared" si="3"/>
        <v>42570.78402777778</v>
      </c>
    </row>
    <row r="68" spans="1:7" x14ac:dyDescent="0.25">
      <c r="A68" s="8">
        <v>42570.192303240743</v>
      </c>
      <c r="B68" s="25" t="s">
        <v>120</v>
      </c>
      <c r="C68" s="25" t="s">
        <v>383</v>
      </c>
      <c r="D68" s="25">
        <v>1780000</v>
      </c>
      <c r="E68" s="25" t="s">
        <v>134</v>
      </c>
      <c r="F68" s="25" t="str">
        <f t="shared" si="2"/>
        <v>rtdc.l.rtdc.4029:itc</v>
      </c>
      <c r="G68" s="8">
        <f t="shared" si="3"/>
        <v>42570.192303240743</v>
      </c>
    </row>
    <row r="69" spans="1:7" x14ac:dyDescent="0.25">
      <c r="A69" s="8">
        <v>42570.777222222219</v>
      </c>
      <c r="B69" s="25" t="s">
        <v>130</v>
      </c>
      <c r="C69" s="25" t="s">
        <v>425</v>
      </c>
      <c r="D69" s="25">
        <v>1290000</v>
      </c>
      <c r="E69" s="25" t="s">
        <v>304</v>
      </c>
      <c r="F69" s="25" t="str">
        <f t="shared" si="2"/>
        <v>rtdc.l.rtdc.4008:itc</v>
      </c>
      <c r="G69" s="8">
        <f t="shared" si="3"/>
        <v>42570.777222222219</v>
      </c>
    </row>
    <row r="70" spans="1:7" x14ac:dyDescent="0.25">
      <c r="A70" s="8">
        <v>42570.222025462965</v>
      </c>
      <c r="B70" s="25" t="s">
        <v>119</v>
      </c>
      <c r="C70" s="25" t="s">
        <v>384</v>
      </c>
      <c r="D70" s="25">
        <v>1090000</v>
      </c>
      <c r="E70" s="25" t="s">
        <v>125</v>
      </c>
      <c r="F70" s="25" t="str">
        <f t="shared" si="2"/>
        <v>rtdc.l.rtdc.4037:itc</v>
      </c>
      <c r="G70" s="8">
        <f t="shared" si="3"/>
        <v>42570.222025462965</v>
      </c>
    </row>
    <row r="71" spans="1:7" x14ac:dyDescent="0.25">
      <c r="A71" s="8">
        <v>42570.772291666668</v>
      </c>
      <c r="B71" s="25" t="s">
        <v>172</v>
      </c>
      <c r="C71" s="25" t="s">
        <v>468</v>
      </c>
      <c r="D71" s="25">
        <v>1800000</v>
      </c>
      <c r="E71" s="25" t="s">
        <v>274</v>
      </c>
      <c r="F71" s="25" t="str">
        <f t="shared" si="2"/>
        <v>rtdc.l.rtdc.4016:itc</v>
      </c>
      <c r="G71" s="8">
        <f t="shared" si="3"/>
        <v>42570.772291666668</v>
      </c>
    </row>
    <row r="72" spans="1:7" x14ac:dyDescent="0.25">
      <c r="A72" s="8">
        <v>42570.227766203701</v>
      </c>
      <c r="B72" s="25" t="s">
        <v>76</v>
      </c>
      <c r="C72" s="25" t="s">
        <v>385</v>
      </c>
      <c r="D72" s="25">
        <v>900000</v>
      </c>
      <c r="E72" s="25" t="s">
        <v>124</v>
      </c>
      <c r="F72" s="25" t="str">
        <f t="shared" si="2"/>
        <v>rtdc.l.rtdc.4031:itc</v>
      </c>
      <c r="G72" s="8">
        <f t="shared" si="3"/>
        <v>42570.227766203701</v>
      </c>
    </row>
    <row r="73" spans="1:7" x14ac:dyDescent="0.25">
      <c r="A73" s="8">
        <v>42570.758298611108</v>
      </c>
      <c r="B73" s="25" t="s">
        <v>355</v>
      </c>
      <c r="C73" s="25" t="s">
        <v>469</v>
      </c>
      <c r="D73" s="25">
        <v>1230000</v>
      </c>
      <c r="E73" s="25" t="s">
        <v>368</v>
      </c>
      <c r="F73" s="25" t="str">
        <f t="shared" si="2"/>
        <v>rtdc.l.rtdc.4011:itc</v>
      </c>
      <c r="G73" s="8">
        <f t="shared" si="3"/>
        <v>42570.758298611108</v>
      </c>
    </row>
    <row r="74" spans="1:7" x14ac:dyDescent="0.25">
      <c r="A74" s="8">
        <v>42570.263645833336</v>
      </c>
      <c r="B74" s="25" t="s">
        <v>67</v>
      </c>
      <c r="C74" s="25" t="s">
        <v>386</v>
      </c>
      <c r="D74" s="25">
        <v>900000</v>
      </c>
      <c r="E74" s="25" t="s">
        <v>124</v>
      </c>
      <c r="F74" s="25" t="str">
        <f t="shared" si="2"/>
        <v>rtdc.l.rtdc.4032:itc</v>
      </c>
      <c r="G74" s="8">
        <f t="shared" si="3"/>
        <v>42570.263645833336</v>
      </c>
    </row>
    <row r="75" spans="1:7" x14ac:dyDescent="0.25">
      <c r="A75" s="8">
        <v>42570.725590277776</v>
      </c>
      <c r="B75" s="25" t="s">
        <v>122</v>
      </c>
      <c r="C75" s="25" t="s">
        <v>470</v>
      </c>
      <c r="D75" s="25">
        <v>1140000</v>
      </c>
      <c r="E75" s="25" t="s">
        <v>382</v>
      </c>
      <c r="F75" s="25" t="str">
        <f t="shared" si="2"/>
        <v>rtdc.l.rtdc.4027:itc</v>
      </c>
      <c r="G75" s="8">
        <f t="shared" si="3"/>
        <v>42570.725590277776</v>
      </c>
    </row>
    <row r="76" spans="1:7" x14ac:dyDescent="0.25">
      <c r="A76" s="8">
        <v>42570.304872685185</v>
      </c>
      <c r="B76" s="25" t="s">
        <v>133</v>
      </c>
      <c r="C76" s="25" t="s">
        <v>377</v>
      </c>
      <c r="D76" s="25">
        <v>1240000</v>
      </c>
      <c r="E76" s="25" t="s">
        <v>132</v>
      </c>
      <c r="F76" s="25" t="str">
        <f t="shared" si="2"/>
        <v>rtdc.l.rtdc.4007:itc</v>
      </c>
      <c r="G76" s="8">
        <f t="shared" si="3"/>
        <v>42570.304872685185</v>
      </c>
    </row>
    <row r="77" spans="1:7" x14ac:dyDescent="0.25">
      <c r="A77" s="8">
        <v>42570.71565972222</v>
      </c>
      <c r="B77" s="25" t="s">
        <v>120</v>
      </c>
      <c r="C77" s="25" t="s">
        <v>421</v>
      </c>
      <c r="D77" s="25">
        <v>2000000</v>
      </c>
      <c r="E77" s="25" t="s">
        <v>149</v>
      </c>
      <c r="F77" s="25" t="str">
        <f t="shared" si="2"/>
        <v>rtdc.l.rtdc.4029:itc</v>
      </c>
      <c r="G77" s="8">
        <f t="shared" si="3"/>
        <v>42570.71565972222</v>
      </c>
    </row>
    <row r="78" spans="1:7" x14ac:dyDescent="0.25">
      <c r="A78" s="8">
        <v>42570.334930555553</v>
      </c>
      <c r="B78" s="25" t="s">
        <v>194</v>
      </c>
      <c r="C78" s="25" t="s">
        <v>387</v>
      </c>
      <c r="D78" s="25">
        <v>1090000</v>
      </c>
      <c r="E78" s="25" t="s">
        <v>125</v>
      </c>
      <c r="F78" s="25" t="str">
        <f t="shared" si="2"/>
        <v>rtdc.l.rtdc.4009:itc</v>
      </c>
      <c r="G78" s="8">
        <f t="shared" si="3"/>
        <v>42570.334930555553</v>
      </c>
    </row>
    <row r="79" spans="1:7" x14ac:dyDescent="0.25">
      <c r="A79" s="8">
        <v>42570.68178240741</v>
      </c>
      <c r="B79" s="25" t="s">
        <v>121</v>
      </c>
      <c r="C79" s="25" t="s">
        <v>471</v>
      </c>
      <c r="D79" s="25">
        <v>1140000</v>
      </c>
      <c r="E79" s="25" t="s">
        <v>382</v>
      </c>
      <c r="F79" s="25" t="str">
        <f t="shared" si="2"/>
        <v>rtdc.l.rtdc.4030:itc</v>
      </c>
      <c r="G79" s="8">
        <f t="shared" si="3"/>
        <v>42570.68178240741</v>
      </c>
    </row>
    <row r="80" spans="1:7" x14ac:dyDescent="0.25">
      <c r="A80" s="8">
        <v>42570.344513888886</v>
      </c>
      <c r="B80" s="25" t="s">
        <v>120</v>
      </c>
      <c r="C80" s="25" t="s">
        <v>389</v>
      </c>
      <c r="D80" s="25">
        <v>1780000</v>
      </c>
      <c r="E80" s="25" t="s">
        <v>134</v>
      </c>
      <c r="F80" s="25" t="str">
        <f t="shared" si="2"/>
        <v>rtdc.l.rtdc.4029:itc</v>
      </c>
      <c r="G80" s="8">
        <f t="shared" si="3"/>
        <v>42570.344513888886</v>
      </c>
    </row>
    <row r="81" spans="1:7" x14ac:dyDescent="0.25">
      <c r="A81" s="8">
        <v>42570.668483796297</v>
      </c>
      <c r="B81" s="25" t="s">
        <v>195</v>
      </c>
      <c r="C81" s="25" t="s">
        <v>419</v>
      </c>
      <c r="D81" s="25">
        <v>1990000</v>
      </c>
      <c r="E81" s="25" t="s">
        <v>153</v>
      </c>
      <c r="F81" s="25" t="str">
        <f t="shared" si="2"/>
        <v>rtdc.l.rtdc.4010:itc</v>
      </c>
      <c r="G81" s="8">
        <f t="shared" si="3"/>
        <v>42570.668483796297</v>
      </c>
    </row>
    <row r="82" spans="1:7" x14ac:dyDescent="0.25">
      <c r="A82" s="8">
        <v>42570.347615740742</v>
      </c>
      <c r="B82" s="25" t="s">
        <v>120</v>
      </c>
      <c r="C82" s="25" t="s">
        <v>389</v>
      </c>
      <c r="D82" s="25">
        <v>1780000</v>
      </c>
      <c r="E82" s="25" t="s">
        <v>134</v>
      </c>
      <c r="F82" s="25" t="str">
        <f t="shared" si="2"/>
        <v>rtdc.l.rtdc.4029:itc</v>
      </c>
      <c r="G82" s="8">
        <f t="shared" si="3"/>
        <v>42570.347615740742</v>
      </c>
    </row>
    <row r="83" spans="1:7" x14ac:dyDescent="0.25">
      <c r="A83" s="8">
        <v>42570.649502314816</v>
      </c>
      <c r="B83" s="25" t="s">
        <v>372</v>
      </c>
      <c r="C83" s="25" t="s">
        <v>472</v>
      </c>
      <c r="D83" s="25">
        <v>880000</v>
      </c>
      <c r="E83" s="25" t="s">
        <v>273</v>
      </c>
      <c r="F83" s="25" t="str">
        <f t="shared" si="2"/>
        <v>rtdc.l.rtdc.4012:itc</v>
      </c>
      <c r="G83" s="8">
        <f t="shared" si="3"/>
        <v>42570.649502314816</v>
      </c>
    </row>
    <row r="84" spans="1:7" x14ac:dyDescent="0.25">
      <c r="A84" s="8">
        <v>42570.352164351854</v>
      </c>
      <c r="B84" s="25" t="s">
        <v>119</v>
      </c>
      <c r="C84" s="25" t="s">
        <v>391</v>
      </c>
      <c r="D84" s="25">
        <v>900000</v>
      </c>
      <c r="E84" s="25" t="s">
        <v>124</v>
      </c>
      <c r="F84" s="25" t="str">
        <f t="shared" si="2"/>
        <v>rtdc.l.rtdc.4037:itc</v>
      </c>
      <c r="G84" s="8">
        <f t="shared" si="3"/>
        <v>42570.352164351854</v>
      </c>
    </row>
    <row r="85" spans="1:7" x14ac:dyDescent="0.25">
      <c r="A85" s="8">
        <v>42570.63726851852</v>
      </c>
      <c r="B85" s="25" t="s">
        <v>119</v>
      </c>
      <c r="C85" s="25" t="s">
        <v>473</v>
      </c>
      <c r="D85" s="25">
        <v>1740000</v>
      </c>
      <c r="E85" s="25" t="s">
        <v>278</v>
      </c>
      <c r="F85" s="25" t="str">
        <f t="shared" si="2"/>
        <v>rtdc.l.rtdc.4037:itc</v>
      </c>
      <c r="G85" s="8">
        <f t="shared" si="3"/>
        <v>42570.63726851852</v>
      </c>
    </row>
    <row r="86" spans="1:7" x14ac:dyDescent="0.25">
      <c r="A86" s="8">
        <v>42570.410879629628</v>
      </c>
      <c r="B86" s="25" t="s">
        <v>130</v>
      </c>
      <c r="C86" s="25" t="s">
        <v>474</v>
      </c>
      <c r="D86" s="25">
        <v>1240000</v>
      </c>
      <c r="E86" s="25" t="s">
        <v>132</v>
      </c>
      <c r="F86" s="25" t="str">
        <f t="shared" si="2"/>
        <v>rtdc.l.rtdc.4008:itc</v>
      </c>
      <c r="G86" s="8">
        <f t="shared" si="3"/>
        <v>42570.410879629628</v>
      </c>
    </row>
    <row r="87" spans="1:7" x14ac:dyDescent="0.25">
      <c r="A87" s="8">
        <v>42570.614212962966</v>
      </c>
      <c r="B87" s="25" t="s">
        <v>355</v>
      </c>
      <c r="C87" s="25" t="s">
        <v>436</v>
      </c>
      <c r="D87" s="25">
        <v>880000</v>
      </c>
      <c r="E87" s="25" t="s">
        <v>273</v>
      </c>
      <c r="F87" s="25" t="str">
        <f t="shared" si="2"/>
        <v>rtdc.l.rtdc.4011:itc</v>
      </c>
      <c r="G87" s="8">
        <f t="shared" si="3"/>
        <v>42570.614212962966</v>
      </c>
    </row>
    <row r="88" spans="1:7" x14ac:dyDescent="0.25">
      <c r="A88" s="8">
        <v>42570.410868055558</v>
      </c>
      <c r="B88" s="25" t="s">
        <v>194</v>
      </c>
      <c r="C88" s="25" t="s">
        <v>475</v>
      </c>
      <c r="D88" s="25">
        <v>1090000</v>
      </c>
      <c r="E88" s="25" t="s">
        <v>125</v>
      </c>
      <c r="F88" s="25" t="str">
        <f t="shared" si="2"/>
        <v>rtdc.l.rtdc.4009:itc</v>
      </c>
      <c r="G88" s="8">
        <f t="shared" si="3"/>
        <v>42570.410868055558</v>
      </c>
    </row>
    <row r="89" spans="1:7" x14ac:dyDescent="0.25">
      <c r="A89" s="8">
        <v>42570.607442129629</v>
      </c>
      <c r="B89" s="25" t="s">
        <v>121</v>
      </c>
      <c r="C89" s="25" t="s">
        <v>476</v>
      </c>
      <c r="D89" s="25">
        <v>1140000</v>
      </c>
      <c r="E89" s="25" t="s">
        <v>382</v>
      </c>
      <c r="F89" s="25" t="str">
        <f t="shared" si="2"/>
        <v>rtdc.l.rtdc.4030:itc</v>
      </c>
      <c r="G89" s="8">
        <f t="shared" si="3"/>
        <v>42570.607442129629</v>
      </c>
    </row>
    <row r="90" spans="1:7" x14ac:dyDescent="0.25">
      <c r="A90" s="8">
        <v>42570.421678240738</v>
      </c>
      <c r="B90" s="25" t="s">
        <v>119</v>
      </c>
      <c r="C90" s="25" t="s">
        <v>477</v>
      </c>
      <c r="D90" s="25">
        <v>900000</v>
      </c>
      <c r="E90" s="25" t="s">
        <v>124</v>
      </c>
      <c r="F90" s="25" t="str">
        <f t="shared" si="2"/>
        <v>rtdc.l.rtdc.4037:itc</v>
      </c>
      <c r="G90" s="8">
        <f t="shared" si="3"/>
        <v>42570.421678240738</v>
      </c>
    </row>
    <row r="91" spans="1:7" x14ac:dyDescent="0.25">
      <c r="A91" s="8">
        <v>42570.600925925923</v>
      </c>
      <c r="B91" s="25" t="s">
        <v>109</v>
      </c>
      <c r="C91" s="25" t="s">
        <v>415</v>
      </c>
      <c r="D91" s="25">
        <v>1740000</v>
      </c>
      <c r="E91" s="25" t="s">
        <v>278</v>
      </c>
      <c r="F91" s="25" t="str">
        <f t="shared" si="2"/>
        <v>rtdc.l.rtdc.4038:itc</v>
      </c>
      <c r="G91" s="8">
        <f t="shared" si="3"/>
        <v>42570.600925925923</v>
      </c>
    </row>
    <row r="92" spans="1:7" x14ac:dyDescent="0.25">
      <c r="A92" s="8">
        <v>42570.433761574073</v>
      </c>
      <c r="B92" s="25" t="s">
        <v>122</v>
      </c>
      <c r="C92" s="25" t="s">
        <v>478</v>
      </c>
      <c r="D92" s="25">
        <v>1100000</v>
      </c>
      <c r="E92" s="25" t="s">
        <v>281</v>
      </c>
      <c r="F92" s="25" t="str">
        <f t="shared" si="2"/>
        <v>rtdc.l.rtdc.4027:itc</v>
      </c>
      <c r="G92" s="8">
        <f t="shared" si="3"/>
        <v>42570.433761574073</v>
      </c>
    </row>
    <row r="93" spans="1:7" x14ac:dyDescent="0.25">
      <c r="A93" s="8">
        <v>42570.578750000001</v>
      </c>
      <c r="B93" s="25" t="s">
        <v>122</v>
      </c>
      <c r="C93" s="25" t="s">
        <v>435</v>
      </c>
      <c r="D93" s="25">
        <v>1520000</v>
      </c>
      <c r="E93" s="25" t="s">
        <v>282</v>
      </c>
      <c r="F93" s="25" t="str">
        <f t="shared" si="2"/>
        <v>rtdc.l.rtdc.4027:itc</v>
      </c>
      <c r="G93" s="8">
        <f t="shared" si="3"/>
        <v>42570.578750000001</v>
      </c>
    </row>
    <row r="94" spans="1:7" x14ac:dyDescent="0.25">
      <c r="A94" s="8">
        <v>42570.43341435185</v>
      </c>
      <c r="B94" s="25" t="s">
        <v>131</v>
      </c>
      <c r="C94" s="25" t="s">
        <v>403</v>
      </c>
      <c r="D94" s="25">
        <v>1360000</v>
      </c>
      <c r="E94" s="25" t="s">
        <v>187</v>
      </c>
      <c r="F94" s="25" t="str">
        <f t="shared" si="2"/>
        <v>rtdc.l.rtdc.4043:itc</v>
      </c>
      <c r="G94" s="8">
        <f t="shared" si="3"/>
        <v>42570.43341435185</v>
      </c>
    </row>
    <row r="95" spans="1:7" x14ac:dyDescent="0.25">
      <c r="A95" s="8">
        <v>42570.570185185185</v>
      </c>
      <c r="B95" s="25" t="s">
        <v>120</v>
      </c>
      <c r="C95" s="25" t="s">
        <v>479</v>
      </c>
      <c r="D95" s="25">
        <v>1140000</v>
      </c>
      <c r="E95" s="25" t="s">
        <v>382</v>
      </c>
      <c r="F95" s="25" t="str">
        <f t="shared" si="2"/>
        <v>rtdc.l.rtdc.4029:itc</v>
      </c>
      <c r="G95" s="8">
        <f t="shared" si="3"/>
        <v>42570.570185185185</v>
      </c>
    </row>
    <row r="96" spans="1:7" x14ac:dyDescent="0.25">
      <c r="A96" s="8">
        <v>42570.538622685184</v>
      </c>
      <c r="B96" s="25" t="s">
        <v>355</v>
      </c>
      <c r="C96" s="25" t="s">
        <v>480</v>
      </c>
      <c r="D96" s="25">
        <v>880000</v>
      </c>
      <c r="E96" s="25" t="s">
        <v>273</v>
      </c>
      <c r="F96" s="25" t="str">
        <f t="shared" si="2"/>
        <v>rtdc.l.rtdc.4011:itc</v>
      </c>
      <c r="G96" s="8">
        <f t="shared" si="3"/>
        <v>42570.538622685184</v>
      </c>
    </row>
    <row r="97" spans="1:7" x14ac:dyDescent="0.25">
      <c r="A97" s="8">
        <v>42570.539722222224</v>
      </c>
      <c r="B97" s="25" t="s">
        <v>118</v>
      </c>
      <c r="C97" s="25" t="s">
        <v>412</v>
      </c>
      <c r="D97" s="25">
        <v>1520000</v>
      </c>
      <c r="E97" s="25" t="s">
        <v>282</v>
      </c>
      <c r="F97" s="25" t="str">
        <f t="shared" si="2"/>
        <v>rtdc.l.rtdc.4028:itc</v>
      </c>
      <c r="G97" s="8">
        <f t="shared" si="3"/>
        <v>42570.539722222224</v>
      </c>
    </row>
    <row r="98" spans="1:7" x14ac:dyDescent="0.25">
      <c r="A98" s="8">
        <v>42570.557708333334</v>
      </c>
      <c r="B98" s="25" t="s">
        <v>194</v>
      </c>
      <c r="C98" s="25" t="s">
        <v>413</v>
      </c>
      <c r="D98" s="25">
        <v>1990000</v>
      </c>
      <c r="E98" s="25" t="s">
        <v>153</v>
      </c>
      <c r="F98" s="25" t="str">
        <f t="shared" si="2"/>
        <v>rtdc.l.rtdc.4009:itc</v>
      </c>
      <c r="G98" s="8">
        <f t="shared" si="3"/>
        <v>42570.557708333334</v>
      </c>
    </row>
    <row r="99" spans="1:7" x14ac:dyDescent="0.25">
      <c r="A99" s="8">
        <v>42570.535266203704</v>
      </c>
      <c r="B99" s="25" t="s">
        <v>121</v>
      </c>
      <c r="C99" s="25" t="s">
        <v>481</v>
      </c>
      <c r="D99" s="25">
        <v>1140000</v>
      </c>
      <c r="E99" s="25" t="s">
        <v>382</v>
      </c>
      <c r="F99" s="25" t="str">
        <f t="shared" si="2"/>
        <v>rtdc.l.rtdc.4030:itc</v>
      </c>
      <c r="G99" s="8">
        <f t="shared" si="3"/>
        <v>42570.535266203704</v>
      </c>
    </row>
    <row r="100" spans="1:7" x14ac:dyDescent="0.25">
      <c r="A100" s="8">
        <v>42570.56858796296</v>
      </c>
      <c r="B100" s="25" t="s">
        <v>119</v>
      </c>
      <c r="C100" s="25" t="s">
        <v>482</v>
      </c>
      <c r="D100" s="25">
        <v>1740000</v>
      </c>
      <c r="E100" s="25" t="s">
        <v>278</v>
      </c>
      <c r="F100" s="25" t="str">
        <f t="shared" si="2"/>
        <v>rtdc.l.rtdc.4037:itc</v>
      </c>
      <c r="G100" s="8">
        <f t="shared" si="3"/>
        <v>42570.56858796296</v>
      </c>
    </row>
    <row r="101" spans="1:7" x14ac:dyDescent="0.25">
      <c r="A101" s="8">
        <v>42570.520543981482</v>
      </c>
      <c r="B101" s="25" t="s">
        <v>195</v>
      </c>
      <c r="C101" s="25" t="s">
        <v>410</v>
      </c>
      <c r="D101" s="25">
        <v>1990000</v>
      </c>
      <c r="E101" s="25" t="s">
        <v>153</v>
      </c>
      <c r="F101" s="25" t="str">
        <f t="shared" si="2"/>
        <v>rtdc.l.rtdc.4010:itc</v>
      </c>
      <c r="G101" s="8">
        <f t="shared" si="3"/>
        <v>42570.520543981482</v>
      </c>
    </row>
    <row r="102" spans="1:7" x14ac:dyDescent="0.25">
      <c r="A102" s="8">
        <v>42570.578263888892</v>
      </c>
      <c r="B102" s="25" t="s">
        <v>372</v>
      </c>
      <c r="C102" s="25" t="s">
        <v>483</v>
      </c>
      <c r="D102" s="25">
        <v>880000</v>
      </c>
      <c r="E102" s="25" t="s">
        <v>273</v>
      </c>
      <c r="F102" s="25" t="str">
        <f t="shared" si="2"/>
        <v>rtdc.l.rtdc.4012:itc</v>
      </c>
      <c r="G102" s="8">
        <f t="shared" si="3"/>
        <v>42570.578263888892</v>
      </c>
    </row>
    <row r="103" spans="1:7" x14ac:dyDescent="0.25">
      <c r="A103" s="8">
        <v>42570.472916666666</v>
      </c>
      <c r="B103" s="25" t="s">
        <v>128</v>
      </c>
      <c r="C103" s="25" t="s">
        <v>484</v>
      </c>
      <c r="D103" s="25">
        <v>1120000</v>
      </c>
      <c r="E103" s="25" t="s">
        <v>354</v>
      </c>
      <c r="F103" s="25" t="str">
        <f t="shared" si="2"/>
        <v>rtdc.l.rtdc.4044:itc</v>
      </c>
      <c r="G103" s="8">
        <f t="shared" si="3"/>
        <v>42570.472916666666</v>
      </c>
    </row>
    <row r="104" spans="1:7" x14ac:dyDescent="0.25">
      <c r="A104" s="8">
        <v>42570.580347222225</v>
      </c>
      <c r="B104" s="25" t="s">
        <v>122</v>
      </c>
      <c r="C104" s="25" t="s">
        <v>435</v>
      </c>
      <c r="D104" s="25">
        <v>1520000</v>
      </c>
      <c r="E104" s="25" t="s">
        <v>282</v>
      </c>
      <c r="F104" s="25" t="str">
        <f t="shared" si="2"/>
        <v>rtdc.l.rtdc.4027:itc</v>
      </c>
      <c r="G104" s="8">
        <f t="shared" si="3"/>
        <v>42570.580347222225</v>
      </c>
    </row>
    <row r="105" spans="1:7" x14ac:dyDescent="0.25">
      <c r="A105" s="8">
        <v>42570.429803240739</v>
      </c>
      <c r="B105" s="25" t="s">
        <v>372</v>
      </c>
      <c r="C105" s="25" t="s">
        <v>485</v>
      </c>
      <c r="D105" s="25">
        <v>1260000</v>
      </c>
      <c r="E105" s="25" t="s">
        <v>279</v>
      </c>
      <c r="F105" s="25" t="str">
        <f t="shared" si="2"/>
        <v>rtdc.l.rtdc.4012:itc</v>
      </c>
      <c r="G105" s="8">
        <f t="shared" si="3"/>
        <v>42570.429803240739</v>
      </c>
    </row>
    <row r="106" spans="1:7" x14ac:dyDescent="0.25">
      <c r="A106" s="8">
        <v>42570.588483796295</v>
      </c>
      <c r="B106" s="25" t="s">
        <v>131</v>
      </c>
      <c r="C106" s="25" t="s">
        <v>486</v>
      </c>
      <c r="D106" s="25">
        <v>1120000</v>
      </c>
      <c r="E106" s="25" t="s">
        <v>354</v>
      </c>
      <c r="F106" s="25" t="str">
        <f t="shared" si="2"/>
        <v>rtdc.l.rtdc.4043:itc</v>
      </c>
      <c r="G106" s="8">
        <f t="shared" si="3"/>
        <v>42570.588483796295</v>
      </c>
    </row>
    <row r="107" spans="1:7" x14ac:dyDescent="0.25">
      <c r="A107" s="8">
        <v>42570.392777777779</v>
      </c>
      <c r="B107" s="25" t="s">
        <v>355</v>
      </c>
      <c r="C107" s="25" t="s">
        <v>356</v>
      </c>
      <c r="D107" s="25">
        <v>1260000</v>
      </c>
      <c r="E107" s="25" t="s">
        <v>279</v>
      </c>
      <c r="F107" s="25" t="str">
        <f t="shared" si="2"/>
        <v>rtdc.l.rtdc.4011:itc</v>
      </c>
      <c r="G107" s="8">
        <f t="shared" si="3"/>
        <v>42570.392777777779</v>
      </c>
    </row>
    <row r="108" spans="1:7" x14ac:dyDescent="0.25">
      <c r="A108" s="8">
        <v>42570.62096064815</v>
      </c>
      <c r="B108" s="25" t="s">
        <v>118</v>
      </c>
      <c r="C108" s="25" t="s">
        <v>487</v>
      </c>
      <c r="D108" s="25">
        <v>1520000</v>
      </c>
      <c r="E108" s="25" t="s">
        <v>282</v>
      </c>
      <c r="F108" s="25" t="str">
        <f t="shared" si="2"/>
        <v>rtdc.l.rtdc.4028:itc</v>
      </c>
      <c r="G108" s="8">
        <f t="shared" si="3"/>
        <v>42570.62096064815</v>
      </c>
    </row>
    <row r="109" spans="1:7" x14ac:dyDescent="0.25">
      <c r="A109" s="8">
        <v>42570.391469907408</v>
      </c>
      <c r="B109" s="25" t="s">
        <v>355</v>
      </c>
      <c r="C109" s="25" t="s">
        <v>356</v>
      </c>
      <c r="D109" s="25">
        <v>1260000</v>
      </c>
      <c r="E109" s="25" t="s">
        <v>279</v>
      </c>
      <c r="F109" s="25" t="str">
        <f t="shared" si="2"/>
        <v>rtdc.l.rtdc.4011:itc</v>
      </c>
      <c r="G109" s="8">
        <f t="shared" si="3"/>
        <v>42570.391469907408</v>
      </c>
    </row>
    <row r="110" spans="1:7" x14ac:dyDescent="0.25">
      <c r="A110" s="8">
        <v>42570.632361111115</v>
      </c>
      <c r="B110" s="25" t="s">
        <v>194</v>
      </c>
      <c r="C110" s="25" t="s">
        <v>417</v>
      </c>
      <c r="D110" s="25">
        <v>1990000</v>
      </c>
      <c r="E110" s="25" t="s">
        <v>153</v>
      </c>
      <c r="F110" s="25" t="str">
        <f t="shared" si="2"/>
        <v>rtdc.l.rtdc.4009:itc</v>
      </c>
      <c r="G110" s="8">
        <f t="shared" si="3"/>
        <v>42570.632361111115</v>
      </c>
    </row>
    <row r="111" spans="1:7" x14ac:dyDescent="0.25">
      <c r="A111" s="8">
        <v>42570.38453703704</v>
      </c>
      <c r="B111" s="25" t="s">
        <v>109</v>
      </c>
      <c r="C111" s="25" t="s">
        <v>357</v>
      </c>
      <c r="D111" s="25">
        <v>900000</v>
      </c>
      <c r="E111" s="25" t="s">
        <v>124</v>
      </c>
      <c r="F111" s="25" t="str">
        <f t="shared" si="2"/>
        <v>rtdc.l.rtdc.4038:itc</v>
      </c>
      <c r="G111" s="8">
        <f t="shared" si="3"/>
        <v>42570.38453703704</v>
      </c>
    </row>
    <row r="112" spans="1:7" x14ac:dyDescent="0.25">
      <c r="A112" s="8">
        <v>42570.642997685187</v>
      </c>
      <c r="B112" s="25" t="s">
        <v>120</v>
      </c>
      <c r="C112" s="25" t="s">
        <v>488</v>
      </c>
      <c r="D112" s="25">
        <v>1140000</v>
      </c>
      <c r="E112" s="25" t="s">
        <v>382</v>
      </c>
      <c r="F112" s="25" t="str">
        <f t="shared" si="2"/>
        <v>rtdc.l.rtdc.4029:itc</v>
      </c>
      <c r="G112" s="8">
        <f t="shared" si="3"/>
        <v>42570.642997685187</v>
      </c>
    </row>
    <row r="113" spans="1:7" x14ac:dyDescent="0.25">
      <c r="A113" s="8">
        <v>42570.373287037037</v>
      </c>
      <c r="B113" s="25" t="s">
        <v>133</v>
      </c>
      <c r="C113" s="25" t="s">
        <v>358</v>
      </c>
      <c r="D113" s="25">
        <v>1240000</v>
      </c>
      <c r="E113" s="25" t="s">
        <v>132</v>
      </c>
      <c r="F113" s="25" t="str">
        <f t="shared" si="2"/>
        <v>rtdc.l.rtdc.4007:itc</v>
      </c>
      <c r="G113" s="8">
        <f t="shared" si="3"/>
        <v>42570.373287037037</v>
      </c>
    </row>
    <row r="114" spans="1:7" x14ac:dyDescent="0.25">
      <c r="A114" s="8">
        <v>42570.662430555552</v>
      </c>
      <c r="B114" s="25" t="s">
        <v>131</v>
      </c>
      <c r="C114" s="25" t="s">
        <v>418</v>
      </c>
      <c r="D114" s="25">
        <v>1120000</v>
      </c>
      <c r="E114" s="25" t="s">
        <v>354</v>
      </c>
      <c r="F114" s="25" t="str">
        <f t="shared" si="2"/>
        <v>rtdc.l.rtdc.4043:itc</v>
      </c>
      <c r="G114" s="8">
        <f t="shared" si="3"/>
        <v>42570.662430555552</v>
      </c>
    </row>
    <row r="115" spans="1:7" x14ac:dyDescent="0.25">
      <c r="A115" s="8">
        <v>42570.360289351855</v>
      </c>
      <c r="B115" s="25" t="s">
        <v>131</v>
      </c>
      <c r="C115" s="25" t="s">
        <v>359</v>
      </c>
      <c r="D115" s="25">
        <v>1360000</v>
      </c>
      <c r="E115" s="25" t="s">
        <v>187</v>
      </c>
      <c r="F115" s="25" t="str">
        <f t="shared" si="2"/>
        <v>rtdc.l.rtdc.4043:itc</v>
      </c>
      <c r="G115" s="8">
        <f t="shared" si="3"/>
        <v>42570.360289351855</v>
      </c>
    </row>
    <row r="116" spans="1:7" x14ac:dyDescent="0.25">
      <c r="A116" s="8">
        <v>42570.698113425926</v>
      </c>
      <c r="B116" s="25" t="s">
        <v>130</v>
      </c>
      <c r="C116" s="25" t="s">
        <v>489</v>
      </c>
      <c r="D116" s="25">
        <v>2020000</v>
      </c>
      <c r="E116" s="25" t="s">
        <v>199</v>
      </c>
      <c r="F116" s="25" t="str">
        <f t="shared" si="2"/>
        <v>rtdc.l.rtdc.4008:itc</v>
      </c>
      <c r="G116" s="8">
        <f t="shared" si="3"/>
        <v>42570.698113425926</v>
      </c>
    </row>
    <row r="117" spans="1:7" x14ac:dyDescent="0.25">
      <c r="A117" s="8">
        <v>42570.327789351853</v>
      </c>
      <c r="B117" s="25" t="s">
        <v>355</v>
      </c>
      <c r="C117" s="25" t="s">
        <v>360</v>
      </c>
      <c r="D117" s="25">
        <v>1260000</v>
      </c>
      <c r="E117" s="25" t="s">
        <v>279</v>
      </c>
      <c r="F117" s="25" t="str">
        <f t="shared" si="2"/>
        <v>rtdc.l.rtdc.4011:itc</v>
      </c>
      <c r="G117" s="8">
        <f t="shared" si="3"/>
        <v>42570.327789351853</v>
      </c>
    </row>
    <row r="118" spans="1:7" x14ac:dyDescent="0.25">
      <c r="A118" s="8">
        <v>42570.73574074074</v>
      </c>
      <c r="B118" s="25" t="s">
        <v>133</v>
      </c>
      <c r="C118" s="25" t="s">
        <v>420</v>
      </c>
      <c r="D118" s="25">
        <v>1290000</v>
      </c>
      <c r="E118" s="25" t="s">
        <v>304</v>
      </c>
      <c r="F118" s="25" t="str">
        <f t="shared" si="2"/>
        <v>rtdc.l.rtdc.4007:itc</v>
      </c>
      <c r="G118" s="8">
        <f t="shared" si="3"/>
        <v>42570.73574074074</v>
      </c>
    </row>
    <row r="119" spans="1:7" x14ac:dyDescent="0.25">
      <c r="A119" s="8">
        <v>42570.304016203707</v>
      </c>
      <c r="B119" s="25" t="s">
        <v>121</v>
      </c>
      <c r="C119" s="25" t="s">
        <v>361</v>
      </c>
      <c r="D119" s="25">
        <v>1780000</v>
      </c>
      <c r="E119" s="25" t="s">
        <v>134</v>
      </c>
      <c r="F119" s="25" t="str">
        <f t="shared" si="2"/>
        <v>rtdc.l.rtdc.4030:itc</v>
      </c>
      <c r="G119" s="8">
        <f t="shared" si="3"/>
        <v>42570.304016203707</v>
      </c>
    </row>
    <row r="120" spans="1:7" x14ac:dyDescent="0.25">
      <c r="A120" s="8">
        <v>42570.745555555557</v>
      </c>
      <c r="B120" s="25" t="s">
        <v>109</v>
      </c>
      <c r="C120" s="25" t="s">
        <v>490</v>
      </c>
      <c r="D120" s="25">
        <v>2020000</v>
      </c>
      <c r="E120" s="25" t="s">
        <v>199</v>
      </c>
      <c r="F120" s="25" t="str">
        <f t="shared" si="2"/>
        <v>rtdc.l.rtdc.4038:itc</v>
      </c>
      <c r="G120" s="8">
        <f t="shared" si="3"/>
        <v>42570.745555555557</v>
      </c>
    </row>
    <row r="121" spans="1:7" x14ac:dyDescent="0.25">
      <c r="A121" s="8">
        <v>42570.254918981482</v>
      </c>
      <c r="B121" s="25" t="s">
        <v>130</v>
      </c>
      <c r="C121" s="25" t="s">
        <v>362</v>
      </c>
      <c r="D121" s="25">
        <v>1340000</v>
      </c>
      <c r="E121" s="25" t="s">
        <v>127</v>
      </c>
      <c r="F121" s="25" t="str">
        <f t="shared" si="2"/>
        <v>rtdc.l.rtdc.4008:itc</v>
      </c>
      <c r="G121" s="8">
        <f t="shared" si="3"/>
        <v>42570.254918981482</v>
      </c>
    </row>
    <row r="122" spans="1:7" x14ac:dyDescent="0.25">
      <c r="A122" s="8">
        <v>42570.786840277775</v>
      </c>
      <c r="B122" s="33" t="s">
        <v>372</v>
      </c>
      <c r="C122" s="25" t="s">
        <v>491</v>
      </c>
      <c r="D122" s="25">
        <v>1230000</v>
      </c>
      <c r="E122" s="25" t="s">
        <v>368</v>
      </c>
      <c r="F122" s="25" t="str">
        <f t="shared" si="2"/>
        <v>rtdc.l.rtdc.4012:itc</v>
      </c>
      <c r="G122" s="8">
        <f t="shared" si="3"/>
        <v>42570.786840277775</v>
      </c>
    </row>
    <row r="123" spans="1:7" x14ac:dyDescent="0.25">
      <c r="A123" s="8">
        <v>42570.244814814818</v>
      </c>
      <c r="B123" s="25" t="s">
        <v>118</v>
      </c>
      <c r="C123" s="25" t="s">
        <v>363</v>
      </c>
      <c r="D123" s="25">
        <v>1100000</v>
      </c>
      <c r="E123" s="25" t="s">
        <v>281</v>
      </c>
      <c r="F123" s="25" t="str">
        <f t="shared" si="2"/>
        <v>rtdc.l.rtdc.4028:itc</v>
      </c>
      <c r="G123" s="8">
        <f t="shared" si="3"/>
        <v>42570.244814814818</v>
      </c>
    </row>
    <row r="124" spans="1:7" x14ac:dyDescent="0.25">
      <c r="A124" s="8">
        <v>42570.830208333333</v>
      </c>
      <c r="B124" s="25" t="s">
        <v>121</v>
      </c>
      <c r="C124" s="25" t="s">
        <v>426</v>
      </c>
      <c r="D124" s="25">
        <v>2000000</v>
      </c>
      <c r="E124" s="25" t="s">
        <v>149</v>
      </c>
      <c r="F124" s="25" t="str">
        <f t="shared" si="2"/>
        <v>rtdc.l.rtdc.4030:itc</v>
      </c>
      <c r="G124" s="8">
        <f t="shared" si="3"/>
        <v>42570.830208333333</v>
      </c>
    </row>
    <row r="125" spans="1:7" x14ac:dyDescent="0.25">
      <c r="A125" s="8">
        <v>42570.231898148151</v>
      </c>
      <c r="B125" s="25" t="s">
        <v>121</v>
      </c>
      <c r="C125" s="25" t="s">
        <v>364</v>
      </c>
      <c r="D125" s="25">
        <v>1780000</v>
      </c>
      <c r="E125" s="25" t="s">
        <v>134</v>
      </c>
      <c r="F125" s="25" t="str">
        <f t="shared" si="2"/>
        <v>rtdc.l.rtdc.4030:itc</v>
      </c>
      <c r="G125" s="8">
        <f t="shared" si="3"/>
        <v>42570.231898148151</v>
      </c>
    </row>
    <row r="126" spans="1:7" x14ac:dyDescent="0.25">
      <c r="A126" s="8">
        <v>42570.943981481483</v>
      </c>
      <c r="B126" s="25" t="s">
        <v>372</v>
      </c>
      <c r="C126" s="25" t="s">
        <v>492</v>
      </c>
      <c r="D126" s="25">
        <v>1230000</v>
      </c>
      <c r="E126" s="25" t="s">
        <v>368</v>
      </c>
      <c r="F126" s="25" t="str">
        <f t="shared" si="2"/>
        <v>rtdc.l.rtdc.4012:itc</v>
      </c>
      <c r="G126" s="8">
        <f t="shared" si="3"/>
        <v>42570.943981481483</v>
      </c>
    </row>
    <row r="127" spans="1:7" x14ac:dyDescent="0.25">
      <c r="A127" s="8">
        <v>42570.205601851849</v>
      </c>
      <c r="B127" s="25" t="s">
        <v>122</v>
      </c>
      <c r="C127" s="25" t="s">
        <v>365</v>
      </c>
      <c r="D127" s="25">
        <v>1100000</v>
      </c>
      <c r="E127" s="25" t="s">
        <v>281</v>
      </c>
      <c r="F127" s="25" t="str">
        <f t="shared" si="2"/>
        <v>rtdc.l.rtdc.4027:itc</v>
      </c>
      <c r="G127" s="8">
        <f t="shared" si="3"/>
        <v>42570.205601851849</v>
      </c>
    </row>
    <row r="128" spans="1:7" x14ac:dyDescent="0.25">
      <c r="A128" s="8">
        <v>42571.012870370374</v>
      </c>
      <c r="B128" s="25" t="s">
        <v>130</v>
      </c>
      <c r="C128" s="25" t="s">
        <v>493</v>
      </c>
      <c r="D128" s="25">
        <v>1290000</v>
      </c>
      <c r="E128" s="25" t="s">
        <v>304</v>
      </c>
      <c r="F128" s="25" t="str">
        <f t="shared" si="2"/>
        <v>rtdc.l.rtdc.4008:itc</v>
      </c>
      <c r="G128" s="8">
        <f t="shared" si="3"/>
        <v>42571.012870370374</v>
      </c>
    </row>
    <row r="129" spans="1:7" x14ac:dyDescent="0.25">
      <c r="A129" s="8">
        <v>42570.205381944441</v>
      </c>
      <c r="B129" s="25" t="s">
        <v>195</v>
      </c>
      <c r="C129" s="25" t="s">
        <v>366</v>
      </c>
      <c r="D129" s="25">
        <v>1360000</v>
      </c>
      <c r="E129" s="25" t="s">
        <v>187</v>
      </c>
      <c r="F129" s="25" t="str">
        <f t="shared" si="2"/>
        <v>rtdc.l.rtdc.4010:itc</v>
      </c>
      <c r="G129" s="8">
        <f t="shared" si="3"/>
        <v>42570.205381944441</v>
      </c>
    </row>
    <row r="130" spans="1:7" x14ac:dyDescent="0.25">
      <c r="A130" s="8">
        <v>42571.137361111112</v>
      </c>
      <c r="B130" s="25" t="s">
        <v>494</v>
      </c>
      <c r="C130" s="25" t="s">
        <v>495</v>
      </c>
      <c r="D130" s="25">
        <v>0</v>
      </c>
      <c r="E130" s="25" t="s">
        <v>496</v>
      </c>
      <c r="F130" s="25" t="str">
        <f t="shared" ref="F130:F193" si="4">B130</f>
        <v>rtdc.l.rtdc.4005:itc</v>
      </c>
      <c r="G130" s="8">
        <f t="shared" ref="G130:G193" si="5">A130</f>
        <v>42571.137361111112</v>
      </c>
    </row>
    <row r="131" spans="1:7" x14ac:dyDescent="0.25">
      <c r="A131" s="8">
        <v>42570.152291666665</v>
      </c>
      <c r="B131" s="25" t="s">
        <v>76</v>
      </c>
      <c r="C131" s="25" t="s">
        <v>367</v>
      </c>
      <c r="D131" s="25">
        <v>1260000</v>
      </c>
      <c r="E131" s="25" t="s">
        <v>279</v>
      </c>
      <c r="F131" s="25" t="str">
        <f t="shared" si="4"/>
        <v>rtdc.l.rtdc.4031:itc</v>
      </c>
      <c r="G131" s="8">
        <f t="shared" si="5"/>
        <v>42570.152291666665</v>
      </c>
    </row>
    <row r="132" spans="1:7" x14ac:dyDescent="0.25">
      <c r="A132" s="8">
        <v>42571.171469907407</v>
      </c>
      <c r="B132" s="25" t="s">
        <v>200</v>
      </c>
      <c r="C132" s="25" t="s">
        <v>497</v>
      </c>
      <c r="D132" s="25">
        <v>2010000</v>
      </c>
      <c r="E132" s="25" t="s">
        <v>152</v>
      </c>
      <c r="F132" s="25" t="str">
        <f t="shared" si="4"/>
        <v>rtdc.l.rtdc.4041:itc</v>
      </c>
      <c r="G132" s="8">
        <f t="shared" si="5"/>
        <v>42571.171469907407</v>
      </c>
    </row>
    <row r="133" spans="1:7" x14ac:dyDescent="0.25">
      <c r="A133" s="8">
        <v>42570.131516203706</v>
      </c>
      <c r="B133" s="25" t="s">
        <v>122</v>
      </c>
      <c r="C133" s="25" t="s">
        <v>369</v>
      </c>
      <c r="D133" s="25">
        <v>1340000</v>
      </c>
      <c r="E133" s="25" t="s">
        <v>127</v>
      </c>
      <c r="F133" s="25" t="str">
        <f t="shared" si="4"/>
        <v>rtdc.l.rtdc.4027:itc</v>
      </c>
      <c r="G133" s="8">
        <f t="shared" si="5"/>
        <v>42570.131516203706</v>
      </c>
    </row>
    <row r="134" spans="1:7" x14ac:dyDescent="0.25">
      <c r="A134" s="8">
        <v>42571.205185185187</v>
      </c>
      <c r="B134" s="25" t="s">
        <v>194</v>
      </c>
      <c r="C134" s="25" t="s">
        <v>498</v>
      </c>
      <c r="D134" s="25">
        <v>900000</v>
      </c>
      <c r="E134" s="25" t="s">
        <v>124</v>
      </c>
      <c r="F134" s="25" t="str">
        <f t="shared" si="4"/>
        <v>rtdc.l.rtdc.4009:itc</v>
      </c>
      <c r="G134" s="8">
        <f t="shared" si="5"/>
        <v>42571.205185185187</v>
      </c>
    </row>
    <row r="135" spans="1:7" x14ac:dyDescent="0.25">
      <c r="A135" s="8">
        <v>42570.036585648151</v>
      </c>
      <c r="B135" s="25" t="s">
        <v>116</v>
      </c>
      <c r="C135" s="25" t="s">
        <v>350</v>
      </c>
      <c r="D135" s="25">
        <v>1800000</v>
      </c>
      <c r="E135" s="25" t="s">
        <v>274</v>
      </c>
      <c r="F135" s="25" t="str">
        <f t="shared" si="4"/>
        <v>rtdc.l.rtdc.4013:itc</v>
      </c>
      <c r="G135" s="8">
        <f t="shared" si="5"/>
        <v>42570.036585648151</v>
      </c>
    </row>
    <row r="136" spans="1:7" x14ac:dyDescent="0.25">
      <c r="A136" s="8">
        <v>42571.21261574074</v>
      </c>
      <c r="B136" s="25" t="s">
        <v>131</v>
      </c>
      <c r="C136" s="25" t="s">
        <v>499</v>
      </c>
      <c r="D136" s="25">
        <v>1780000</v>
      </c>
      <c r="E136" s="25" t="s">
        <v>134</v>
      </c>
      <c r="F136" s="25" t="str">
        <f t="shared" si="4"/>
        <v>rtdc.l.rtdc.4043:itc</v>
      </c>
      <c r="G136" s="8">
        <f t="shared" si="5"/>
        <v>42571.21261574074</v>
      </c>
    </row>
    <row r="137" spans="1:7" x14ac:dyDescent="0.25">
      <c r="A137" s="8">
        <v>42570.009212962963</v>
      </c>
      <c r="B137" s="25" t="s">
        <v>171</v>
      </c>
      <c r="C137" s="25" t="s">
        <v>348</v>
      </c>
      <c r="D137" s="25">
        <v>1810000</v>
      </c>
      <c r="E137" s="25" t="s">
        <v>141</v>
      </c>
      <c r="F137" s="25" t="str">
        <f t="shared" si="4"/>
        <v>rtdc.l.rtdc.4015:itc</v>
      </c>
      <c r="G137" s="8">
        <f t="shared" si="5"/>
        <v>42570.009212962963</v>
      </c>
    </row>
    <row r="138" spans="1:7" x14ac:dyDescent="0.25">
      <c r="A138" s="8">
        <v>42571.247569444444</v>
      </c>
      <c r="B138" s="25" t="s">
        <v>122</v>
      </c>
      <c r="C138" s="25" t="s">
        <v>500</v>
      </c>
      <c r="D138" s="25">
        <v>1780000</v>
      </c>
      <c r="E138" s="25" t="s">
        <v>134</v>
      </c>
      <c r="F138" s="25" t="str">
        <f t="shared" si="4"/>
        <v>rtdc.l.rtdc.4027:itc</v>
      </c>
      <c r="G138" s="8">
        <f t="shared" si="5"/>
        <v>42571.247569444444</v>
      </c>
    </row>
    <row r="139" spans="1:7" x14ac:dyDescent="0.25">
      <c r="A139" s="8">
        <v>42570.007905092592</v>
      </c>
      <c r="B139" s="25" t="s">
        <v>171</v>
      </c>
      <c r="C139" s="25" t="s">
        <v>348</v>
      </c>
      <c r="D139" s="25">
        <v>1810000</v>
      </c>
      <c r="E139" s="25" t="s">
        <v>141</v>
      </c>
      <c r="F139" s="25" t="str">
        <f t="shared" si="4"/>
        <v>rtdc.l.rtdc.4015:itc</v>
      </c>
      <c r="G139" s="8">
        <f t="shared" si="5"/>
        <v>42570.007905092592</v>
      </c>
    </row>
    <row r="140" spans="1:7" x14ac:dyDescent="0.25">
      <c r="A140" s="8">
        <v>42571.248136574075</v>
      </c>
      <c r="B140" s="25" t="s">
        <v>200</v>
      </c>
      <c r="C140" s="25" t="s">
        <v>501</v>
      </c>
      <c r="D140" s="25">
        <v>2010000</v>
      </c>
      <c r="E140" s="25" t="s">
        <v>152</v>
      </c>
      <c r="F140" s="25" t="str">
        <f t="shared" si="4"/>
        <v>rtdc.l.rtdc.4041:itc</v>
      </c>
      <c r="G140" s="8">
        <f t="shared" si="5"/>
        <v>42571.248136574075</v>
      </c>
    </row>
    <row r="141" spans="1:7" x14ac:dyDescent="0.25">
      <c r="A141" s="8">
        <v>42569.993611111109</v>
      </c>
      <c r="B141" s="25" t="s">
        <v>75</v>
      </c>
      <c r="C141" s="25" t="s">
        <v>346</v>
      </c>
      <c r="D141" s="25">
        <v>2000000</v>
      </c>
      <c r="E141" s="25" t="s">
        <v>149</v>
      </c>
      <c r="F141" s="25" t="str">
        <f t="shared" si="4"/>
        <v>rtdc.l.rtdc.4017:itc</v>
      </c>
      <c r="G141" s="8">
        <f t="shared" si="5"/>
        <v>42569.993611111109</v>
      </c>
    </row>
    <row r="142" spans="1:7" x14ac:dyDescent="0.25">
      <c r="A142" s="8">
        <v>42571.273611111108</v>
      </c>
      <c r="B142" s="25" t="s">
        <v>72</v>
      </c>
      <c r="C142" s="25" t="s">
        <v>502</v>
      </c>
      <c r="D142" s="25">
        <v>1260000</v>
      </c>
      <c r="E142" s="25" t="s">
        <v>279</v>
      </c>
      <c r="F142" s="25" t="str">
        <f t="shared" si="4"/>
        <v>rtdc.l.rtdc.4019:itc</v>
      </c>
      <c r="G142" s="8">
        <f t="shared" si="5"/>
        <v>42571.273611111108</v>
      </c>
    </row>
    <row r="143" spans="1:7" x14ac:dyDescent="0.25">
      <c r="A143" s="8">
        <v>42569.933946759258</v>
      </c>
      <c r="B143" s="25" t="s">
        <v>135</v>
      </c>
      <c r="C143" s="25" t="s">
        <v>343</v>
      </c>
      <c r="D143" s="25">
        <v>1230000</v>
      </c>
      <c r="E143" s="25" t="s">
        <v>368</v>
      </c>
      <c r="F143" s="25" t="str">
        <f t="shared" si="4"/>
        <v>rtdc.l.rtdc.4040:itc</v>
      </c>
      <c r="G143" s="8">
        <f t="shared" si="5"/>
        <v>42569.933946759258</v>
      </c>
    </row>
    <row r="144" spans="1:7" x14ac:dyDescent="0.25">
      <c r="A144" s="8">
        <v>42571.305312500001</v>
      </c>
      <c r="B144" s="25" t="s">
        <v>121</v>
      </c>
      <c r="C144" s="25" t="s">
        <v>503</v>
      </c>
      <c r="D144" s="25">
        <v>1460000</v>
      </c>
      <c r="E144" s="25" t="s">
        <v>110</v>
      </c>
      <c r="F144" s="25" t="str">
        <f t="shared" si="4"/>
        <v>rtdc.l.rtdc.4030:itc</v>
      </c>
      <c r="G144" s="8">
        <f t="shared" si="5"/>
        <v>42571.305312500001</v>
      </c>
    </row>
    <row r="145" spans="1:7" x14ac:dyDescent="0.25">
      <c r="A145" s="8">
        <v>42571.353668981479</v>
      </c>
      <c r="B145" s="25" t="s">
        <v>194</v>
      </c>
      <c r="C145" s="25" t="s">
        <v>504</v>
      </c>
      <c r="D145" s="25">
        <v>900000</v>
      </c>
      <c r="E145" s="25" t="s">
        <v>124</v>
      </c>
      <c r="F145" s="25" t="str">
        <f t="shared" si="4"/>
        <v>rtdc.l.rtdc.4009:itc</v>
      </c>
      <c r="G145" s="8">
        <f t="shared" si="5"/>
        <v>42571.353668981479</v>
      </c>
    </row>
    <row r="146" spans="1:7" x14ac:dyDescent="0.25">
      <c r="A146" s="8">
        <v>42571.33792824074</v>
      </c>
      <c r="B146" s="25" t="s">
        <v>114</v>
      </c>
      <c r="C146" s="25" t="s">
        <v>505</v>
      </c>
      <c r="D146" s="25">
        <v>1190000</v>
      </c>
      <c r="E146" s="25" t="s">
        <v>198</v>
      </c>
      <c r="F146" s="25" t="str">
        <f t="shared" si="4"/>
        <v>rtdc.l.rtdc.4026:itc</v>
      </c>
      <c r="G146" s="8">
        <f t="shared" si="5"/>
        <v>42571.33792824074</v>
      </c>
    </row>
    <row r="147" spans="1:7" x14ac:dyDescent="0.25">
      <c r="A147" s="8">
        <v>42571.321064814816</v>
      </c>
      <c r="B147" s="25" t="s">
        <v>122</v>
      </c>
      <c r="C147" s="25" t="s">
        <v>506</v>
      </c>
      <c r="D147" s="25">
        <v>1780000</v>
      </c>
      <c r="E147" s="25" t="s">
        <v>134</v>
      </c>
      <c r="F147" s="25" t="str">
        <f t="shared" si="4"/>
        <v>rtdc.l.rtdc.4027:itc</v>
      </c>
      <c r="G147" s="8">
        <f t="shared" si="5"/>
        <v>42571.321064814816</v>
      </c>
    </row>
    <row r="148" spans="1:7" x14ac:dyDescent="0.25">
      <c r="A148" s="8">
        <v>42571.363125000003</v>
      </c>
      <c r="B148" s="25" t="s">
        <v>82</v>
      </c>
      <c r="C148" s="25" t="s">
        <v>507</v>
      </c>
      <c r="D148" s="25">
        <v>2010000</v>
      </c>
      <c r="E148" s="25" t="s">
        <v>152</v>
      </c>
      <c r="F148" s="25" t="str">
        <f t="shared" si="4"/>
        <v>rtdc.l.rtdc.4042:itc</v>
      </c>
      <c r="G148" s="8">
        <f t="shared" si="5"/>
        <v>42571.363125000003</v>
      </c>
    </row>
    <row r="149" spans="1:7" x14ac:dyDescent="0.25">
      <c r="A149" s="8">
        <v>42571.298425925925</v>
      </c>
      <c r="B149" s="25" t="s">
        <v>117</v>
      </c>
      <c r="C149" s="25" t="s">
        <v>508</v>
      </c>
      <c r="D149" s="25">
        <v>1190000</v>
      </c>
      <c r="E149" s="25" t="s">
        <v>198</v>
      </c>
      <c r="F149" s="25" t="str">
        <f t="shared" si="4"/>
        <v>rtdc.l.rtdc.4025:itc</v>
      </c>
      <c r="G149" s="8">
        <f t="shared" si="5"/>
        <v>42571.298425925925</v>
      </c>
    </row>
    <row r="150" spans="1:7" x14ac:dyDescent="0.25">
      <c r="A150" s="8">
        <v>42569.965277777781</v>
      </c>
      <c r="B150" s="25" t="s">
        <v>140</v>
      </c>
      <c r="C150" s="25" t="s">
        <v>344</v>
      </c>
      <c r="D150" s="25">
        <v>1230000</v>
      </c>
      <c r="E150" s="25" t="s">
        <v>368</v>
      </c>
      <c r="F150" s="25" t="str">
        <f t="shared" si="4"/>
        <v>rtdc.l.rtdc.4039:itc</v>
      </c>
      <c r="G150" s="8">
        <f t="shared" si="5"/>
        <v>42569.965277777781</v>
      </c>
    </row>
    <row r="151" spans="1:7" x14ac:dyDescent="0.25">
      <c r="A151" s="8">
        <v>42571.294039351851</v>
      </c>
      <c r="B151" s="25" t="s">
        <v>119</v>
      </c>
      <c r="C151" s="25" t="s">
        <v>509</v>
      </c>
      <c r="D151" s="25">
        <v>1090000</v>
      </c>
      <c r="E151" s="25" t="s">
        <v>125</v>
      </c>
      <c r="F151" s="25" t="str">
        <f t="shared" si="4"/>
        <v>rtdc.l.rtdc.4037:itc</v>
      </c>
      <c r="G151" s="8">
        <f t="shared" si="5"/>
        <v>42571.294039351851</v>
      </c>
    </row>
    <row r="152" spans="1:7" x14ac:dyDescent="0.25">
      <c r="A152" s="8">
        <v>42570.017488425925</v>
      </c>
      <c r="B152" s="25" t="s">
        <v>135</v>
      </c>
      <c r="C152" s="25" t="s">
        <v>351</v>
      </c>
      <c r="D152" s="25">
        <v>1230000</v>
      </c>
      <c r="E152" s="25" t="s">
        <v>368</v>
      </c>
      <c r="F152" s="25" t="str">
        <f t="shared" si="4"/>
        <v>rtdc.l.rtdc.4040:itc</v>
      </c>
      <c r="G152" s="8">
        <f t="shared" si="5"/>
        <v>42570.017488425925</v>
      </c>
    </row>
    <row r="153" spans="1:7" x14ac:dyDescent="0.25">
      <c r="A153" s="8">
        <v>42571.277222222219</v>
      </c>
      <c r="B153" s="25" t="s">
        <v>194</v>
      </c>
      <c r="C153" s="25" t="s">
        <v>510</v>
      </c>
      <c r="D153" s="25">
        <v>900000</v>
      </c>
      <c r="E153" s="25" t="s">
        <v>124</v>
      </c>
      <c r="F153" s="25" t="str">
        <f t="shared" si="4"/>
        <v>rtdc.l.rtdc.4009:itc</v>
      </c>
      <c r="G153" s="8">
        <f t="shared" si="5"/>
        <v>42571.277222222219</v>
      </c>
    </row>
    <row r="154" spans="1:7" x14ac:dyDescent="0.25">
      <c r="A154" s="8">
        <v>42570.171701388892</v>
      </c>
      <c r="B154" s="25" t="s">
        <v>128</v>
      </c>
      <c r="C154" s="25" t="s">
        <v>397</v>
      </c>
      <c r="D154" s="25">
        <v>1360000</v>
      </c>
      <c r="E154" s="25" t="s">
        <v>187</v>
      </c>
      <c r="F154" s="25" t="str">
        <f t="shared" si="4"/>
        <v>rtdc.l.rtdc.4044:itc</v>
      </c>
      <c r="G154" s="8">
        <f t="shared" si="5"/>
        <v>42570.171701388892</v>
      </c>
    </row>
    <row r="155" spans="1:7" x14ac:dyDescent="0.25">
      <c r="A155" s="8">
        <v>42571.264907407407</v>
      </c>
      <c r="B155" s="25" t="s">
        <v>120</v>
      </c>
      <c r="C155" s="25" t="s">
        <v>511</v>
      </c>
      <c r="D155" s="25">
        <v>1460000</v>
      </c>
      <c r="E155" s="25" t="s">
        <v>110</v>
      </c>
      <c r="F155" s="25" t="str">
        <f t="shared" si="4"/>
        <v>rtdc.l.rtdc.4029:itc</v>
      </c>
      <c r="G155" s="8">
        <f t="shared" si="5"/>
        <v>42571.264907407407</v>
      </c>
    </row>
    <row r="156" spans="1:7" x14ac:dyDescent="0.25">
      <c r="A156" s="8">
        <v>42570.189780092594</v>
      </c>
      <c r="B156" s="25" t="s">
        <v>120</v>
      </c>
      <c r="C156" s="25" t="s">
        <v>383</v>
      </c>
      <c r="D156" s="25">
        <v>1780000</v>
      </c>
      <c r="E156" s="25" t="s">
        <v>134</v>
      </c>
      <c r="F156" s="25" t="str">
        <f t="shared" si="4"/>
        <v>rtdc.l.rtdc.4029:itc</v>
      </c>
      <c r="G156" s="8">
        <f t="shared" si="5"/>
        <v>42570.189780092594</v>
      </c>
    </row>
    <row r="157" spans="1:7" x14ac:dyDescent="0.25">
      <c r="A157" s="8">
        <v>42571.25509259259</v>
      </c>
      <c r="B157" s="25" t="s">
        <v>109</v>
      </c>
      <c r="C157" s="25" t="s">
        <v>512</v>
      </c>
      <c r="D157" s="25">
        <v>1090000</v>
      </c>
      <c r="E157" s="25" t="s">
        <v>125</v>
      </c>
      <c r="F157" s="25" t="str">
        <f t="shared" si="4"/>
        <v>rtdc.l.rtdc.4038:itc</v>
      </c>
      <c r="G157" s="8">
        <f t="shared" si="5"/>
        <v>42571.25509259259</v>
      </c>
    </row>
    <row r="158" spans="1:7" x14ac:dyDescent="0.25">
      <c r="A158" s="8">
        <v>42570.234571759262</v>
      </c>
      <c r="B158" s="25" t="s">
        <v>355</v>
      </c>
      <c r="C158" s="25" t="s">
        <v>398</v>
      </c>
      <c r="D158" s="25">
        <v>1260000</v>
      </c>
      <c r="E158" s="25" t="s">
        <v>279</v>
      </c>
      <c r="F158" s="25" t="str">
        <f t="shared" si="4"/>
        <v>rtdc.l.rtdc.4011:itc</v>
      </c>
      <c r="G158" s="8">
        <f t="shared" si="5"/>
        <v>42570.234571759262</v>
      </c>
    </row>
    <row r="159" spans="1:7" x14ac:dyDescent="0.25">
      <c r="A159" s="8">
        <v>42571.19127314815</v>
      </c>
      <c r="B159" s="25" t="s">
        <v>72</v>
      </c>
      <c r="C159" s="25" t="s">
        <v>513</v>
      </c>
      <c r="D159" s="25">
        <v>1260000</v>
      </c>
      <c r="E159" s="25" t="s">
        <v>279</v>
      </c>
      <c r="F159" s="25" t="str">
        <f t="shared" si="4"/>
        <v>rtdc.l.rtdc.4019:itc</v>
      </c>
      <c r="G159" s="8">
        <f t="shared" si="5"/>
        <v>42571.19127314815</v>
      </c>
    </row>
    <row r="160" spans="1:7" x14ac:dyDescent="0.25">
      <c r="A160" s="8">
        <v>42570.262442129628</v>
      </c>
      <c r="B160" s="25" t="s">
        <v>194</v>
      </c>
      <c r="C160" s="25" t="s">
        <v>399</v>
      </c>
      <c r="D160" s="25">
        <v>1090000</v>
      </c>
      <c r="E160" s="25" t="s">
        <v>125</v>
      </c>
      <c r="F160" s="25" t="str">
        <f t="shared" si="4"/>
        <v>rtdc.l.rtdc.4009:itc</v>
      </c>
      <c r="G160" s="8">
        <f t="shared" si="5"/>
        <v>42570.262442129628</v>
      </c>
    </row>
    <row r="161" spans="1:7" x14ac:dyDescent="0.25">
      <c r="A161" s="8">
        <v>42571.188379629632</v>
      </c>
      <c r="B161" s="25" t="s">
        <v>120</v>
      </c>
      <c r="C161" s="25" t="s">
        <v>449</v>
      </c>
      <c r="D161" s="25">
        <v>1460000</v>
      </c>
      <c r="E161" s="25" t="s">
        <v>110</v>
      </c>
      <c r="F161" s="25" t="str">
        <f t="shared" si="4"/>
        <v>rtdc.l.rtdc.4029:itc</v>
      </c>
      <c r="G161" s="8">
        <f t="shared" si="5"/>
        <v>42571.188379629632</v>
      </c>
    </row>
    <row r="162" spans="1:7" x14ac:dyDescent="0.25">
      <c r="A162" s="8">
        <v>42570.313263888886</v>
      </c>
      <c r="B162" s="25" t="s">
        <v>109</v>
      </c>
      <c r="C162" s="25" t="s">
        <v>392</v>
      </c>
      <c r="D162" s="25">
        <v>900000</v>
      </c>
      <c r="E162" s="25" t="s">
        <v>124</v>
      </c>
      <c r="F162" s="25" t="str">
        <f t="shared" si="4"/>
        <v>rtdc.l.rtdc.4038:itc</v>
      </c>
      <c r="G162" s="8">
        <f t="shared" si="5"/>
        <v>42570.313263888886</v>
      </c>
    </row>
    <row r="163" spans="1:7" x14ac:dyDescent="0.25">
      <c r="A163" s="8">
        <v>42571.135775462964</v>
      </c>
      <c r="B163" s="25" t="s">
        <v>494</v>
      </c>
      <c r="C163" s="25" t="s">
        <v>495</v>
      </c>
      <c r="D163" s="25">
        <v>0</v>
      </c>
      <c r="E163" s="25" t="s">
        <v>496</v>
      </c>
      <c r="F163" s="25" t="str">
        <f t="shared" si="4"/>
        <v>rtdc.l.rtdc.4005:itc</v>
      </c>
      <c r="G163" s="8">
        <f t="shared" si="5"/>
        <v>42571.135775462964</v>
      </c>
    </row>
    <row r="164" spans="1:7" x14ac:dyDescent="0.25">
      <c r="A164" s="8">
        <v>42570.326585648145</v>
      </c>
      <c r="B164" s="25" t="s">
        <v>128</v>
      </c>
      <c r="C164" s="25" t="s">
        <v>400</v>
      </c>
      <c r="D164" s="25">
        <v>1360000</v>
      </c>
      <c r="E164" s="25" t="s">
        <v>187</v>
      </c>
      <c r="F164" s="25" t="str">
        <f t="shared" si="4"/>
        <v>rtdc.l.rtdc.4044:itc</v>
      </c>
      <c r="G164" s="8">
        <f t="shared" si="5"/>
        <v>42570.326585648145</v>
      </c>
    </row>
    <row r="165" spans="1:7" x14ac:dyDescent="0.25">
      <c r="A165" s="8">
        <v>42571.134733796294</v>
      </c>
      <c r="B165" s="25" t="s">
        <v>494</v>
      </c>
      <c r="C165" s="25" t="s">
        <v>495</v>
      </c>
      <c r="D165" s="25">
        <v>0</v>
      </c>
      <c r="E165" s="25" t="s">
        <v>496</v>
      </c>
      <c r="F165" s="25" t="str">
        <f t="shared" si="4"/>
        <v>rtdc.l.rtdc.4005:itc</v>
      </c>
      <c r="G165" s="8">
        <f t="shared" si="5"/>
        <v>42571.134733796294</v>
      </c>
    </row>
    <row r="166" spans="1:7" x14ac:dyDescent="0.25">
      <c r="A166" s="8">
        <v>42570.337916666664</v>
      </c>
      <c r="B166" s="25" t="s">
        <v>194</v>
      </c>
      <c r="C166" s="25" t="s">
        <v>387</v>
      </c>
      <c r="D166" s="25">
        <v>1090000</v>
      </c>
      <c r="E166" s="25" t="s">
        <v>125</v>
      </c>
      <c r="F166" s="25" t="str">
        <f t="shared" si="4"/>
        <v>rtdc.l.rtdc.4009:itc</v>
      </c>
      <c r="G166" s="8">
        <f t="shared" si="5"/>
        <v>42570.337916666664</v>
      </c>
    </row>
    <row r="167" spans="1:7" x14ac:dyDescent="0.25">
      <c r="A167" s="8">
        <v>42571.134259259263</v>
      </c>
      <c r="B167" s="25" t="s">
        <v>494</v>
      </c>
      <c r="C167" s="25" t="s">
        <v>495</v>
      </c>
      <c r="D167" s="25">
        <v>0</v>
      </c>
      <c r="E167" s="25" t="s">
        <v>496</v>
      </c>
      <c r="F167" s="25" t="str">
        <f t="shared" si="4"/>
        <v>rtdc.l.rtdc.4005:itc</v>
      </c>
      <c r="G167" s="8">
        <f t="shared" si="5"/>
        <v>42571.134259259263</v>
      </c>
    </row>
    <row r="168" spans="1:7" x14ac:dyDescent="0.25">
      <c r="A168" s="8">
        <v>42570.403923611113</v>
      </c>
      <c r="B168" s="25" t="s">
        <v>128</v>
      </c>
      <c r="C168" s="25" t="s">
        <v>514</v>
      </c>
      <c r="D168" s="25">
        <v>1360000</v>
      </c>
      <c r="E168" s="25" t="s">
        <v>187</v>
      </c>
      <c r="F168" s="25" t="str">
        <f t="shared" si="4"/>
        <v>rtdc.l.rtdc.4044:itc</v>
      </c>
      <c r="G168" s="8">
        <f t="shared" si="5"/>
        <v>42570.403923611113</v>
      </c>
    </row>
    <row r="169" spans="1:7" x14ac:dyDescent="0.25">
      <c r="A169" s="8">
        <v>42571.057662037034</v>
      </c>
      <c r="B169" s="25" t="s">
        <v>171</v>
      </c>
      <c r="C169" s="25" t="s">
        <v>515</v>
      </c>
      <c r="D169" s="25">
        <v>1800000</v>
      </c>
      <c r="E169" s="25" t="s">
        <v>274</v>
      </c>
      <c r="F169" s="25" t="str">
        <f t="shared" si="4"/>
        <v>rtdc.l.rtdc.4015:itc</v>
      </c>
      <c r="G169" s="8">
        <f t="shared" si="5"/>
        <v>42571.057662037034</v>
      </c>
    </row>
    <row r="170" spans="1:7" x14ac:dyDescent="0.25">
      <c r="A170" s="8">
        <v>42570.461782407408</v>
      </c>
      <c r="B170" s="25" t="s">
        <v>121</v>
      </c>
      <c r="C170" s="25" t="s">
        <v>516</v>
      </c>
      <c r="D170" s="25">
        <v>1780000</v>
      </c>
      <c r="E170" s="25" t="s">
        <v>134</v>
      </c>
      <c r="F170" s="25" t="str">
        <f t="shared" si="4"/>
        <v>rtdc.l.rtdc.4030:itc</v>
      </c>
      <c r="G170" s="8">
        <f t="shared" si="5"/>
        <v>42570.461782407408</v>
      </c>
    </row>
    <row r="171" spans="1:7" x14ac:dyDescent="0.25">
      <c r="A171" s="8">
        <v>42570.996319444443</v>
      </c>
      <c r="B171" s="25" t="s">
        <v>355</v>
      </c>
      <c r="C171" s="25" t="s">
        <v>517</v>
      </c>
      <c r="D171" s="25">
        <v>1230000</v>
      </c>
      <c r="E171" s="25" t="s">
        <v>368</v>
      </c>
      <c r="F171" s="25" t="str">
        <f t="shared" si="4"/>
        <v>rtdc.l.rtdc.4011:itc</v>
      </c>
      <c r="G171" s="8">
        <f t="shared" si="5"/>
        <v>42570.996319444443</v>
      </c>
    </row>
    <row r="172" spans="1:7" x14ac:dyDescent="0.25">
      <c r="A172" s="8">
        <v>42570.484050925923</v>
      </c>
      <c r="B172" s="25" t="s">
        <v>194</v>
      </c>
      <c r="C172" s="25" t="s">
        <v>434</v>
      </c>
      <c r="D172" s="25">
        <v>1990000</v>
      </c>
      <c r="E172" s="25" t="s">
        <v>153</v>
      </c>
      <c r="F172" s="25" t="str">
        <f t="shared" si="4"/>
        <v>rtdc.l.rtdc.4009:itc</v>
      </c>
      <c r="G172" s="8">
        <f t="shared" si="5"/>
        <v>42570.484050925923</v>
      </c>
    </row>
    <row r="173" spans="1:7" x14ac:dyDescent="0.25">
      <c r="A173" s="8">
        <v>42570.870462962965</v>
      </c>
      <c r="B173" s="25" t="s">
        <v>372</v>
      </c>
      <c r="C173" s="25" t="s">
        <v>518</v>
      </c>
      <c r="D173" s="25">
        <v>1230000</v>
      </c>
      <c r="E173" s="25" t="s">
        <v>368</v>
      </c>
      <c r="F173" s="25" t="str">
        <f t="shared" si="4"/>
        <v>rtdc.l.rtdc.4012:itc</v>
      </c>
      <c r="G173" s="8">
        <f t="shared" si="5"/>
        <v>42570.870462962965</v>
      </c>
    </row>
    <row r="174" spans="1:7" x14ac:dyDescent="0.25">
      <c r="A174" s="8">
        <v>42570.487303240741</v>
      </c>
      <c r="B174" s="25" t="s">
        <v>130</v>
      </c>
      <c r="C174" s="25" t="s">
        <v>405</v>
      </c>
      <c r="D174" s="25">
        <v>1110000</v>
      </c>
      <c r="E174" s="25" t="s">
        <v>150</v>
      </c>
      <c r="F174" s="25" t="str">
        <f t="shared" si="4"/>
        <v>rtdc.l.rtdc.4008:itc</v>
      </c>
      <c r="G174" s="8">
        <f t="shared" si="5"/>
        <v>42570.487303240741</v>
      </c>
    </row>
    <row r="175" spans="1:7" x14ac:dyDescent="0.25">
      <c r="A175" s="8">
        <v>42570.863229166665</v>
      </c>
      <c r="B175" s="25" t="s">
        <v>120</v>
      </c>
      <c r="C175" s="25" t="s">
        <v>427</v>
      </c>
      <c r="D175" s="25">
        <v>1180000</v>
      </c>
      <c r="E175" s="25" t="s">
        <v>302</v>
      </c>
      <c r="F175" s="25" t="str">
        <f t="shared" si="4"/>
        <v>rtdc.l.rtdc.4029:itc</v>
      </c>
      <c r="G175" s="8">
        <f t="shared" si="5"/>
        <v>42570.863229166665</v>
      </c>
    </row>
    <row r="176" spans="1:7" x14ac:dyDescent="0.25">
      <c r="A176" s="8">
        <v>42570.50472222222</v>
      </c>
      <c r="B176" s="25" t="s">
        <v>372</v>
      </c>
      <c r="C176" s="25" t="s">
        <v>519</v>
      </c>
      <c r="D176" s="25">
        <v>880000</v>
      </c>
      <c r="E176" s="25" t="s">
        <v>273</v>
      </c>
      <c r="F176" s="25" t="str">
        <f t="shared" si="4"/>
        <v>rtdc.l.rtdc.4012:itc</v>
      </c>
      <c r="G176" s="8">
        <f t="shared" si="5"/>
        <v>42570.50472222222</v>
      </c>
    </row>
    <row r="177" spans="1:7" x14ac:dyDescent="0.25">
      <c r="A177" s="8">
        <v>42570.754155092596</v>
      </c>
      <c r="B177" s="25" t="s">
        <v>121</v>
      </c>
      <c r="C177" s="25" t="s">
        <v>520</v>
      </c>
      <c r="D177" s="25">
        <v>2000000</v>
      </c>
      <c r="E177" s="25" t="s">
        <v>149</v>
      </c>
      <c r="F177" s="25" t="str">
        <f t="shared" si="4"/>
        <v>rtdc.l.rtdc.4030:itc</v>
      </c>
      <c r="G177" s="8">
        <f t="shared" si="5"/>
        <v>42570.754155092596</v>
      </c>
    </row>
    <row r="178" spans="1:7" x14ac:dyDescent="0.25">
      <c r="A178" s="8">
        <v>42570.506388888891</v>
      </c>
      <c r="B178" s="25" t="s">
        <v>122</v>
      </c>
      <c r="C178" s="25" t="s">
        <v>407</v>
      </c>
      <c r="D178" s="25">
        <v>1520000</v>
      </c>
      <c r="E178" s="25" t="s">
        <v>282</v>
      </c>
      <c r="F178" s="25" t="str">
        <f t="shared" si="4"/>
        <v>rtdc.l.rtdc.4027:itc</v>
      </c>
      <c r="G178" s="8">
        <f t="shared" si="5"/>
        <v>42570.506388888891</v>
      </c>
    </row>
    <row r="179" spans="1:7" x14ac:dyDescent="0.25">
      <c r="A179" s="8">
        <v>42570.744074074071</v>
      </c>
      <c r="B179" s="25" t="s">
        <v>133</v>
      </c>
      <c r="C179" s="25" t="s">
        <v>420</v>
      </c>
      <c r="D179" s="25">
        <v>1290000</v>
      </c>
      <c r="E179" s="25" t="s">
        <v>304</v>
      </c>
      <c r="F179" s="25" t="str">
        <f t="shared" si="4"/>
        <v>rtdc.l.rtdc.4007:itc</v>
      </c>
      <c r="G179" s="8">
        <f t="shared" si="5"/>
        <v>42570.744074074071</v>
      </c>
    </row>
    <row r="180" spans="1:7" x14ac:dyDescent="0.25">
      <c r="A180" s="8">
        <v>42570.516840277778</v>
      </c>
      <c r="B180" s="25" t="s">
        <v>133</v>
      </c>
      <c r="C180" s="25" t="s">
        <v>521</v>
      </c>
      <c r="D180" s="25">
        <v>2020000</v>
      </c>
      <c r="E180" s="25" t="s">
        <v>199</v>
      </c>
      <c r="F180" s="25" t="str">
        <f t="shared" si="4"/>
        <v>rtdc.l.rtdc.4007:itc</v>
      </c>
      <c r="G180" s="8">
        <f t="shared" si="5"/>
        <v>42570.516840277778</v>
      </c>
    </row>
    <row r="181" spans="1:7" x14ac:dyDescent="0.25">
      <c r="A181" s="8">
        <v>42570.740925925929</v>
      </c>
      <c r="B181" s="25" t="s">
        <v>195</v>
      </c>
      <c r="C181" s="25" t="s">
        <v>522</v>
      </c>
      <c r="D181" s="25">
        <v>1990000</v>
      </c>
      <c r="E181" s="25" t="s">
        <v>153</v>
      </c>
      <c r="F181" s="25" t="str">
        <f t="shared" si="4"/>
        <v>rtdc.l.rtdc.4010:itc</v>
      </c>
      <c r="G181" s="8">
        <f t="shared" si="5"/>
        <v>42570.740925925929</v>
      </c>
    </row>
    <row r="182" spans="1:7" x14ac:dyDescent="0.25">
      <c r="A182" s="8">
        <v>42570.525439814817</v>
      </c>
      <c r="B182" s="25" t="s">
        <v>109</v>
      </c>
      <c r="C182" s="25" t="s">
        <v>411</v>
      </c>
      <c r="D182" s="25">
        <v>1740000</v>
      </c>
      <c r="E182" s="25" t="s">
        <v>278</v>
      </c>
      <c r="F182" s="25" t="str">
        <f t="shared" si="4"/>
        <v>rtdc.l.rtdc.4038:itc</v>
      </c>
      <c r="G182" s="8">
        <f t="shared" si="5"/>
        <v>42570.525439814817</v>
      </c>
    </row>
    <row r="183" spans="1:7" x14ac:dyDescent="0.25">
      <c r="A183" s="8">
        <v>42570.722905092596</v>
      </c>
      <c r="B183" s="25" t="s">
        <v>372</v>
      </c>
      <c r="C183" s="25" t="s">
        <v>422</v>
      </c>
      <c r="D183" s="25">
        <v>880000</v>
      </c>
      <c r="E183" s="25" t="s">
        <v>273</v>
      </c>
      <c r="F183" s="25" t="str">
        <f t="shared" si="4"/>
        <v>rtdc.l.rtdc.4012:itc</v>
      </c>
      <c r="G183" s="8">
        <f t="shared" si="5"/>
        <v>42570.722905092596</v>
      </c>
    </row>
    <row r="184" spans="1:7" x14ac:dyDescent="0.25">
      <c r="A184" s="8">
        <v>42570.592465277776</v>
      </c>
      <c r="B184" s="25" t="s">
        <v>133</v>
      </c>
      <c r="C184" s="25" t="s">
        <v>523</v>
      </c>
      <c r="D184" s="25">
        <v>2020000</v>
      </c>
      <c r="E184" s="25" t="s">
        <v>199</v>
      </c>
      <c r="F184" s="25" t="str">
        <f t="shared" si="4"/>
        <v>rtdc.l.rtdc.4007:itc</v>
      </c>
      <c r="G184" s="8">
        <f t="shared" si="5"/>
        <v>42570.592465277776</v>
      </c>
    </row>
    <row r="185" spans="1:7" x14ac:dyDescent="0.25">
      <c r="A185" s="8">
        <v>42570.703900462962</v>
      </c>
      <c r="B185" s="25" t="s">
        <v>194</v>
      </c>
      <c r="C185" s="25" t="s">
        <v>524</v>
      </c>
      <c r="D185" s="25">
        <v>1990000</v>
      </c>
      <c r="E185" s="25" t="s">
        <v>153</v>
      </c>
      <c r="F185" s="25" t="str">
        <f t="shared" si="4"/>
        <v>rtdc.l.rtdc.4009:itc</v>
      </c>
      <c r="G185" s="8">
        <f t="shared" si="5"/>
        <v>42570.703900462962</v>
      </c>
    </row>
    <row r="186" spans="1:7" x14ac:dyDescent="0.25">
      <c r="A186" s="8">
        <v>42570.599641203706</v>
      </c>
      <c r="B186" s="25" t="s">
        <v>122</v>
      </c>
      <c r="C186" s="25" t="s">
        <v>435</v>
      </c>
      <c r="D186" s="25">
        <v>1520000</v>
      </c>
      <c r="E186" s="25" t="s">
        <v>282</v>
      </c>
      <c r="F186" s="25" t="str">
        <f t="shared" si="4"/>
        <v>rtdc.l.rtdc.4027:itc</v>
      </c>
      <c r="G186" s="8">
        <f t="shared" si="5"/>
        <v>42570.599641203706</v>
      </c>
    </row>
    <row r="187" spans="1:7" x14ac:dyDescent="0.25">
      <c r="A187" s="8">
        <v>42570.6716087963</v>
      </c>
      <c r="B187" s="25" t="s">
        <v>109</v>
      </c>
      <c r="C187" s="25" t="s">
        <v>525</v>
      </c>
      <c r="D187" s="25">
        <v>1740000</v>
      </c>
      <c r="E187" s="25" t="s">
        <v>278</v>
      </c>
      <c r="F187" s="25" t="str">
        <f t="shared" si="4"/>
        <v>rtdc.l.rtdc.4038:itc</v>
      </c>
      <c r="G187" s="8">
        <f t="shared" si="5"/>
        <v>42570.6716087963</v>
      </c>
    </row>
    <row r="188" spans="1:7" x14ac:dyDescent="0.25">
      <c r="A188" s="8">
        <v>42570.622187499997</v>
      </c>
      <c r="B188" s="25" t="s">
        <v>128</v>
      </c>
      <c r="C188" s="25" t="s">
        <v>526</v>
      </c>
      <c r="D188" s="25">
        <v>1120000</v>
      </c>
      <c r="E188" s="25" t="s">
        <v>354</v>
      </c>
      <c r="F188" s="25" t="str">
        <f t="shared" si="4"/>
        <v>rtdc.l.rtdc.4044:itc</v>
      </c>
      <c r="G188" s="8">
        <f t="shared" si="5"/>
        <v>42570.622187499997</v>
      </c>
    </row>
    <row r="189" spans="1:7" x14ac:dyDescent="0.25">
      <c r="A189" s="8">
        <v>42570.555115740739</v>
      </c>
      <c r="B189" s="25" t="s">
        <v>130</v>
      </c>
      <c r="C189" s="25" t="s">
        <v>527</v>
      </c>
      <c r="D189" s="25">
        <v>2020000</v>
      </c>
      <c r="E189" s="25" t="s">
        <v>199</v>
      </c>
      <c r="F189" s="25" t="str">
        <f t="shared" si="4"/>
        <v>rtdc.l.rtdc.4008:itc</v>
      </c>
      <c r="G189" s="8">
        <f t="shared" si="5"/>
        <v>42570.555115740739</v>
      </c>
    </row>
    <row r="190" spans="1:7" x14ac:dyDescent="0.25">
      <c r="A190" s="8">
        <v>42570.624826388892</v>
      </c>
      <c r="B190" s="25" t="s">
        <v>130</v>
      </c>
      <c r="C190" s="25" t="s">
        <v>528</v>
      </c>
      <c r="D190" s="25">
        <v>2020000</v>
      </c>
      <c r="E190" s="25" t="s">
        <v>199</v>
      </c>
      <c r="F190" s="25" t="str">
        <f t="shared" si="4"/>
        <v>rtdc.l.rtdc.4008:itc</v>
      </c>
      <c r="G190" s="8">
        <f t="shared" si="5"/>
        <v>42570.624826388892</v>
      </c>
    </row>
    <row r="191" spans="1:7" x14ac:dyDescent="0.25">
      <c r="A191" s="8">
        <v>42570.54959490741</v>
      </c>
      <c r="B191" s="25" t="s">
        <v>128</v>
      </c>
      <c r="C191" s="25" t="s">
        <v>409</v>
      </c>
      <c r="D191" s="25">
        <v>1120000</v>
      </c>
      <c r="E191" s="25" t="s">
        <v>354</v>
      </c>
      <c r="F191" s="25" t="str">
        <f t="shared" si="4"/>
        <v>rtdc.l.rtdc.4044:itc</v>
      </c>
      <c r="G191" s="8">
        <f t="shared" si="5"/>
        <v>42570.54959490741</v>
      </c>
    </row>
    <row r="192" spans="1:7" x14ac:dyDescent="0.25">
      <c r="A192" s="8">
        <v>42570.630648148152</v>
      </c>
      <c r="B192" s="25" t="s">
        <v>194</v>
      </c>
      <c r="C192" s="25" t="s">
        <v>417</v>
      </c>
      <c r="D192" s="25">
        <v>1990000</v>
      </c>
      <c r="E192" s="25" t="s">
        <v>153</v>
      </c>
      <c r="F192" s="25" t="str">
        <f t="shared" si="4"/>
        <v>rtdc.l.rtdc.4009:itc</v>
      </c>
      <c r="G192" s="8">
        <f t="shared" si="5"/>
        <v>42570.630648148152</v>
      </c>
    </row>
    <row r="193" spans="1:7" x14ac:dyDescent="0.25">
      <c r="A193" s="8">
        <v>42570.516192129631</v>
      </c>
      <c r="B193" s="25" t="s">
        <v>131</v>
      </c>
      <c r="C193" s="25" t="s">
        <v>529</v>
      </c>
      <c r="D193" s="25">
        <v>1120000</v>
      </c>
      <c r="E193" s="25" t="s">
        <v>354</v>
      </c>
      <c r="F193" s="25" t="str">
        <f t="shared" si="4"/>
        <v>rtdc.l.rtdc.4043:itc</v>
      </c>
      <c r="G193" s="8">
        <f t="shared" si="5"/>
        <v>42570.516192129631</v>
      </c>
    </row>
    <row r="194" spans="1:7" x14ac:dyDescent="0.25">
      <c r="A194" s="8">
        <v>42570.652662037035</v>
      </c>
      <c r="B194" s="25" t="s">
        <v>122</v>
      </c>
      <c r="C194" s="25" t="s">
        <v>416</v>
      </c>
      <c r="D194" s="25">
        <v>1520000</v>
      </c>
      <c r="E194" s="25" t="s">
        <v>282</v>
      </c>
      <c r="F194" s="25" t="str">
        <f t="shared" ref="F194:F235" si="6">B194</f>
        <v>rtdc.l.rtdc.4027:itc</v>
      </c>
      <c r="G194" s="8">
        <f t="shared" ref="G194:G235" si="7">A194</f>
        <v>42570.652662037035</v>
      </c>
    </row>
    <row r="195" spans="1:7" x14ac:dyDescent="0.25">
      <c r="A195" s="8">
        <v>42570.495879629627</v>
      </c>
      <c r="B195" s="25" t="s">
        <v>120</v>
      </c>
      <c r="C195" s="25" t="s">
        <v>408</v>
      </c>
      <c r="D195" s="25">
        <v>1140000</v>
      </c>
      <c r="E195" s="25" t="s">
        <v>382</v>
      </c>
      <c r="F195" s="25" t="str">
        <f t="shared" si="6"/>
        <v>rtdc.l.rtdc.4029:itc</v>
      </c>
      <c r="G195" s="8">
        <f t="shared" si="7"/>
        <v>42570.495879629627</v>
      </c>
    </row>
    <row r="196" spans="1:7" x14ac:dyDescent="0.25">
      <c r="A196" s="8">
        <v>42570.663124999999</v>
      </c>
      <c r="B196" s="25" t="s">
        <v>133</v>
      </c>
      <c r="C196" s="25" t="s">
        <v>530</v>
      </c>
      <c r="D196" s="25">
        <v>2020000</v>
      </c>
      <c r="E196" s="25" t="s">
        <v>199</v>
      </c>
      <c r="F196" s="25" t="str">
        <f t="shared" si="6"/>
        <v>rtdc.l.rtdc.4007:itc</v>
      </c>
      <c r="G196" s="8">
        <f t="shared" si="7"/>
        <v>42570.663124999999</v>
      </c>
    </row>
    <row r="197" spans="1:7" x14ac:dyDescent="0.25">
      <c r="A197" s="8">
        <v>42570.490914351853</v>
      </c>
      <c r="B197" s="25" t="s">
        <v>119</v>
      </c>
      <c r="C197" s="25" t="s">
        <v>406</v>
      </c>
      <c r="D197" s="25">
        <v>1740000</v>
      </c>
      <c r="E197" s="25" t="s">
        <v>278</v>
      </c>
      <c r="F197" s="25" t="str">
        <f t="shared" si="6"/>
        <v>rtdc.l.rtdc.4037:itc</v>
      </c>
      <c r="G197" s="8">
        <f t="shared" si="7"/>
        <v>42570.490914351853</v>
      </c>
    </row>
    <row r="198" spans="1:7" x14ac:dyDescent="0.25">
      <c r="A198" s="8">
        <v>42570.684293981481</v>
      </c>
      <c r="B198" s="25" t="s">
        <v>355</v>
      </c>
      <c r="C198" s="25" t="s">
        <v>531</v>
      </c>
      <c r="D198" s="25">
        <v>880000</v>
      </c>
      <c r="E198" s="25" t="s">
        <v>273</v>
      </c>
      <c r="F198" s="25" t="str">
        <f t="shared" si="6"/>
        <v>rtdc.l.rtdc.4011:itc</v>
      </c>
      <c r="G198" s="8">
        <f t="shared" si="7"/>
        <v>42570.684293981481</v>
      </c>
    </row>
    <row r="199" spans="1:7" x14ac:dyDescent="0.25">
      <c r="A199" s="8">
        <v>42570.444340277776</v>
      </c>
      <c r="B199" s="25" t="s">
        <v>133</v>
      </c>
      <c r="C199" s="25" t="s">
        <v>532</v>
      </c>
      <c r="D199" s="25">
        <v>1110000</v>
      </c>
      <c r="E199" s="25" t="s">
        <v>150</v>
      </c>
      <c r="F199" s="25" t="str">
        <f t="shared" si="6"/>
        <v>rtdc.l.rtdc.4007:itc</v>
      </c>
      <c r="G199" s="8">
        <f t="shared" si="7"/>
        <v>42570.444340277776</v>
      </c>
    </row>
    <row r="200" spans="1:7" x14ac:dyDescent="0.25">
      <c r="A200" s="8">
        <v>42570.69222222222</v>
      </c>
      <c r="B200" s="25" t="s">
        <v>118</v>
      </c>
      <c r="C200" s="25" t="s">
        <v>437</v>
      </c>
      <c r="D200" s="25">
        <v>1520000</v>
      </c>
      <c r="E200" s="25" t="s">
        <v>282</v>
      </c>
      <c r="F200" s="25" t="str">
        <f t="shared" si="6"/>
        <v>rtdc.l.rtdc.4028:itc</v>
      </c>
      <c r="G200" s="8">
        <f t="shared" si="7"/>
        <v>42570.69222222222</v>
      </c>
    </row>
    <row r="201" spans="1:7" x14ac:dyDescent="0.25">
      <c r="A201" s="8">
        <v>42570.41306712963</v>
      </c>
      <c r="B201" s="25" t="s">
        <v>194</v>
      </c>
      <c r="C201" s="25" t="s">
        <v>475</v>
      </c>
      <c r="D201" s="25">
        <v>1090000</v>
      </c>
      <c r="E201" s="25" t="s">
        <v>125</v>
      </c>
      <c r="F201" s="25" t="str">
        <f t="shared" si="6"/>
        <v>rtdc.l.rtdc.4009:itc</v>
      </c>
      <c r="G201" s="8">
        <f t="shared" si="7"/>
        <v>42570.41306712963</v>
      </c>
    </row>
    <row r="202" spans="1:7" x14ac:dyDescent="0.25">
      <c r="A202" s="34">
        <v>42570.711504629631</v>
      </c>
      <c r="B202" s="25" t="s">
        <v>119</v>
      </c>
      <c r="C202" s="25" t="s">
        <v>533</v>
      </c>
      <c r="D202" s="25">
        <v>1740000</v>
      </c>
      <c r="E202" s="25" t="s">
        <v>278</v>
      </c>
      <c r="F202" s="25" t="str">
        <f t="shared" si="6"/>
        <v>rtdc.l.rtdc.4037:itc</v>
      </c>
      <c r="G202" s="8">
        <f t="shared" si="7"/>
        <v>42570.711504629631</v>
      </c>
    </row>
    <row r="203" spans="1:7" x14ac:dyDescent="0.25">
      <c r="A203" s="8">
        <v>42570.390162037038</v>
      </c>
      <c r="B203" s="25" t="s">
        <v>121</v>
      </c>
      <c r="C203" s="25" t="s">
        <v>381</v>
      </c>
      <c r="D203" s="25">
        <v>1780000</v>
      </c>
      <c r="E203" s="25" t="s">
        <v>134</v>
      </c>
      <c r="F203" s="25" t="str">
        <f t="shared" si="6"/>
        <v>rtdc.l.rtdc.4030:itc</v>
      </c>
      <c r="G203" s="8">
        <f t="shared" si="7"/>
        <v>42570.390162037038</v>
      </c>
    </row>
    <row r="204" spans="1:7" x14ac:dyDescent="0.25">
      <c r="A204" s="8">
        <v>42570.733483796299</v>
      </c>
      <c r="B204" s="25" t="s">
        <v>131</v>
      </c>
      <c r="C204" s="25" t="s">
        <v>534</v>
      </c>
      <c r="D204" s="25">
        <v>1120000</v>
      </c>
      <c r="E204" s="25" t="s">
        <v>354</v>
      </c>
      <c r="F204" s="25" t="str">
        <f t="shared" si="6"/>
        <v>rtdc.l.rtdc.4043:itc</v>
      </c>
      <c r="G204" s="8">
        <f t="shared" si="7"/>
        <v>42570.733483796299</v>
      </c>
    </row>
    <row r="205" spans="1:7" x14ac:dyDescent="0.25">
      <c r="A205" s="8">
        <v>42570.356678240743</v>
      </c>
      <c r="B205" s="25" t="s">
        <v>122</v>
      </c>
      <c r="C205" s="25" t="s">
        <v>388</v>
      </c>
      <c r="D205" s="25">
        <v>1100000</v>
      </c>
      <c r="E205" s="25" t="s">
        <v>281</v>
      </c>
      <c r="F205" s="25" t="str">
        <f t="shared" si="6"/>
        <v>rtdc.l.rtdc.4027:itc</v>
      </c>
      <c r="G205" s="8">
        <f t="shared" si="7"/>
        <v>42570.356678240743</v>
      </c>
    </row>
    <row r="206" spans="1:7" x14ac:dyDescent="0.25">
      <c r="A206" s="8">
        <v>42570.747974537036</v>
      </c>
      <c r="B206" s="25" t="s">
        <v>109</v>
      </c>
      <c r="C206" s="25" t="s">
        <v>490</v>
      </c>
      <c r="D206" s="25">
        <v>2020000</v>
      </c>
      <c r="E206" s="25" t="s">
        <v>199</v>
      </c>
      <c r="F206" s="25" t="str">
        <f t="shared" si="6"/>
        <v>rtdc.l.rtdc.4038:itc</v>
      </c>
      <c r="G206" s="8">
        <f t="shared" si="7"/>
        <v>42570.747974537036</v>
      </c>
    </row>
    <row r="207" spans="1:7" x14ac:dyDescent="0.25">
      <c r="A207" s="8">
        <v>42570.356203703705</v>
      </c>
      <c r="B207" s="25" t="s">
        <v>372</v>
      </c>
      <c r="C207" s="25" t="s">
        <v>390</v>
      </c>
      <c r="D207" s="25">
        <v>1260000</v>
      </c>
      <c r="E207" s="25" t="s">
        <v>279</v>
      </c>
      <c r="F207" s="25" t="str">
        <f t="shared" si="6"/>
        <v>rtdc.l.rtdc.4012:itc</v>
      </c>
      <c r="G207" s="8">
        <f t="shared" si="7"/>
        <v>42570.356203703705</v>
      </c>
    </row>
    <row r="208" spans="1:7" x14ac:dyDescent="0.25">
      <c r="A208" s="8">
        <v>42570.763090277775</v>
      </c>
      <c r="B208" s="25" t="s">
        <v>118</v>
      </c>
      <c r="C208" s="25" t="s">
        <v>423</v>
      </c>
      <c r="D208" s="25">
        <v>1140000</v>
      </c>
      <c r="E208" s="25" t="s">
        <v>382</v>
      </c>
      <c r="F208" s="25" t="str">
        <f t="shared" si="6"/>
        <v>rtdc.l.rtdc.4028:itc</v>
      </c>
      <c r="G208" s="8">
        <f t="shared" si="7"/>
        <v>42570.763090277775</v>
      </c>
    </row>
    <row r="209" spans="1:7" x14ac:dyDescent="0.25">
      <c r="A209" s="8">
        <v>42570.349502314813</v>
      </c>
      <c r="B209" s="25" t="s">
        <v>120</v>
      </c>
      <c r="C209" s="25" t="s">
        <v>389</v>
      </c>
      <c r="D209" s="25">
        <v>1780000</v>
      </c>
      <c r="E209" s="25" t="s">
        <v>134</v>
      </c>
      <c r="F209" s="25" t="str">
        <f t="shared" si="6"/>
        <v>rtdc.l.rtdc.4029:itc</v>
      </c>
      <c r="G209" s="8">
        <f t="shared" si="7"/>
        <v>42570.349502314813</v>
      </c>
    </row>
    <row r="210" spans="1:7" x14ac:dyDescent="0.25">
      <c r="A210" s="8">
        <v>42570.853206018517</v>
      </c>
      <c r="B210" s="25" t="s">
        <v>172</v>
      </c>
      <c r="C210" s="25" t="s">
        <v>535</v>
      </c>
      <c r="D210" s="25">
        <v>1800000</v>
      </c>
      <c r="E210" s="25" t="s">
        <v>274</v>
      </c>
      <c r="F210" s="25" t="str">
        <f t="shared" si="6"/>
        <v>rtdc.l.rtdc.4016:itc</v>
      </c>
      <c r="G210" s="8">
        <f t="shared" si="7"/>
        <v>42570.853206018517</v>
      </c>
    </row>
    <row r="211" spans="1:7" x14ac:dyDescent="0.25">
      <c r="A211" s="8">
        <v>42570.320810185185</v>
      </c>
      <c r="B211" s="25" t="s">
        <v>109</v>
      </c>
      <c r="C211" s="25" t="s">
        <v>392</v>
      </c>
      <c r="D211" s="25">
        <v>900000</v>
      </c>
      <c r="E211" s="25" t="s">
        <v>124</v>
      </c>
      <c r="F211" s="25" t="str">
        <f t="shared" si="6"/>
        <v>rtdc.l.rtdc.4038:itc</v>
      </c>
      <c r="G211" s="8">
        <f t="shared" si="7"/>
        <v>42570.320810185185</v>
      </c>
    </row>
    <row r="212" spans="1:7" x14ac:dyDescent="0.25">
      <c r="A212" s="8">
        <v>42570.908148148148</v>
      </c>
      <c r="B212" s="25" t="s">
        <v>121</v>
      </c>
      <c r="C212" s="25" t="s">
        <v>536</v>
      </c>
      <c r="D212" s="25">
        <v>1180000</v>
      </c>
      <c r="E212" s="25" t="s">
        <v>302</v>
      </c>
      <c r="F212" s="25" t="str">
        <f t="shared" si="6"/>
        <v>rtdc.l.rtdc.4030:itc</v>
      </c>
      <c r="G212" s="8">
        <f t="shared" si="7"/>
        <v>42570.908148148148</v>
      </c>
    </row>
    <row r="213" spans="1:7" x14ac:dyDescent="0.25">
      <c r="A213" s="8">
        <v>42570.29791666667</v>
      </c>
      <c r="B213" s="25" t="s">
        <v>195</v>
      </c>
      <c r="C213" s="25" t="s">
        <v>376</v>
      </c>
      <c r="D213" s="25">
        <v>1090000</v>
      </c>
      <c r="E213" s="25" t="s">
        <v>125</v>
      </c>
      <c r="F213" s="25" t="str">
        <f t="shared" si="6"/>
        <v>rtdc.l.rtdc.4010:itc</v>
      </c>
      <c r="G213" s="8">
        <f t="shared" si="7"/>
        <v>42570.29791666667</v>
      </c>
    </row>
    <row r="214" spans="1:7" x14ac:dyDescent="0.25">
      <c r="A214" s="8">
        <v>42570.930185185185</v>
      </c>
      <c r="B214" s="25" t="s">
        <v>130</v>
      </c>
      <c r="C214" s="25" t="s">
        <v>537</v>
      </c>
      <c r="D214" s="25">
        <v>1290000</v>
      </c>
      <c r="E214" s="25" t="s">
        <v>304</v>
      </c>
      <c r="F214" s="25" t="str">
        <f t="shared" si="6"/>
        <v>rtdc.l.rtdc.4008:itc</v>
      </c>
      <c r="G214" s="8">
        <f t="shared" si="7"/>
        <v>42570.930185185185</v>
      </c>
    </row>
    <row r="215" spans="1:7" x14ac:dyDescent="0.25">
      <c r="A215" s="8">
        <v>42570.280925925923</v>
      </c>
      <c r="B215" s="25" t="s">
        <v>131</v>
      </c>
      <c r="C215" s="25" t="s">
        <v>393</v>
      </c>
      <c r="D215" s="25">
        <v>1360000</v>
      </c>
      <c r="E215" s="25" t="s">
        <v>187</v>
      </c>
      <c r="F215" s="25" t="str">
        <f t="shared" si="6"/>
        <v>rtdc.l.rtdc.4043:itc</v>
      </c>
      <c r="G215" s="8">
        <f t="shared" si="7"/>
        <v>42570.280925925923</v>
      </c>
    </row>
    <row r="216" spans="1:7" x14ac:dyDescent="0.25">
      <c r="A216" s="8">
        <v>42570.973055555558</v>
      </c>
      <c r="B216" s="25" t="s">
        <v>171</v>
      </c>
      <c r="C216" s="25" t="s">
        <v>428</v>
      </c>
      <c r="D216" s="25">
        <v>1800000</v>
      </c>
      <c r="E216" s="25" t="s">
        <v>274</v>
      </c>
      <c r="F216" s="25" t="str">
        <f t="shared" si="6"/>
        <v>rtdc.l.rtdc.4015:itc</v>
      </c>
      <c r="G216" s="8">
        <f t="shared" si="7"/>
        <v>42570.973055555558</v>
      </c>
    </row>
    <row r="217" spans="1:7" x14ac:dyDescent="0.25">
      <c r="A217" s="8">
        <v>42570.27920138889</v>
      </c>
      <c r="B217" s="25" t="s">
        <v>122</v>
      </c>
      <c r="C217" s="25" t="s">
        <v>394</v>
      </c>
      <c r="D217" s="25">
        <v>1100000</v>
      </c>
      <c r="E217" s="25" t="s">
        <v>281</v>
      </c>
      <c r="F217" s="25" t="str">
        <f t="shared" si="6"/>
        <v>rtdc.l.rtdc.4027:itc</v>
      </c>
      <c r="G217" s="8">
        <f t="shared" si="7"/>
        <v>42570.27920138889</v>
      </c>
    </row>
    <row r="218" spans="1:7" x14ac:dyDescent="0.25">
      <c r="A218" s="8">
        <v>42570.994537037041</v>
      </c>
      <c r="B218" s="25" t="s">
        <v>171</v>
      </c>
      <c r="C218" s="25" t="s">
        <v>428</v>
      </c>
      <c r="D218" s="25">
        <v>1800000</v>
      </c>
      <c r="E218" s="25" t="s">
        <v>274</v>
      </c>
      <c r="F218" s="25" t="str">
        <f t="shared" si="6"/>
        <v>rtdc.l.rtdc.4015:itc</v>
      </c>
      <c r="G218" s="8">
        <f t="shared" si="7"/>
        <v>42570.994537037041</v>
      </c>
    </row>
    <row r="219" spans="1:7" x14ac:dyDescent="0.25">
      <c r="A219" s="8">
        <v>42570.267175925925</v>
      </c>
      <c r="B219" s="25" t="s">
        <v>120</v>
      </c>
      <c r="C219" s="25" t="s">
        <v>395</v>
      </c>
      <c r="D219" s="25">
        <v>1780000</v>
      </c>
      <c r="E219" s="25" t="s">
        <v>134</v>
      </c>
      <c r="F219" s="25" t="str">
        <f t="shared" si="6"/>
        <v>rtdc.l.rtdc.4029:itc</v>
      </c>
      <c r="G219" s="8">
        <f t="shared" si="7"/>
        <v>42570.267175925925</v>
      </c>
    </row>
    <row r="220" spans="1:7" x14ac:dyDescent="0.25">
      <c r="A220" s="8">
        <v>42571.167175925926</v>
      </c>
      <c r="B220" s="25" t="s">
        <v>122</v>
      </c>
      <c r="C220" s="25" t="s">
        <v>538</v>
      </c>
      <c r="D220" s="25">
        <v>1780000</v>
      </c>
      <c r="E220" s="25" t="s">
        <v>134</v>
      </c>
      <c r="F220" s="25" t="str">
        <f t="shared" si="6"/>
        <v>rtdc.l.rtdc.4027:itc</v>
      </c>
      <c r="G220" s="8">
        <f t="shared" si="7"/>
        <v>42571.167175925926</v>
      </c>
    </row>
    <row r="221" spans="1:7" x14ac:dyDescent="0.25">
      <c r="A221" s="8">
        <v>42570.247893518521</v>
      </c>
      <c r="B221" s="25" t="s">
        <v>128</v>
      </c>
      <c r="C221" s="25" t="s">
        <v>396</v>
      </c>
      <c r="D221" s="25">
        <v>1360000</v>
      </c>
      <c r="E221" s="25" t="s">
        <v>187</v>
      </c>
      <c r="F221" s="25" t="str">
        <f t="shared" si="6"/>
        <v>rtdc.l.rtdc.4044:itc</v>
      </c>
      <c r="G221" s="8">
        <f t="shared" si="7"/>
        <v>42570.247893518521</v>
      </c>
    </row>
    <row r="222" spans="1:7" x14ac:dyDescent="0.25">
      <c r="A222" s="8">
        <v>42571.210682870369</v>
      </c>
      <c r="B222" s="25" t="s">
        <v>82</v>
      </c>
      <c r="C222" s="25" t="s">
        <v>539</v>
      </c>
      <c r="D222" s="25">
        <v>2010000</v>
      </c>
      <c r="E222" s="25" t="s">
        <v>152</v>
      </c>
      <c r="F222" s="25" t="str">
        <f t="shared" si="6"/>
        <v>rtdc.l.rtdc.4042:itc</v>
      </c>
      <c r="G222" s="8">
        <f t="shared" si="7"/>
        <v>42571.210682870369</v>
      </c>
    </row>
    <row r="223" spans="1:7" x14ac:dyDescent="0.25">
      <c r="A223" s="8">
        <v>42569.954571759263</v>
      </c>
      <c r="B223" s="25" t="s">
        <v>116</v>
      </c>
      <c r="C223" s="25" t="s">
        <v>341</v>
      </c>
      <c r="D223" s="25">
        <v>1800000</v>
      </c>
      <c r="E223" s="25" t="s">
        <v>274</v>
      </c>
      <c r="F223" s="25" t="str">
        <f t="shared" si="6"/>
        <v>rtdc.l.rtdc.4013:itc</v>
      </c>
      <c r="G223" s="8">
        <f t="shared" si="7"/>
        <v>42569.954571759263</v>
      </c>
    </row>
    <row r="224" spans="1:7" x14ac:dyDescent="0.25">
      <c r="A224" s="8">
        <v>42571.246747685182</v>
      </c>
      <c r="B224" t="s">
        <v>195</v>
      </c>
      <c r="C224" t="s">
        <v>540</v>
      </c>
      <c r="D224">
        <v>900000</v>
      </c>
      <c r="E224" t="s">
        <v>124</v>
      </c>
      <c r="F224" s="25" t="str">
        <f t="shared" si="6"/>
        <v>rtdc.l.rtdc.4010:itc</v>
      </c>
      <c r="G224" s="8">
        <f t="shared" si="7"/>
        <v>42571.246747685182</v>
      </c>
    </row>
    <row r="225" spans="1:7" x14ac:dyDescent="0.25">
      <c r="A225" s="8">
        <v>42569.934907407405</v>
      </c>
      <c r="B225" t="s">
        <v>135</v>
      </c>
      <c r="C225" t="s">
        <v>343</v>
      </c>
      <c r="D225">
        <v>1230000</v>
      </c>
      <c r="E225" t="s">
        <v>368</v>
      </c>
      <c r="F225" s="25" t="str">
        <f t="shared" si="6"/>
        <v>rtdc.l.rtdc.4040:itc</v>
      </c>
      <c r="G225" s="8">
        <f t="shared" si="7"/>
        <v>42569.934907407405</v>
      </c>
    </row>
    <row r="226" spans="1:7" x14ac:dyDescent="0.25">
      <c r="A226" s="8">
        <v>42571.319143518522</v>
      </c>
      <c r="B226" t="s">
        <v>195</v>
      </c>
      <c r="C226" t="s">
        <v>541</v>
      </c>
      <c r="D226">
        <v>900000</v>
      </c>
      <c r="E226" t="s">
        <v>124</v>
      </c>
      <c r="F226" s="25" t="str">
        <f t="shared" si="6"/>
        <v>rtdc.l.rtdc.4010:itc</v>
      </c>
      <c r="G226" s="8">
        <f t="shared" si="7"/>
        <v>42571.319143518522</v>
      </c>
    </row>
    <row r="227" spans="1:7" x14ac:dyDescent="0.25">
      <c r="A227" s="8">
        <v>42569.930208333331</v>
      </c>
      <c r="B227" t="s">
        <v>171</v>
      </c>
      <c r="C227" t="s">
        <v>339</v>
      </c>
      <c r="D227">
        <v>1810000</v>
      </c>
      <c r="E227" t="s">
        <v>141</v>
      </c>
      <c r="F227" s="25" t="str">
        <f t="shared" si="6"/>
        <v>rtdc.l.rtdc.4015:itc</v>
      </c>
      <c r="G227" s="8">
        <f t="shared" si="7"/>
        <v>42569.930208333331</v>
      </c>
    </row>
    <row r="228" spans="1:7" x14ac:dyDescent="0.25">
      <c r="A228" s="8">
        <v>42571.328182870369</v>
      </c>
      <c r="B228" t="s">
        <v>109</v>
      </c>
      <c r="C228" t="s">
        <v>542</v>
      </c>
      <c r="D228">
        <v>1090000</v>
      </c>
      <c r="E228" t="s">
        <v>125</v>
      </c>
      <c r="F228" s="25" t="str">
        <f t="shared" si="6"/>
        <v>rtdc.l.rtdc.4038:itc</v>
      </c>
      <c r="G228" s="8">
        <f t="shared" si="7"/>
        <v>42571.328182870369</v>
      </c>
    </row>
    <row r="229" spans="1:7" x14ac:dyDescent="0.25">
      <c r="A229" s="8">
        <v>42569.880810185183</v>
      </c>
      <c r="B229" t="s">
        <v>140</v>
      </c>
      <c r="C229" t="s">
        <v>334</v>
      </c>
      <c r="D229">
        <v>1230000</v>
      </c>
      <c r="E229" t="s">
        <v>368</v>
      </c>
      <c r="F229" s="25" t="str">
        <f t="shared" si="6"/>
        <v>rtdc.l.rtdc.4039:itc</v>
      </c>
      <c r="G229" s="8">
        <f t="shared" si="7"/>
        <v>42569.880810185183</v>
      </c>
    </row>
    <row r="230" spans="1:7" x14ac:dyDescent="0.25">
      <c r="A230" s="8">
        <v>42571.366388888891</v>
      </c>
      <c r="B230" t="s">
        <v>119</v>
      </c>
      <c r="C230" t="s">
        <v>543</v>
      </c>
      <c r="D230">
        <v>1090000</v>
      </c>
      <c r="E230" t="s">
        <v>125</v>
      </c>
      <c r="F230" s="25" t="str">
        <f t="shared" si="6"/>
        <v>rtdc.l.rtdc.4037:itc</v>
      </c>
      <c r="G230" s="8">
        <f t="shared" si="7"/>
        <v>42571.366388888891</v>
      </c>
    </row>
    <row r="231" spans="1:7" x14ac:dyDescent="0.25">
      <c r="A231" s="8">
        <v>42570.402129629627</v>
      </c>
      <c r="B231" t="s">
        <v>118</v>
      </c>
      <c r="C231" t="s">
        <v>544</v>
      </c>
      <c r="D231">
        <v>1100000</v>
      </c>
      <c r="E231" t="s">
        <v>281</v>
      </c>
      <c r="F231" s="25" t="str">
        <f t="shared" si="6"/>
        <v>rtdc.l.rtdc.4028:itc</v>
      </c>
      <c r="G231" s="8">
        <f t="shared" si="7"/>
        <v>42570.402129629627</v>
      </c>
    </row>
    <row r="232" spans="1:7" x14ac:dyDescent="0.25">
      <c r="F232" s="25">
        <f t="shared" si="6"/>
        <v>0</v>
      </c>
      <c r="G232" s="8">
        <f t="shared" si="7"/>
        <v>0</v>
      </c>
    </row>
    <row r="233" spans="1:7" x14ac:dyDescent="0.25">
      <c r="A233" s="8">
        <v>42568.99417824074</v>
      </c>
      <c r="B233" t="s">
        <v>128</v>
      </c>
      <c r="C233" t="s">
        <v>300</v>
      </c>
      <c r="D233">
        <v>1810000</v>
      </c>
      <c r="E233" t="s">
        <v>141</v>
      </c>
      <c r="F233" s="25" t="str">
        <f t="shared" si="6"/>
        <v>rtdc.l.rtdc.4044:itc</v>
      </c>
      <c r="G233" s="8">
        <f t="shared" si="7"/>
        <v>42568.99417824074</v>
      </c>
    </row>
    <row r="234" spans="1:7" x14ac:dyDescent="0.25">
      <c r="A234" s="8">
        <v>42570.262442129628</v>
      </c>
      <c r="B234" t="s">
        <v>194</v>
      </c>
      <c r="C234" t="s">
        <v>399</v>
      </c>
      <c r="D234">
        <v>1090000</v>
      </c>
      <c r="E234" t="s">
        <v>125</v>
      </c>
      <c r="F234" s="25" t="str">
        <f t="shared" si="6"/>
        <v>rtdc.l.rtdc.4009:itc</v>
      </c>
      <c r="G234" s="8">
        <f t="shared" si="7"/>
        <v>42570.262442129628</v>
      </c>
    </row>
    <row r="235" spans="1:7" x14ac:dyDescent="0.25">
      <c r="A235" s="8">
        <v>42568.991342592592</v>
      </c>
      <c r="B235" t="s">
        <v>119</v>
      </c>
      <c r="C235" t="s">
        <v>303</v>
      </c>
      <c r="D235">
        <v>1180000</v>
      </c>
      <c r="E235" t="s">
        <v>302</v>
      </c>
      <c r="F235" s="25" t="str">
        <f t="shared" si="6"/>
        <v>rtdc.l.rtdc.4037:itc</v>
      </c>
      <c r="G235" s="8">
        <f t="shared" si="7"/>
        <v>42568.991342592592</v>
      </c>
    </row>
    <row r="236" spans="1:7" x14ac:dyDescent="0.25">
      <c r="A236" s="8">
        <v>42570.313263888886</v>
      </c>
      <c r="B236" t="s">
        <v>109</v>
      </c>
      <c r="C236" t="s">
        <v>392</v>
      </c>
      <c r="D236">
        <v>900000</v>
      </c>
      <c r="E236" t="s">
        <v>124</v>
      </c>
      <c r="F236" s="25" t="str">
        <f t="shared" ref="F236:F265" si="8">B236</f>
        <v>rtdc.l.rtdc.4038:itc</v>
      </c>
      <c r="G236" s="8">
        <f t="shared" ref="G236:G265" si="9">A236</f>
        <v>42570.313263888886</v>
      </c>
    </row>
    <row r="237" spans="1:7" x14ac:dyDescent="0.25">
      <c r="A237" s="8">
        <v>42568.973032407404</v>
      </c>
      <c r="B237" t="s">
        <v>67</v>
      </c>
      <c r="C237" t="s">
        <v>299</v>
      </c>
      <c r="D237">
        <v>1800000</v>
      </c>
      <c r="E237" t="s">
        <v>274</v>
      </c>
      <c r="F237" s="25" t="str">
        <f t="shared" si="8"/>
        <v>rtdc.l.rtdc.4032:itc</v>
      </c>
      <c r="G237" s="8">
        <f t="shared" si="9"/>
        <v>42568.973032407404</v>
      </c>
    </row>
    <row r="238" spans="1:7" x14ac:dyDescent="0.25">
      <c r="A238" s="8">
        <v>42570.326585648145</v>
      </c>
      <c r="B238" t="s">
        <v>128</v>
      </c>
      <c r="C238" t="s">
        <v>400</v>
      </c>
      <c r="D238">
        <v>1360000</v>
      </c>
      <c r="E238" t="s">
        <v>187</v>
      </c>
      <c r="F238" s="25" t="str">
        <f t="shared" si="8"/>
        <v>rtdc.l.rtdc.4044:itc</v>
      </c>
      <c r="G238" s="8">
        <f t="shared" si="9"/>
        <v>42570.326585648145</v>
      </c>
    </row>
    <row r="239" spans="1:7" x14ac:dyDescent="0.25">
      <c r="A239" s="8">
        <v>42568.909328703703</v>
      </c>
      <c r="B239" t="s">
        <v>119</v>
      </c>
      <c r="C239" t="s">
        <v>298</v>
      </c>
      <c r="D239">
        <v>1180000</v>
      </c>
      <c r="E239" t="s">
        <v>302</v>
      </c>
      <c r="F239" s="25" t="str">
        <f t="shared" si="8"/>
        <v>rtdc.l.rtdc.4037:itc</v>
      </c>
      <c r="G239" s="8">
        <f t="shared" si="9"/>
        <v>42568.909328703703</v>
      </c>
    </row>
    <row r="240" spans="1:7" x14ac:dyDescent="0.25">
      <c r="A240" s="8">
        <v>42570.337916666664</v>
      </c>
      <c r="B240" t="s">
        <v>194</v>
      </c>
      <c r="C240" t="s">
        <v>387</v>
      </c>
      <c r="D240">
        <v>1090000</v>
      </c>
      <c r="E240" t="s">
        <v>125</v>
      </c>
      <c r="F240" s="25" t="str">
        <f t="shared" si="8"/>
        <v>rtdc.l.rtdc.4009:itc</v>
      </c>
      <c r="G240" s="8">
        <f t="shared" si="9"/>
        <v>42570.337916666664</v>
      </c>
    </row>
    <row r="241" spans="1:7" x14ac:dyDescent="0.25">
      <c r="A241" s="8">
        <v>42569.318402777775</v>
      </c>
      <c r="B241" t="s">
        <v>75</v>
      </c>
      <c r="C241" t="s">
        <v>316</v>
      </c>
      <c r="D241">
        <v>1110000</v>
      </c>
      <c r="E241" t="s">
        <v>150</v>
      </c>
      <c r="F241" s="25" t="str">
        <f t="shared" si="8"/>
        <v>rtdc.l.rtdc.4017:itc</v>
      </c>
      <c r="G241" s="8">
        <f t="shared" si="9"/>
        <v>42569.318402777775</v>
      </c>
    </row>
    <row r="242" spans="1:7" x14ac:dyDescent="0.25">
      <c r="F242" s="25">
        <f t="shared" si="8"/>
        <v>0</v>
      </c>
      <c r="G242" s="8">
        <f t="shared" si="9"/>
        <v>0</v>
      </c>
    </row>
    <row r="243" spans="1:7" x14ac:dyDescent="0.25">
      <c r="A243" s="8">
        <v>42568.967280092591</v>
      </c>
      <c r="B243" t="s">
        <v>82</v>
      </c>
      <c r="C243" t="s">
        <v>307</v>
      </c>
      <c r="D243">
        <v>1290000</v>
      </c>
      <c r="E243" t="s">
        <v>304</v>
      </c>
      <c r="F243" s="25" t="str">
        <f t="shared" si="8"/>
        <v>rtdc.l.rtdc.4042:itc</v>
      </c>
      <c r="G243" s="8">
        <f t="shared" si="9"/>
        <v>42568.967280092591</v>
      </c>
    </row>
    <row r="244" spans="1:7" x14ac:dyDescent="0.25">
      <c r="A244" s="8">
        <v>42568.327615740738</v>
      </c>
      <c r="B244" t="s">
        <v>200</v>
      </c>
      <c r="C244" t="s">
        <v>308</v>
      </c>
      <c r="D244">
        <v>1830000</v>
      </c>
      <c r="E244" t="s">
        <v>126</v>
      </c>
      <c r="F244" s="25" t="str">
        <f t="shared" si="8"/>
        <v>rtdc.l.rtdc.4041:itc</v>
      </c>
      <c r="G244" s="8">
        <f t="shared" si="9"/>
        <v>42568.327615740738</v>
      </c>
    </row>
    <row r="245" spans="1:7" x14ac:dyDescent="0.25">
      <c r="A245" s="8">
        <v>42568.992881944447</v>
      </c>
      <c r="B245" t="s">
        <v>128</v>
      </c>
      <c r="C245" t="s">
        <v>300</v>
      </c>
      <c r="D245">
        <v>1810000</v>
      </c>
      <c r="E245" t="s">
        <v>141</v>
      </c>
      <c r="F245" s="25" t="str">
        <f t="shared" si="8"/>
        <v>rtdc.l.rtdc.4044:itc</v>
      </c>
      <c r="G245" s="8">
        <f t="shared" si="9"/>
        <v>42568.992881944447</v>
      </c>
    </row>
    <row r="246" spans="1:7" x14ac:dyDescent="0.25">
      <c r="A246" s="8">
        <v>42568.214768518519</v>
      </c>
      <c r="B246" t="s">
        <v>131</v>
      </c>
      <c r="C246" t="s">
        <v>309</v>
      </c>
      <c r="D246">
        <v>2010000</v>
      </c>
      <c r="E246" t="s">
        <v>152</v>
      </c>
      <c r="F246" s="25" t="str">
        <f t="shared" si="8"/>
        <v>rtdc.l.rtdc.4043:itc</v>
      </c>
      <c r="G246" s="8">
        <f t="shared" si="9"/>
        <v>42568.214768518519</v>
      </c>
    </row>
    <row r="247" spans="1:7" x14ac:dyDescent="0.25">
      <c r="A247" s="8">
        <v>42569.018958333334</v>
      </c>
      <c r="B247" t="s">
        <v>76</v>
      </c>
      <c r="C247" t="s">
        <v>272</v>
      </c>
      <c r="D247">
        <v>1800000</v>
      </c>
      <c r="E247" t="s">
        <v>274</v>
      </c>
      <c r="F247" s="25" t="str">
        <f t="shared" si="8"/>
        <v>rtdc.l.rtdc.4031:itc</v>
      </c>
      <c r="G247" s="8">
        <f t="shared" si="9"/>
        <v>42569.018958333334</v>
      </c>
    </row>
    <row r="248" spans="1:7" x14ac:dyDescent="0.25">
      <c r="A248" s="8">
        <v>42568.205706018518</v>
      </c>
      <c r="B248" t="s">
        <v>194</v>
      </c>
      <c r="C248" t="s">
        <v>310</v>
      </c>
      <c r="D248">
        <v>1460000</v>
      </c>
      <c r="E248" t="s">
        <v>110</v>
      </c>
      <c r="F248" s="25" t="str">
        <f t="shared" si="8"/>
        <v>rtdc.l.rtdc.4009:itc</v>
      </c>
      <c r="G248" s="8">
        <f t="shared" si="9"/>
        <v>42568.205706018518</v>
      </c>
    </row>
    <row r="249" spans="1:7" x14ac:dyDescent="0.25">
      <c r="A249" s="8">
        <v>42569.049143518518</v>
      </c>
      <c r="B249" t="s">
        <v>131</v>
      </c>
      <c r="C249" t="s">
        <v>301</v>
      </c>
      <c r="D249">
        <v>1810000</v>
      </c>
      <c r="E249" t="s">
        <v>141</v>
      </c>
      <c r="F249" s="25" t="str">
        <f t="shared" si="8"/>
        <v>rtdc.l.rtdc.4043:itc</v>
      </c>
      <c r="G249" s="8">
        <f t="shared" si="9"/>
        <v>42569.049143518518</v>
      </c>
    </row>
    <row r="250" spans="1:7" x14ac:dyDescent="0.25">
      <c r="A250" s="8">
        <v>42568.170717592591</v>
      </c>
      <c r="B250" t="s">
        <v>133</v>
      </c>
      <c r="C250" t="s">
        <v>297</v>
      </c>
      <c r="D250">
        <v>2010000</v>
      </c>
      <c r="E250" t="s">
        <v>152</v>
      </c>
      <c r="F250" s="25" t="str">
        <f t="shared" si="8"/>
        <v>rtdc.l.rtdc.4007:itc</v>
      </c>
      <c r="G250" s="8">
        <f t="shared" si="9"/>
        <v>42568.170717592591</v>
      </c>
    </row>
    <row r="251" spans="1:7" x14ac:dyDescent="0.25">
      <c r="A251" s="8">
        <v>42569.070821759262</v>
      </c>
      <c r="B251" t="s">
        <v>67</v>
      </c>
      <c r="C251" t="s">
        <v>306</v>
      </c>
      <c r="D251">
        <v>1800000</v>
      </c>
      <c r="E251" t="s">
        <v>274</v>
      </c>
      <c r="F251" s="25" t="str">
        <f t="shared" si="8"/>
        <v>rtdc.l.rtdc.4032:itc</v>
      </c>
      <c r="G251" s="8">
        <f t="shared" si="9"/>
        <v>42569.070821759262</v>
      </c>
    </row>
    <row r="252" spans="1:7" x14ac:dyDescent="0.25">
      <c r="A252" s="8">
        <v>42568.601736111108</v>
      </c>
      <c r="B252" t="s">
        <v>122</v>
      </c>
      <c r="C252" t="s">
        <v>305</v>
      </c>
      <c r="D252">
        <v>880000</v>
      </c>
      <c r="E252" t="s">
        <v>273</v>
      </c>
      <c r="F252" s="25" t="str">
        <f t="shared" si="8"/>
        <v>rtdc.l.rtdc.4027:itc</v>
      </c>
      <c r="G252" s="8">
        <f t="shared" si="9"/>
        <v>42568.601736111108</v>
      </c>
    </row>
    <row r="253" spans="1:7" x14ac:dyDescent="0.25">
      <c r="F253" s="25">
        <f t="shared" si="8"/>
        <v>0</v>
      </c>
      <c r="G253" s="8">
        <f t="shared" si="9"/>
        <v>0</v>
      </c>
    </row>
    <row r="254" spans="1:7" x14ac:dyDescent="0.25">
      <c r="A254" s="8">
        <v>42567.294629629629</v>
      </c>
      <c r="B254" t="s">
        <v>135</v>
      </c>
      <c r="C254" t="s">
        <v>283</v>
      </c>
      <c r="D254">
        <v>1830000</v>
      </c>
      <c r="E254" t="s">
        <v>126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277</v>
      </c>
      <c r="D255">
        <v>1800000</v>
      </c>
      <c r="E255" t="s">
        <v>274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288</v>
      </c>
      <c r="D256">
        <v>1360000</v>
      </c>
      <c r="E256" t="s">
        <v>187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140</v>
      </c>
      <c r="C257" t="s">
        <v>275</v>
      </c>
      <c r="D257">
        <v>1770000</v>
      </c>
      <c r="E257" t="s">
        <v>276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82</v>
      </c>
      <c r="C258" t="s">
        <v>289</v>
      </c>
      <c r="D258">
        <v>1190000</v>
      </c>
      <c r="E258" t="s">
        <v>198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287</v>
      </c>
      <c r="D259">
        <v>1300000</v>
      </c>
      <c r="E259" t="s">
        <v>217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280</v>
      </c>
      <c r="D260">
        <v>1260000</v>
      </c>
      <c r="E260" t="s">
        <v>279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286</v>
      </c>
      <c r="D261">
        <v>1480000</v>
      </c>
      <c r="E261" t="s">
        <v>113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290</v>
      </c>
      <c r="D262">
        <v>1360000</v>
      </c>
      <c r="E262" t="s">
        <v>187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291</v>
      </c>
      <c r="D263">
        <v>1300000</v>
      </c>
      <c r="E263" t="s">
        <v>217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292</v>
      </c>
      <c r="D264">
        <v>1360000</v>
      </c>
      <c r="E264" t="s">
        <v>187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284</v>
      </c>
      <c r="D265">
        <v>1300000</v>
      </c>
      <c r="E265" t="s">
        <v>217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115</v>
      </c>
      <c r="C266" t="s">
        <v>293</v>
      </c>
      <c r="D266">
        <v>1100000</v>
      </c>
      <c r="E266" t="s">
        <v>281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294</v>
      </c>
      <c r="D267">
        <v>1300000</v>
      </c>
      <c r="E267" t="s">
        <v>217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117</v>
      </c>
      <c r="C268" t="s">
        <v>285</v>
      </c>
      <c r="D268">
        <v>1800000</v>
      </c>
      <c r="E268" t="s">
        <v>274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114</v>
      </c>
      <c r="C270" t="s">
        <v>245</v>
      </c>
      <c r="D270">
        <v>1480000</v>
      </c>
      <c r="E270" t="s">
        <v>113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128</v>
      </c>
      <c r="C271" t="s">
        <v>234</v>
      </c>
      <c r="D271">
        <v>2020000</v>
      </c>
      <c r="E271" t="s">
        <v>199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135</v>
      </c>
      <c r="C272" t="s">
        <v>243</v>
      </c>
      <c r="D272">
        <v>1300000</v>
      </c>
      <c r="E272" t="s">
        <v>217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117</v>
      </c>
      <c r="C273" t="s">
        <v>238</v>
      </c>
      <c r="D273">
        <v>1460000</v>
      </c>
      <c r="E273" t="s">
        <v>110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241</v>
      </c>
      <c r="D274">
        <v>2010000</v>
      </c>
      <c r="E274" t="s">
        <v>152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254</v>
      </c>
      <c r="D275">
        <v>1810000</v>
      </c>
      <c r="E275" t="s">
        <v>141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114</v>
      </c>
      <c r="C276" t="s">
        <v>239</v>
      </c>
      <c r="D276">
        <v>1460000</v>
      </c>
      <c r="E276" t="s">
        <v>110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256</v>
      </c>
      <c r="D277">
        <v>1810000</v>
      </c>
      <c r="E277" t="s">
        <v>141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140</v>
      </c>
      <c r="C278" t="s">
        <v>237</v>
      </c>
      <c r="D278">
        <v>1750000</v>
      </c>
      <c r="E278" t="s">
        <v>252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131</v>
      </c>
      <c r="C279" t="s">
        <v>235</v>
      </c>
      <c r="D279">
        <v>2020000</v>
      </c>
      <c r="E279" t="s">
        <v>199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232</v>
      </c>
      <c r="D280">
        <v>1540000</v>
      </c>
      <c r="E280" t="s">
        <v>129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240</v>
      </c>
      <c r="D281">
        <v>2010000</v>
      </c>
      <c r="E281" t="s">
        <v>152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114</v>
      </c>
      <c r="C282" t="s">
        <v>231</v>
      </c>
      <c r="D282">
        <v>1460000</v>
      </c>
      <c r="E282" t="s">
        <v>110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128</v>
      </c>
      <c r="C283" t="s">
        <v>242</v>
      </c>
      <c r="D283">
        <v>2000000</v>
      </c>
      <c r="E283" t="s">
        <v>149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119</v>
      </c>
      <c r="C284" t="s">
        <v>230</v>
      </c>
      <c r="D284">
        <v>1750000</v>
      </c>
      <c r="E284" t="s">
        <v>252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140</v>
      </c>
      <c r="C285" t="s">
        <v>244</v>
      </c>
      <c r="D285">
        <v>1300000</v>
      </c>
      <c r="E285" t="s">
        <v>217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253</v>
      </c>
      <c r="D286">
        <v>1190000</v>
      </c>
      <c r="E286" t="s">
        <v>198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246</v>
      </c>
      <c r="D287">
        <v>2010000</v>
      </c>
      <c r="E287" t="s">
        <v>152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226</v>
      </c>
      <c r="D288">
        <v>1810000</v>
      </c>
      <c r="E288" t="s">
        <v>141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135</v>
      </c>
      <c r="C289" t="s">
        <v>247</v>
      </c>
      <c r="D289">
        <v>1300000</v>
      </c>
      <c r="E289" t="s">
        <v>217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82</v>
      </c>
      <c r="C290" t="s">
        <v>229</v>
      </c>
      <c r="D290">
        <v>2000000</v>
      </c>
      <c r="E290" t="s">
        <v>149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135</v>
      </c>
      <c r="C291" t="s">
        <v>247</v>
      </c>
      <c r="D291">
        <v>1300000</v>
      </c>
      <c r="E291" t="s">
        <v>217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228</v>
      </c>
      <c r="D292">
        <v>1820000</v>
      </c>
      <c r="E292" t="s">
        <v>103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135</v>
      </c>
      <c r="C293" t="s">
        <v>249</v>
      </c>
      <c r="D293">
        <v>1300000</v>
      </c>
      <c r="E293" t="s">
        <v>217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131</v>
      </c>
      <c r="C294" t="s">
        <v>224</v>
      </c>
      <c r="D294">
        <v>2020000</v>
      </c>
      <c r="E294" t="s">
        <v>199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140</v>
      </c>
      <c r="C295" t="s">
        <v>250</v>
      </c>
      <c r="D295">
        <v>1300000</v>
      </c>
      <c r="E295" t="s">
        <v>217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128</v>
      </c>
      <c r="C296" t="s">
        <v>222</v>
      </c>
      <c r="D296">
        <v>1090000</v>
      </c>
      <c r="E296" t="s">
        <v>125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119</v>
      </c>
      <c r="C297" t="s">
        <v>257</v>
      </c>
      <c r="D297">
        <v>1240000</v>
      </c>
      <c r="E297" t="s">
        <v>132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218</v>
      </c>
      <c r="D298">
        <v>1310000</v>
      </c>
      <c r="E298" t="s">
        <v>111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121</v>
      </c>
      <c r="C299" t="s">
        <v>255</v>
      </c>
      <c r="D299">
        <v>1340000</v>
      </c>
      <c r="E299" t="s">
        <v>127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219</v>
      </c>
      <c r="D300">
        <v>1110000</v>
      </c>
      <c r="E300" t="s">
        <v>150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258</v>
      </c>
      <c r="D301">
        <v>1990000</v>
      </c>
      <c r="E301" t="s">
        <v>153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116</v>
      </c>
      <c r="C302" t="s">
        <v>216</v>
      </c>
      <c r="D302">
        <v>2040000</v>
      </c>
      <c r="E302" t="s">
        <v>151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259</v>
      </c>
      <c r="D303">
        <v>1310000</v>
      </c>
      <c r="E303" t="s">
        <v>111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116</v>
      </c>
      <c r="C304" t="s">
        <v>215</v>
      </c>
      <c r="D304">
        <v>2040000</v>
      </c>
      <c r="E304" t="s">
        <v>151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260</v>
      </c>
      <c r="D305">
        <v>1990000</v>
      </c>
      <c r="E305" t="s">
        <v>153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133</v>
      </c>
      <c r="C306" t="s">
        <v>214</v>
      </c>
      <c r="D306">
        <v>1300000</v>
      </c>
      <c r="E306" t="s">
        <v>217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122</v>
      </c>
      <c r="C307" t="s">
        <v>261</v>
      </c>
      <c r="D307">
        <v>1310000</v>
      </c>
      <c r="E307" t="s">
        <v>111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120</v>
      </c>
      <c r="C308" t="s">
        <v>213</v>
      </c>
      <c r="D308">
        <v>2030000</v>
      </c>
      <c r="E308" t="s">
        <v>148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130</v>
      </c>
      <c r="C309" t="s">
        <v>251</v>
      </c>
      <c r="D309">
        <v>1340000</v>
      </c>
      <c r="E309" t="s">
        <v>127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130</v>
      </c>
      <c r="C310" t="s">
        <v>211</v>
      </c>
      <c r="D310">
        <v>1300000</v>
      </c>
      <c r="E310" t="s">
        <v>217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171</v>
      </c>
      <c r="C311" t="s">
        <v>262</v>
      </c>
      <c r="D311">
        <v>1190000</v>
      </c>
      <c r="E311" t="s">
        <v>198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172</v>
      </c>
      <c r="C312" t="s">
        <v>212</v>
      </c>
      <c r="D312">
        <v>1480000</v>
      </c>
      <c r="E312" t="s">
        <v>113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122</v>
      </c>
      <c r="C313" t="s">
        <v>263</v>
      </c>
      <c r="D313">
        <v>1310000</v>
      </c>
      <c r="E313" t="s">
        <v>111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246</v>
      </c>
      <c r="D314">
        <v>2010000</v>
      </c>
      <c r="E314" t="s">
        <v>152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143</v>
      </c>
      <c r="D316">
        <v>1540000</v>
      </c>
      <c r="E316" t="s">
        <v>129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118</v>
      </c>
      <c r="C317" t="s">
        <v>138</v>
      </c>
      <c r="D317">
        <v>1780000</v>
      </c>
      <c r="E317" t="s">
        <v>134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140</v>
      </c>
      <c r="C318" t="s">
        <v>145</v>
      </c>
      <c r="D318">
        <v>1810000</v>
      </c>
      <c r="E318" t="s">
        <v>141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116</v>
      </c>
      <c r="C319" t="s">
        <v>139</v>
      </c>
      <c r="D319">
        <v>1240000</v>
      </c>
      <c r="E319" t="s">
        <v>132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122</v>
      </c>
      <c r="C320" t="s">
        <v>144</v>
      </c>
      <c r="D320">
        <v>1460000</v>
      </c>
      <c r="E320" t="s">
        <v>110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146</v>
      </c>
      <c r="D321">
        <v>890000</v>
      </c>
      <c r="E321" t="s">
        <v>142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88</v>
      </c>
      <c r="K1" s="42" t="s">
        <v>89</v>
      </c>
      <c r="L1" s="42" t="s">
        <v>90</v>
      </c>
    </row>
    <row r="2" spans="1:13" ht="15.75" thickBot="1" x14ac:dyDescent="0.3">
      <c r="A2" s="15">
        <v>42570</v>
      </c>
      <c r="B2" s="4"/>
      <c r="C2" s="102">
        <v>50</v>
      </c>
      <c r="F2" t="s">
        <v>62</v>
      </c>
      <c r="J2" s="42" t="s">
        <v>88</v>
      </c>
      <c r="K2" s="42" t="s">
        <v>89</v>
      </c>
      <c r="L2" s="42" t="s">
        <v>90</v>
      </c>
    </row>
    <row r="3" spans="1:13" x14ac:dyDescent="0.25">
      <c r="F3" t="s">
        <v>63</v>
      </c>
      <c r="J3" s="43" t="s">
        <v>91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92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93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94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95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96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97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98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99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100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101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102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157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158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159</v>
      </c>
      <c r="M20" s="94" t="s">
        <v>160</v>
      </c>
    </row>
    <row r="21" spans="10:13" x14ac:dyDescent="0.25">
      <c r="J21" s="25" t="s">
        <v>163</v>
      </c>
      <c r="K21" s="25" t="s">
        <v>164</v>
      </c>
      <c r="M21" s="94" t="s">
        <v>164</v>
      </c>
    </row>
    <row r="22" spans="10:13" x14ac:dyDescent="0.25">
      <c r="J22" s="25" t="s">
        <v>165</v>
      </c>
      <c r="K22" s="25" t="s">
        <v>166</v>
      </c>
      <c r="M22" s="94" t="s">
        <v>166</v>
      </c>
    </row>
    <row r="23" spans="10:13" x14ac:dyDescent="0.25">
      <c r="J23" s="39" t="s">
        <v>168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2016-07-20T17:37:23Z</dcterms:modified>
</cp:coreProperties>
</file>