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\Documents\GitHub\eaglep3-reporting\EC\"/>
    </mc:Choice>
  </mc:AlternateContent>
  <bookViews>
    <workbookView xWindow="0" yWindow="0" windowWidth="20490" windowHeight="7905" activeTab="1"/>
  </bookViews>
  <sheets>
    <sheet name="Train Runs" sheetId="1" r:id="rId1"/>
    <sheet name="Enforcements" sheetId="3" r:id="rId2"/>
    <sheet name="Missing Trips" sheetId="6" r:id="rId3"/>
    <sheet name="Trips&amp;Operators" sheetId="4" r:id="rId4"/>
    <sheet name="Variables" sheetId="5" r:id="rId5"/>
  </sheets>
  <definedNames>
    <definedName name="_xlnm._FilterDatabase" localSheetId="1" hidden="1">Enforcements!$A$2:$N$48</definedName>
    <definedName name="_xlnm._FilterDatabase" localSheetId="0" hidden="1">'Train Runs'!$A$2:$AA$139</definedName>
    <definedName name="Denver_Train_Runs_04122016" localSheetId="0">'Train Runs'!$A$2:$J$144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4" i="3" l="1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3" i="3"/>
  <c r="K5" i="1" l="1"/>
  <c r="L5" i="1"/>
  <c r="M5" i="1"/>
  <c r="N5" i="1" s="1"/>
  <c r="K6" i="1"/>
  <c r="L6" i="1"/>
  <c r="M6" i="1"/>
  <c r="N6" i="1" s="1"/>
  <c r="K7" i="1"/>
  <c r="L7" i="1"/>
  <c r="M7" i="1"/>
  <c r="N7" i="1" s="1"/>
  <c r="K8" i="1"/>
  <c r="L8" i="1"/>
  <c r="M8" i="1"/>
  <c r="N8" i="1" s="1"/>
  <c r="K9" i="1"/>
  <c r="L9" i="1"/>
  <c r="M9" i="1"/>
  <c r="N9" i="1" s="1"/>
  <c r="K10" i="1"/>
  <c r="L10" i="1"/>
  <c r="M10" i="1"/>
  <c r="N10" i="1" s="1"/>
  <c r="K11" i="1"/>
  <c r="L11" i="1"/>
  <c r="M11" i="1"/>
  <c r="N11" i="1" s="1"/>
  <c r="K12" i="1"/>
  <c r="L12" i="1"/>
  <c r="M12" i="1"/>
  <c r="N12" i="1" s="1"/>
  <c r="K13" i="1"/>
  <c r="L13" i="1"/>
  <c r="M13" i="1"/>
  <c r="K14" i="1"/>
  <c r="L14" i="1"/>
  <c r="M14" i="1"/>
  <c r="K15" i="1"/>
  <c r="L15" i="1"/>
  <c r="M15" i="1"/>
  <c r="N15" i="1" s="1"/>
  <c r="K16" i="1"/>
  <c r="L16" i="1"/>
  <c r="M16" i="1"/>
  <c r="N16" i="1" s="1"/>
  <c r="K17" i="1"/>
  <c r="L17" i="1"/>
  <c r="M17" i="1"/>
  <c r="N17" i="1" s="1"/>
  <c r="K18" i="1"/>
  <c r="L18" i="1"/>
  <c r="M18" i="1"/>
  <c r="N18" i="1" s="1"/>
  <c r="K19" i="1"/>
  <c r="L19" i="1"/>
  <c r="M19" i="1"/>
  <c r="N19" i="1" s="1"/>
  <c r="K20" i="1"/>
  <c r="L20" i="1"/>
  <c r="M20" i="1"/>
  <c r="N20" i="1" s="1"/>
  <c r="K21" i="1"/>
  <c r="L21" i="1"/>
  <c r="M21" i="1"/>
  <c r="N21" i="1" s="1"/>
  <c r="K22" i="1"/>
  <c r="L22" i="1"/>
  <c r="M22" i="1"/>
  <c r="N22" i="1" s="1"/>
  <c r="K23" i="1"/>
  <c r="L23" i="1"/>
  <c r="M23" i="1"/>
  <c r="N23" i="1" s="1"/>
  <c r="K24" i="1"/>
  <c r="L24" i="1"/>
  <c r="M24" i="1"/>
  <c r="N24" i="1" s="1"/>
  <c r="K25" i="1"/>
  <c r="L25" i="1"/>
  <c r="M25" i="1"/>
  <c r="N25" i="1" s="1"/>
  <c r="K26" i="1"/>
  <c r="L26" i="1"/>
  <c r="M26" i="1"/>
  <c r="N26" i="1" s="1"/>
  <c r="K27" i="1"/>
  <c r="L27" i="1"/>
  <c r="M27" i="1"/>
  <c r="N27" i="1" s="1"/>
  <c r="K28" i="1"/>
  <c r="L28" i="1"/>
  <c r="M28" i="1"/>
  <c r="N28" i="1" s="1"/>
  <c r="K29" i="1"/>
  <c r="L29" i="1"/>
  <c r="M29" i="1"/>
  <c r="N29" i="1" s="1"/>
  <c r="K30" i="1"/>
  <c r="L30" i="1"/>
  <c r="M30" i="1"/>
  <c r="N30" i="1" s="1"/>
  <c r="K31" i="1"/>
  <c r="L31" i="1"/>
  <c r="M31" i="1"/>
  <c r="N31" i="1" s="1"/>
  <c r="K32" i="1"/>
  <c r="L32" i="1"/>
  <c r="M32" i="1"/>
  <c r="N32" i="1" s="1"/>
  <c r="K33" i="1"/>
  <c r="L33" i="1"/>
  <c r="M33" i="1"/>
  <c r="N33" i="1" s="1"/>
  <c r="K34" i="1"/>
  <c r="L34" i="1"/>
  <c r="M34" i="1"/>
  <c r="N34" i="1" s="1"/>
  <c r="K35" i="1"/>
  <c r="L35" i="1"/>
  <c r="M35" i="1"/>
  <c r="N35" i="1" s="1"/>
  <c r="K36" i="1"/>
  <c r="L36" i="1"/>
  <c r="M36" i="1"/>
  <c r="N36" i="1" s="1"/>
  <c r="K37" i="1"/>
  <c r="L37" i="1"/>
  <c r="M37" i="1"/>
  <c r="N37" i="1" s="1"/>
  <c r="K38" i="1"/>
  <c r="L38" i="1"/>
  <c r="M38" i="1"/>
  <c r="N38" i="1" s="1"/>
  <c r="K39" i="1"/>
  <c r="L39" i="1"/>
  <c r="M39" i="1"/>
  <c r="N39" i="1" s="1"/>
  <c r="K40" i="1"/>
  <c r="L40" i="1"/>
  <c r="M40" i="1"/>
  <c r="N40" i="1" s="1"/>
  <c r="K41" i="1"/>
  <c r="L41" i="1"/>
  <c r="M41" i="1"/>
  <c r="N41" i="1" s="1"/>
  <c r="K42" i="1"/>
  <c r="L42" i="1"/>
  <c r="M42" i="1"/>
  <c r="N42" i="1" s="1"/>
  <c r="K43" i="1"/>
  <c r="L43" i="1"/>
  <c r="M43" i="1"/>
  <c r="N43" i="1" s="1"/>
  <c r="K44" i="1"/>
  <c r="L44" i="1"/>
  <c r="M44" i="1"/>
  <c r="N44" i="1" s="1"/>
  <c r="K45" i="1"/>
  <c r="L45" i="1"/>
  <c r="M45" i="1"/>
  <c r="N45" i="1" s="1"/>
  <c r="K46" i="1"/>
  <c r="L46" i="1"/>
  <c r="M46" i="1"/>
  <c r="N46" i="1" s="1"/>
  <c r="K47" i="1"/>
  <c r="L47" i="1"/>
  <c r="M47" i="1"/>
  <c r="P47" i="1" s="1"/>
  <c r="K48" i="1"/>
  <c r="L48" i="1"/>
  <c r="M48" i="1"/>
  <c r="N48" i="1" s="1"/>
  <c r="K49" i="1"/>
  <c r="L49" i="1"/>
  <c r="M49" i="1"/>
  <c r="N49" i="1" s="1"/>
  <c r="K50" i="1"/>
  <c r="L50" i="1"/>
  <c r="M50" i="1"/>
  <c r="N50" i="1" s="1"/>
  <c r="K51" i="1"/>
  <c r="L51" i="1"/>
  <c r="M51" i="1"/>
  <c r="N51" i="1" s="1"/>
  <c r="K52" i="1"/>
  <c r="L52" i="1"/>
  <c r="M52" i="1"/>
  <c r="N52" i="1" s="1"/>
  <c r="K53" i="1"/>
  <c r="L53" i="1"/>
  <c r="M53" i="1"/>
  <c r="N53" i="1" s="1"/>
  <c r="K54" i="1"/>
  <c r="L54" i="1"/>
  <c r="M54" i="1"/>
  <c r="P54" i="1" s="1"/>
  <c r="K55" i="1"/>
  <c r="L55" i="1"/>
  <c r="M55" i="1"/>
  <c r="K56" i="1"/>
  <c r="L56" i="1"/>
  <c r="M56" i="1"/>
  <c r="N56" i="1" s="1"/>
  <c r="K57" i="1"/>
  <c r="L57" i="1"/>
  <c r="M57" i="1"/>
  <c r="K58" i="1"/>
  <c r="L58" i="1"/>
  <c r="M58" i="1"/>
  <c r="K59" i="1"/>
  <c r="L59" i="1"/>
  <c r="M59" i="1"/>
  <c r="P59" i="1" s="1"/>
  <c r="K60" i="1"/>
  <c r="L60" i="1"/>
  <c r="M60" i="1"/>
  <c r="N60" i="1" s="1"/>
  <c r="K61" i="1"/>
  <c r="L61" i="1"/>
  <c r="M61" i="1"/>
  <c r="N61" i="1" s="1"/>
  <c r="K62" i="1"/>
  <c r="L62" i="1"/>
  <c r="M62" i="1"/>
  <c r="N62" i="1" s="1"/>
  <c r="K63" i="1"/>
  <c r="L63" i="1"/>
  <c r="M63" i="1"/>
  <c r="N63" i="1" s="1"/>
  <c r="K64" i="1"/>
  <c r="L64" i="1"/>
  <c r="M64" i="1"/>
  <c r="P64" i="1" s="1"/>
  <c r="K65" i="1"/>
  <c r="L65" i="1"/>
  <c r="M65" i="1"/>
  <c r="K66" i="1"/>
  <c r="L66" i="1"/>
  <c r="M66" i="1"/>
  <c r="N66" i="1" s="1"/>
  <c r="K67" i="1"/>
  <c r="L67" i="1"/>
  <c r="M67" i="1"/>
  <c r="N67" i="1" s="1"/>
  <c r="K68" i="1"/>
  <c r="L68" i="1"/>
  <c r="M68" i="1"/>
  <c r="N68" i="1" s="1"/>
  <c r="K69" i="1"/>
  <c r="L69" i="1"/>
  <c r="M69" i="1"/>
  <c r="N69" i="1" s="1"/>
  <c r="K70" i="1"/>
  <c r="L70" i="1"/>
  <c r="M70" i="1"/>
  <c r="N70" i="1" s="1"/>
  <c r="K71" i="1"/>
  <c r="L71" i="1"/>
  <c r="M71" i="1"/>
  <c r="N71" i="1" s="1"/>
  <c r="K72" i="1"/>
  <c r="L72" i="1"/>
  <c r="M72" i="1"/>
  <c r="N72" i="1" s="1"/>
  <c r="K73" i="1"/>
  <c r="L73" i="1"/>
  <c r="M73" i="1"/>
  <c r="N73" i="1" s="1"/>
  <c r="K74" i="1"/>
  <c r="L74" i="1"/>
  <c r="M74" i="1"/>
  <c r="N74" i="1" s="1"/>
  <c r="K75" i="1"/>
  <c r="L75" i="1"/>
  <c r="M75" i="1"/>
  <c r="N75" i="1" s="1"/>
  <c r="K76" i="1"/>
  <c r="L76" i="1"/>
  <c r="M76" i="1"/>
  <c r="N76" i="1" s="1"/>
  <c r="K77" i="1"/>
  <c r="L77" i="1"/>
  <c r="M77" i="1"/>
  <c r="N77" i="1" s="1"/>
  <c r="K78" i="1"/>
  <c r="L78" i="1"/>
  <c r="M78" i="1"/>
  <c r="N78" i="1" s="1"/>
  <c r="K79" i="1"/>
  <c r="L79" i="1"/>
  <c r="M79" i="1"/>
  <c r="N79" i="1" s="1"/>
  <c r="K80" i="1"/>
  <c r="L80" i="1"/>
  <c r="M80" i="1"/>
  <c r="N80" i="1" s="1"/>
  <c r="K81" i="1"/>
  <c r="L81" i="1"/>
  <c r="M81" i="1"/>
  <c r="N81" i="1" s="1"/>
  <c r="K82" i="1"/>
  <c r="L82" i="1"/>
  <c r="M82" i="1"/>
  <c r="N82" i="1" s="1"/>
  <c r="K83" i="1"/>
  <c r="L83" i="1"/>
  <c r="M83" i="1"/>
  <c r="N83" i="1" s="1"/>
  <c r="K84" i="1"/>
  <c r="L84" i="1"/>
  <c r="M84" i="1"/>
  <c r="N84" i="1" s="1"/>
  <c r="K85" i="1"/>
  <c r="L85" i="1"/>
  <c r="M85" i="1"/>
  <c r="N85" i="1" s="1"/>
  <c r="K86" i="1"/>
  <c r="L86" i="1"/>
  <c r="M86" i="1"/>
  <c r="N86" i="1" s="1"/>
  <c r="K87" i="1"/>
  <c r="L87" i="1"/>
  <c r="M87" i="1"/>
  <c r="N87" i="1" s="1"/>
  <c r="K88" i="1"/>
  <c r="L88" i="1"/>
  <c r="M88" i="1"/>
  <c r="N88" i="1" s="1"/>
  <c r="K89" i="1"/>
  <c r="L89" i="1"/>
  <c r="M89" i="1"/>
  <c r="N89" i="1" s="1"/>
  <c r="K90" i="1"/>
  <c r="L90" i="1"/>
  <c r="M90" i="1"/>
  <c r="N90" i="1" s="1"/>
  <c r="K91" i="1"/>
  <c r="L91" i="1"/>
  <c r="M91" i="1"/>
  <c r="N91" i="1" s="1"/>
  <c r="K92" i="1"/>
  <c r="L92" i="1"/>
  <c r="M92" i="1"/>
  <c r="N92" i="1" s="1"/>
  <c r="K93" i="1"/>
  <c r="L93" i="1"/>
  <c r="M93" i="1"/>
  <c r="N93" i="1" s="1"/>
  <c r="K94" i="1"/>
  <c r="L94" i="1"/>
  <c r="M94" i="1"/>
  <c r="N94" i="1" s="1"/>
  <c r="K95" i="1"/>
  <c r="L95" i="1"/>
  <c r="M95" i="1"/>
  <c r="N95" i="1" s="1"/>
  <c r="K96" i="1"/>
  <c r="L96" i="1"/>
  <c r="M96" i="1"/>
  <c r="N96" i="1" s="1"/>
  <c r="K97" i="1"/>
  <c r="L97" i="1"/>
  <c r="M97" i="1"/>
  <c r="N97" i="1" s="1"/>
  <c r="K98" i="1"/>
  <c r="L98" i="1"/>
  <c r="M98" i="1"/>
  <c r="N98" i="1" s="1"/>
  <c r="K99" i="1"/>
  <c r="L99" i="1"/>
  <c r="M99" i="1"/>
  <c r="N99" i="1" s="1"/>
  <c r="K100" i="1"/>
  <c r="L100" i="1"/>
  <c r="M100" i="1"/>
  <c r="N100" i="1" s="1"/>
  <c r="K101" i="1"/>
  <c r="L101" i="1"/>
  <c r="M101" i="1"/>
  <c r="N101" i="1" s="1"/>
  <c r="K102" i="1"/>
  <c r="L102" i="1"/>
  <c r="M102" i="1"/>
  <c r="N102" i="1" s="1"/>
  <c r="K103" i="1"/>
  <c r="L103" i="1"/>
  <c r="M103" i="1"/>
  <c r="N103" i="1" s="1"/>
  <c r="K104" i="1"/>
  <c r="L104" i="1"/>
  <c r="M104" i="1"/>
  <c r="N104" i="1" s="1"/>
  <c r="K105" i="1"/>
  <c r="L105" i="1"/>
  <c r="M105" i="1"/>
  <c r="N105" i="1" s="1"/>
  <c r="K106" i="1"/>
  <c r="L106" i="1"/>
  <c r="M106" i="1"/>
  <c r="N106" i="1" s="1"/>
  <c r="K107" i="1"/>
  <c r="L107" i="1"/>
  <c r="M107" i="1"/>
  <c r="N107" i="1" s="1"/>
  <c r="K108" i="1"/>
  <c r="L108" i="1"/>
  <c r="M108" i="1"/>
  <c r="N108" i="1" s="1"/>
  <c r="K109" i="1"/>
  <c r="L109" i="1"/>
  <c r="M109" i="1"/>
  <c r="N109" i="1" s="1"/>
  <c r="K110" i="1"/>
  <c r="L110" i="1"/>
  <c r="M110" i="1"/>
  <c r="N110" i="1" s="1"/>
  <c r="K111" i="1"/>
  <c r="L111" i="1"/>
  <c r="M111" i="1"/>
  <c r="N111" i="1" s="1"/>
  <c r="K112" i="1"/>
  <c r="L112" i="1"/>
  <c r="M112" i="1"/>
  <c r="N112" i="1" s="1"/>
  <c r="K113" i="1"/>
  <c r="L113" i="1"/>
  <c r="M113" i="1"/>
  <c r="N113" i="1" s="1"/>
  <c r="K114" i="1"/>
  <c r="L114" i="1"/>
  <c r="M114" i="1"/>
  <c r="N114" i="1" s="1"/>
  <c r="K115" i="1"/>
  <c r="L115" i="1"/>
  <c r="M115" i="1"/>
  <c r="N115" i="1" s="1"/>
  <c r="K116" i="1"/>
  <c r="L116" i="1"/>
  <c r="M116" i="1"/>
  <c r="N116" i="1" s="1"/>
  <c r="K117" i="1"/>
  <c r="L117" i="1"/>
  <c r="M117" i="1"/>
  <c r="N117" i="1" s="1"/>
  <c r="K118" i="1"/>
  <c r="L118" i="1"/>
  <c r="M118" i="1"/>
  <c r="N118" i="1" s="1"/>
  <c r="K119" i="1"/>
  <c r="L119" i="1"/>
  <c r="M119" i="1"/>
  <c r="N119" i="1" s="1"/>
  <c r="K120" i="1"/>
  <c r="L120" i="1"/>
  <c r="M120" i="1"/>
  <c r="N120" i="1" s="1"/>
  <c r="K121" i="1"/>
  <c r="L121" i="1"/>
  <c r="M121" i="1"/>
  <c r="N121" i="1" s="1"/>
  <c r="K122" i="1"/>
  <c r="L122" i="1"/>
  <c r="M122" i="1"/>
  <c r="N122" i="1" s="1"/>
  <c r="K123" i="1"/>
  <c r="L123" i="1"/>
  <c r="M123" i="1"/>
  <c r="N123" i="1" s="1"/>
  <c r="K124" i="1"/>
  <c r="L124" i="1"/>
  <c r="M124" i="1"/>
  <c r="N124" i="1" s="1"/>
  <c r="K125" i="1"/>
  <c r="L125" i="1"/>
  <c r="M125" i="1"/>
  <c r="N125" i="1" s="1"/>
  <c r="K126" i="1"/>
  <c r="L126" i="1"/>
  <c r="M126" i="1"/>
  <c r="N126" i="1" s="1"/>
  <c r="K127" i="1"/>
  <c r="L127" i="1"/>
  <c r="M127" i="1"/>
  <c r="N127" i="1" s="1"/>
  <c r="K128" i="1"/>
  <c r="L128" i="1"/>
  <c r="M128" i="1"/>
  <c r="N128" i="1" s="1"/>
  <c r="K129" i="1"/>
  <c r="L129" i="1"/>
  <c r="M129" i="1"/>
  <c r="N129" i="1" s="1"/>
  <c r="K130" i="1"/>
  <c r="L130" i="1"/>
  <c r="M130" i="1"/>
  <c r="N130" i="1" s="1"/>
  <c r="K131" i="1"/>
  <c r="L131" i="1"/>
  <c r="M131" i="1"/>
  <c r="N131" i="1" s="1"/>
  <c r="K132" i="1"/>
  <c r="L132" i="1"/>
  <c r="M132" i="1"/>
  <c r="N132" i="1" s="1"/>
  <c r="K133" i="1"/>
  <c r="L133" i="1"/>
  <c r="M133" i="1"/>
  <c r="N133" i="1" s="1"/>
  <c r="K134" i="1"/>
  <c r="L134" i="1"/>
  <c r="M134" i="1"/>
  <c r="N134" i="1" s="1"/>
  <c r="K135" i="1"/>
  <c r="L135" i="1"/>
  <c r="M135" i="1"/>
  <c r="N135" i="1" s="1"/>
  <c r="K136" i="1"/>
  <c r="L136" i="1"/>
  <c r="M136" i="1"/>
  <c r="N136" i="1" s="1"/>
  <c r="K137" i="1"/>
  <c r="L137" i="1"/>
  <c r="M137" i="1"/>
  <c r="N137" i="1" s="1"/>
  <c r="K138" i="1"/>
  <c r="L138" i="1"/>
  <c r="M138" i="1"/>
  <c r="N138" i="1" s="1"/>
  <c r="K139" i="1"/>
  <c r="L139" i="1"/>
  <c r="M139" i="1"/>
  <c r="N139" i="1" s="1"/>
  <c r="T5" i="1"/>
  <c r="V5" i="1"/>
  <c r="W5" i="1"/>
  <c r="X5" i="1"/>
  <c r="Z5" i="1"/>
  <c r="AA5" i="1"/>
  <c r="T6" i="1"/>
  <c r="V6" i="1"/>
  <c r="W6" i="1"/>
  <c r="X6" i="1"/>
  <c r="Z6" i="1"/>
  <c r="AA6" i="1"/>
  <c r="T7" i="1"/>
  <c r="V7" i="1"/>
  <c r="W7" i="1"/>
  <c r="X7" i="1"/>
  <c r="Z7" i="1"/>
  <c r="AA7" i="1"/>
  <c r="T8" i="1"/>
  <c r="V8" i="1"/>
  <c r="W8" i="1"/>
  <c r="X8" i="1"/>
  <c r="Z8" i="1"/>
  <c r="AA8" i="1"/>
  <c r="T9" i="1"/>
  <c r="V9" i="1"/>
  <c r="W9" i="1"/>
  <c r="X9" i="1"/>
  <c r="Z9" i="1"/>
  <c r="AA9" i="1"/>
  <c r="T10" i="1"/>
  <c r="V10" i="1"/>
  <c r="W10" i="1"/>
  <c r="X10" i="1"/>
  <c r="Z10" i="1"/>
  <c r="AA10" i="1"/>
  <c r="T11" i="1"/>
  <c r="V11" i="1"/>
  <c r="W11" i="1"/>
  <c r="X11" i="1"/>
  <c r="Z11" i="1"/>
  <c r="AA11" i="1"/>
  <c r="T12" i="1"/>
  <c r="V12" i="1"/>
  <c r="W12" i="1"/>
  <c r="X12" i="1"/>
  <c r="Z12" i="1"/>
  <c r="AA12" i="1"/>
  <c r="T13" i="1"/>
  <c r="V13" i="1"/>
  <c r="W13" i="1"/>
  <c r="X13" i="1"/>
  <c r="Z13" i="1"/>
  <c r="AA13" i="1"/>
  <c r="T14" i="1"/>
  <c r="V14" i="1"/>
  <c r="W14" i="1"/>
  <c r="X14" i="1"/>
  <c r="Z14" i="1"/>
  <c r="AA14" i="1"/>
  <c r="T15" i="1"/>
  <c r="V15" i="1"/>
  <c r="W15" i="1"/>
  <c r="X15" i="1"/>
  <c r="Z15" i="1"/>
  <c r="AA15" i="1"/>
  <c r="T16" i="1"/>
  <c r="V16" i="1"/>
  <c r="W16" i="1"/>
  <c r="X16" i="1"/>
  <c r="Z16" i="1"/>
  <c r="AA16" i="1"/>
  <c r="T17" i="1"/>
  <c r="V17" i="1"/>
  <c r="W17" i="1"/>
  <c r="X17" i="1"/>
  <c r="Z17" i="1"/>
  <c r="AA17" i="1"/>
  <c r="T18" i="1"/>
  <c r="V18" i="1"/>
  <c r="W18" i="1"/>
  <c r="X18" i="1"/>
  <c r="Z18" i="1"/>
  <c r="AA18" i="1"/>
  <c r="T19" i="1"/>
  <c r="V19" i="1"/>
  <c r="W19" i="1"/>
  <c r="X19" i="1"/>
  <c r="Z19" i="1"/>
  <c r="AA19" i="1"/>
  <c r="T20" i="1"/>
  <c r="V20" i="1"/>
  <c r="W20" i="1"/>
  <c r="X20" i="1"/>
  <c r="Z20" i="1"/>
  <c r="AA20" i="1"/>
  <c r="T21" i="1"/>
  <c r="V21" i="1"/>
  <c r="W21" i="1"/>
  <c r="X21" i="1"/>
  <c r="Z21" i="1"/>
  <c r="AA21" i="1"/>
  <c r="T22" i="1"/>
  <c r="V22" i="1"/>
  <c r="W22" i="1"/>
  <c r="X22" i="1"/>
  <c r="Z22" i="1"/>
  <c r="AA22" i="1"/>
  <c r="T23" i="1"/>
  <c r="V23" i="1"/>
  <c r="W23" i="1"/>
  <c r="X23" i="1"/>
  <c r="Z23" i="1"/>
  <c r="AA23" i="1"/>
  <c r="T24" i="1"/>
  <c r="V24" i="1"/>
  <c r="W24" i="1"/>
  <c r="X24" i="1"/>
  <c r="Z24" i="1"/>
  <c r="AA24" i="1"/>
  <c r="T25" i="1"/>
  <c r="V25" i="1"/>
  <c r="W25" i="1"/>
  <c r="X25" i="1"/>
  <c r="Z25" i="1"/>
  <c r="AA25" i="1"/>
  <c r="T26" i="1"/>
  <c r="V26" i="1"/>
  <c r="W26" i="1"/>
  <c r="X26" i="1"/>
  <c r="Z26" i="1"/>
  <c r="AA26" i="1"/>
  <c r="T27" i="1"/>
  <c r="V27" i="1"/>
  <c r="W27" i="1"/>
  <c r="X27" i="1"/>
  <c r="Z27" i="1"/>
  <c r="AA27" i="1"/>
  <c r="T28" i="1"/>
  <c r="V28" i="1"/>
  <c r="W28" i="1"/>
  <c r="X28" i="1"/>
  <c r="Z28" i="1"/>
  <c r="AA28" i="1"/>
  <c r="T29" i="1"/>
  <c r="V29" i="1"/>
  <c r="W29" i="1"/>
  <c r="X29" i="1"/>
  <c r="Z29" i="1"/>
  <c r="AA29" i="1"/>
  <c r="T30" i="1"/>
  <c r="V30" i="1"/>
  <c r="W30" i="1"/>
  <c r="X30" i="1"/>
  <c r="Z30" i="1"/>
  <c r="AA30" i="1"/>
  <c r="T31" i="1"/>
  <c r="V31" i="1"/>
  <c r="W31" i="1"/>
  <c r="X31" i="1"/>
  <c r="Z31" i="1"/>
  <c r="AA31" i="1"/>
  <c r="T32" i="1"/>
  <c r="V32" i="1"/>
  <c r="W32" i="1"/>
  <c r="X32" i="1"/>
  <c r="Z32" i="1"/>
  <c r="AA32" i="1"/>
  <c r="T33" i="1"/>
  <c r="V33" i="1"/>
  <c r="W33" i="1"/>
  <c r="X33" i="1"/>
  <c r="Z33" i="1"/>
  <c r="AA33" i="1"/>
  <c r="T34" i="1"/>
  <c r="V34" i="1"/>
  <c r="W34" i="1"/>
  <c r="X34" i="1"/>
  <c r="Z34" i="1"/>
  <c r="AA34" i="1"/>
  <c r="T35" i="1"/>
  <c r="V35" i="1"/>
  <c r="W35" i="1"/>
  <c r="X35" i="1"/>
  <c r="Z35" i="1"/>
  <c r="AA35" i="1"/>
  <c r="T36" i="1"/>
  <c r="V36" i="1"/>
  <c r="W36" i="1"/>
  <c r="X36" i="1"/>
  <c r="Z36" i="1"/>
  <c r="AA36" i="1"/>
  <c r="T37" i="1"/>
  <c r="V37" i="1"/>
  <c r="W37" i="1"/>
  <c r="X37" i="1"/>
  <c r="Z37" i="1"/>
  <c r="AA37" i="1"/>
  <c r="T38" i="1"/>
  <c r="V38" i="1"/>
  <c r="W38" i="1"/>
  <c r="X38" i="1"/>
  <c r="Z38" i="1"/>
  <c r="AA38" i="1"/>
  <c r="T39" i="1"/>
  <c r="V39" i="1"/>
  <c r="W39" i="1"/>
  <c r="X39" i="1"/>
  <c r="Z39" i="1"/>
  <c r="AA39" i="1"/>
  <c r="T40" i="1"/>
  <c r="V40" i="1"/>
  <c r="W40" i="1"/>
  <c r="X40" i="1"/>
  <c r="Z40" i="1"/>
  <c r="AA40" i="1"/>
  <c r="T41" i="1"/>
  <c r="V41" i="1"/>
  <c r="W41" i="1"/>
  <c r="X41" i="1"/>
  <c r="Z41" i="1"/>
  <c r="AA41" i="1"/>
  <c r="T42" i="1"/>
  <c r="V42" i="1"/>
  <c r="W42" i="1"/>
  <c r="X42" i="1"/>
  <c r="Z42" i="1"/>
  <c r="AA42" i="1"/>
  <c r="T43" i="1"/>
  <c r="V43" i="1"/>
  <c r="W43" i="1"/>
  <c r="X43" i="1"/>
  <c r="Z43" i="1"/>
  <c r="AA43" i="1"/>
  <c r="T44" i="1"/>
  <c r="V44" i="1"/>
  <c r="W44" i="1"/>
  <c r="X44" i="1"/>
  <c r="Z44" i="1"/>
  <c r="AA44" i="1"/>
  <c r="T45" i="1"/>
  <c r="V45" i="1"/>
  <c r="W45" i="1"/>
  <c r="X45" i="1"/>
  <c r="Z45" i="1"/>
  <c r="AA45" i="1"/>
  <c r="T46" i="1"/>
  <c r="V46" i="1"/>
  <c r="W46" i="1"/>
  <c r="X46" i="1"/>
  <c r="Z46" i="1"/>
  <c r="AA46" i="1"/>
  <c r="T47" i="1"/>
  <c r="V47" i="1"/>
  <c r="W47" i="1"/>
  <c r="X47" i="1"/>
  <c r="Z47" i="1"/>
  <c r="AA47" i="1"/>
  <c r="T48" i="1"/>
  <c r="V48" i="1"/>
  <c r="W48" i="1"/>
  <c r="X48" i="1"/>
  <c r="Z48" i="1"/>
  <c r="AA48" i="1"/>
  <c r="T49" i="1"/>
  <c r="V49" i="1"/>
  <c r="W49" i="1"/>
  <c r="X49" i="1"/>
  <c r="Z49" i="1"/>
  <c r="AA49" i="1"/>
  <c r="T50" i="1"/>
  <c r="V50" i="1"/>
  <c r="W50" i="1"/>
  <c r="X50" i="1"/>
  <c r="Z50" i="1"/>
  <c r="AA50" i="1"/>
  <c r="T51" i="1"/>
  <c r="V51" i="1"/>
  <c r="W51" i="1"/>
  <c r="X51" i="1"/>
  <c r="Z51" i="1"/>
  <c r="AA51" i="1"/>
  <c r="T52" i="1"/>
  <c r="V52" i="1"/>
  <c r="W52" i="1"/>
  <c r="X52" i="1"/>
  <c r="Z52" i="1"/>
  <c r="AA52" i="1"/>
  <c r="T53" i="1"/>
  <c r="V53" i="1"/>
  <c r="W53" i="1"/>
  <c r="X53" i="1"/>
  <c r="Z53" i="1"/>
  <c r="AA53" i="1"/>
  <c r="T54" i="1"/>
  <c r="V54" i="1"/>
  <c r="W54" i="1"/>
  <c r="X54" i="1"/>
  <c r="Z54" i="1"/>
  <c r="AA54" i="1"/>
  <c r="T55" i="1"/>
  <c r="V55" i="1"/>
  <c r="W55" i="1"/>
  <c r="X55" i="1"/>
  <c r="Z55" i="1"/>
  <c r="AA55" i="1"/>
  <c r="T56" i="1"/>
  <c r="V56" i="1"/>
  <c r="W56" i="1"/>
  <c r="X56" i="1"/>
  <c r="Z56" i="1"/>
  <c r="AA56" i="1"/>
  <c r="T57" i="1"/>
  <c r="V57" i="1"/>
  <c r="W57" i="1"/>
  <c r="X57" i="1"/>
  <c r="Z57" i="1"/>
  <c r="AA57" i="1"/>
  <c r="T58" i="1"/>
  <c r="V58" i="1"/>
  <c r="W58" i="1"/>
  <c r="X58" i="1"/>
  <c r="Z58" i="1"/>
  <c r="AA58" i="1"/>
  <c r="T59" i="1"/>
  <c r="V59" i="1"/>
  <c r="W59" i="1"/>
  <c r="X59" i="1"/>
  <c r="Z59" i="1"/>
  <c r="AA59" i="1"/>
  <c r="T60" i="1"/>
  <c r="V60" i="1"/>
  <c r="W60" i="1"/>
  <c r="X60" i="1"/>
  <c r="Z60" i="1"/>
  <c r="AA60" i="1"/>
  <c r="T61" i="1"/>
  <c r="V61" i="1"/>
  <c r="W61" i="1"/>
  <c r="X61" i="1"/>
  <c r="Z61" i="1"/>
  <c r="AA61" i="1"/>
  <c r="T62" i="1"/>
  <c r="V62" i="1"/>
  <c r="W62" i="1"/>
  <c r="X62" i="1"/>
  <c r="Z62" i="1"/>
  <c r="AA62" i="1"/>
  <c r="T63" i="1"/>
  <c r="V63" i="1"/>
  <c r="W63" i="1"/>
  <c r="X63" i="1"/>
  <c r="Z63" i="1"/>
  <c r="AA63" i="1"/>
  <c r="T64" i="1"/>
  <c r="V64" i="1"/>
  <c r="W64" i="1"/>
  <c r="X64" i="1"/>
  <c r="Z64" i="1"/>
  <c r="AA64" i="1"/>
  <c r="T65" i="1"/>
  <c r="V65" i="1"/>
  <c r="W65" i="1"/>
  <c r="X65" i="1"/>
  <c r="Z65" i="1"/>
  <c r="AA65" i="1"/>
  <c r="T66" i="1"/>
  <c r="V66" i="1"/>
  <c r="W66" i="1"/>
  <c r="X66" i="1"/>
  <c r="Z66" i="1"/>
  <c r="AA66" i="1"/>
  <c r="T67" i="1"/>
  <c r="V67" i="1"/>
  <c r="W67" i="1"/>
  <c r="X67" i="1"/>
  <c r="Z67" i="1"/>
  <c r="AA67" i="1"/>
  <c r="T68" i="1"/>
  <c r="V68" i="1"/>
  <c r="W68" i="1"/>
  <c r="X68" i="1"/>
  <c r="Z68" i="1"/>
  <c r="AA68" i="1"/>
  <c r="T69" i="1"/>
  <c r="V69" i="1"/>
  <c r="W69" i="1"/>
  <c r="X69" i="1"/>
  <c r="Z69" i="1"/>
  <c r="AA69" i="1"/>
  <c r="T70" i="1"/>
  <c r="V70" i="1"/>
  <c r="W70" i="1"/>
  <c r="X70" i="1"/>
  <c r="Z70" i="1"/>
  <c r="AA70" i="1"/>
  <c r="T71" i="1"/>
  <c r="V71" i="1"/>
  <c r="W71" i="1"/>
  <c r="X71" i="1"/>
  <c r="Z71" i="1"/>
  <c r="AA71" i="1"/>
  <c r="T72" i="1"/>
  <c r="V72" i="1"/>
  <c r="W72" i="1"/>
  <c r="X72" i="1"/>
  <c r="Z72" i="1"/>
  <c r="AA72" i="1"/>
  <c r="T73" i="1"/>
  <c r="V73" i="1"/>
  <c r="W73" i="1"/>
  <c r="X73" i="1"/>
  <c r="Z73" i="1"/>
  <c r="AA73" i="1"/>
  <c r="T74" i="1"/>
  <c r="V74" i="1"/>
  <c r="W74" i="1"/>
  <c r="X74" i="1"/>
  <c r="Z74" i="1"/>
  <c r="AA74" i="1"/>
  <c r="T75" i="1"/>
  <c r="V75" i="1"/>
  <c r="W75" i="1"/>
  <c r="X75" i="1"/>
  <c r="Z75" i="1"/>
  <c r="AA75" i="1"/>
  <c r="T76" i="1"/>
  <c r="V76" i="1"/>
  <c r="W76" i="1"/>
  <c r="X76" i="1"/>
  <c r="Z76" i="1"/>
  <c r="AA76" i="1"/>
  <c r="T77" i="1"/>
  <c r="V77" i="1"/>
  <c r="W77" i="1"/>
  <c r="X77" i="1"/>
  <c r="Z77" i="1"/>
  <c r="AA77" i="1"/>
  <c r="T78" i="1"/>
  <c r="V78" i="1"/>
  <c r="W78" i="1"/>
  <c r="X78" i="1"/>
  <c r="Z78" i="1"/>
  <c r="AA78" i="1"/>
  <c r="T79" i="1"/>
  <c r="V79" i="1"/>
  <c r="W79" i="1"/>
  <c r="X79" i="1"/>
  <c r="Z79" i="1"/>
  <c r="AA79" i="1"/>
  <c r="T80" i="1"/>
  <c r="V80" i="1"/>
  <c r="W80" i="1"/>
  <c r="X80" i="1"/>
  <c r="Z80" i="1"/>
  <c r="AA80" i="1"/>
  <c r="T81" i="1"/>
  <c r="V81" i="1"/>
  <c r="W81" i="1"/>
  <c r="X81" i="1"/>
  <c r="Z81" i="1"/>
  <c r="AA81" i="1"/>
  <c r="T82" i="1"/>
  <c r="V82" i="1"/>
  <c r="W82" i="1"/>
  <c r="X82" i="1"/>
  <c r="Z82" i="1"/>
  <c r="AA82" i="1"/>
  <c r="T83" i="1"/>
  <c r="V83" i="1"/>
  <c r="W83" i="1"/>
  <c r="X83" i="1"/>
  <c r="Z83" i="1"/>
  <c r="AA83" i="1"/>
  <c r="T84" i="1"/>
  <c r="V84" i="1"/>
  <c r="W84" i="1"/>
  <c r="X84" i="1"/>
  <c r="Z84" i="1"/>
  <c r="AA84" i="1"/>
  <c r="T85" i="1"/>
  <c r="V85" i="1"/>
  <c r="W85" i="1"/>
  <c r="X85" i="1"/>
  <c r="Z85" i="1"/>
  <c r="AA85" i="1"/>
  <c r="T86" i="1"/>
  <c r="V86" i="1"/>
  <c r="W86" i="1"/>
  <c r="X86" i="1"/>
  <c r="Z86" i="1"/>
  <c r="AA86" i="1"/>
  <c r="T87" i="1"/>
  <c r="V87" i="1"/>
  <c r="W87" i="1"/>
  <c r="X87" i="1"/>
  <c r="Z87" i="1"/>
  <c r="AA87" i="1"/>
  <c r="T88" i="1"/>
  <c r="V88" i="1"/>
  <c r="W88" i="1"/>
  <c r="X88" i="1"/>
  <c r="Z88" i="1"/>
  <c r="AA88" i="1"/>
  <c r="T89" i="1"/>
  <c r="V89" i="1"/>
  <c r="W89" i="1"/>
  <c r="X89" i="1"/>
  <c r="Z89" i="1"/>
  <c r="AA89" i="1"/>
  <c r="T90" i="1"/>
  <c r="V90" i="1"/>
  <c r="W90" i="1"/>
  <c r="X90" i="1"/>
  <c r="Z90" i="1"/>
  <c r="AA90" i="1"/>
  <c r="T91" i="1"/>
  <c r="V91" i="1"/>
  <c r="W91" i="1"/>
  <c r="Y91" i="1" s="1"/>
  <c r="U91" i="1" s="1"/>
  <c r="X91" i="1"/>
  <c r="Z91" i="1"/>
  <c r="AA91" i="1"/>
  <c r="T92" i="1"/>
  <c r="V92" i="1"/>
  <c r="W92" i="1"/>
  <c r="X92" i="1"/>
  <c r="Y92" i="1" s="1"/>
  <c r="U92" i="1" s="1"/>
  <c r="Z92" i="1"/>
  <c r="AA92" i="1"/>
  <c r="T93" i="1"/>
  <c r="V93" i="1"/>
  <c r="W93" i="1"/>
  <c r="Y93" i="1" s="1"/>
  <c r="U93" i="1" s="1"/>
  <c r="X93" i="1"/>
  <c r="Z93" i="1"/>
  <c r="AA93" i="1"/>
  <c r="T94" i="1"/>
  <c r="V94" i="1"/>
  <c r="W94" i="1"/>
  <c r="X94" i="1"/>
  <c r="Z94" i="1"/>
  <c r="AA94" i="1"/>
  <c r="T95" i="1"/>
  <c r="V95" i="1"/>
  <c r="W95" i="1"/>
  <c r="X95" i="1"/>
  <c r="Y95" i="1"/>
  <c r="U95" i="1" s="1"/>
  <c r="Z95" i="1"/>
  <c r="AA95" i="1"/>
  <c r="T96" i="1"/>
  <c r="V96" i="1"/>
  <c r="W96" i="1"/>
  <c r="X96" i="1"/>
  <c r="Y96" i="1" s="1"/>
  <c r="U96" i="1" s="1"/>
  <c r="Z96" i="1"/>
  <c r="AA96" i="1"/>
  <c r="T97" i="1"/>
  <c r="V97" i="1"/>
  <c r="W97" i="1"/>
  <c r="Y97" i="1" s="1"/>
  <c r="U97" i="1" s="1"/>
  <c r="X97" i="1"/>
  <c r="Z97" i="1"/>
  <c r="AA97" i="1"/>
  <c r="T98" i="1"/>
  <c r="V98" i="1"/>
  <c r="W98" i="1"/>
  <c r="X98" i="1"/>
  <c r="Z98" i="1"/>
  <c r="AA98" i="1"/>
  <c r="T99" i="1"/>
  <c r="V99" i="1"/>
  <c r="W99" i="1"/>
  <c r="Y99" i="1" s="1"/>
  <c r="U99" i="1" s="1"/>
  <c r="X99" i="1"/>
  <c r="Z99" i="1"/>
  <c r="AA99" i="1"/>
  <c r="T100" i="1"/>
  <c r="V100" i="1"/>
  <c r="W100" i="1"/>
  <c r="X100" i="1"/>
  <c r="Y100" i="1" s="1"/>
  <c r="U100" i="1" s="1"/>
  <c r="Z100" i="1"/>
  <c r="AA100" i="1"/>
  <c r="T101" i="1"/>
  <c r="V101" i="1"/>
  <c r="W101" i="1"/>
  <c r="Y101" i="1" s="1"/>
  <c r="U101" i="1" s="1"/>
  <c r="X101" i="1"/>
  <c r="Z101" i="1"/>
  <c r="AA101" i="1"/>
  <c r="T102" i="1"/>
  <c r="V102" i="1"/>
  <c r="W102" i="1"/>
  <c r="X102" i="1"/>
  <c r="Z102" i="1"/>
  <c r="AA102" i="1"/>
  <c r="T103" i="1"/>
  <c r="V103" i="1"/>
  <c r="W103" i="1"/>
  <c r="X103" i="1"/>
  <c r="Y103" i="1"/>
  <c r="U103" i="1" s="1"/>
  <c r="Z103" i="1"/>
  <c r="AA103" i="1"/>
  <c r="T104" i="1"/>
  <c r="V104" i="1"/>
  <c r="W104" i="1"/>
  <c r="X104" i="1"/>
  <c r="Y104" i="1" s="1"/>
  <c r="U104" i="1" s="1"/>
  <c r="Z104" i="1"/>
  <c r="AA104" i="1"/>
  <c r="T105" i="1"/>
  <c r="V105" i="1"/>
  <c r="W105" i="1"/>
  <c r="Y105" i="1" s="1"/>
  <c r="U105" i="1" s="1"/>
  <c r="X105" i="1"/>
  <c r="Z105" i="1"/>
  <c r="AA105" i="1"/>
  <c r="T106" i="1"/>
  <c r="V106" i="1"/>
  <c r="W106" i="1"/>
  <c r="X106" i="1"/>
  <c r="Z106" i="1"/>
  <c r="AA106" i="1"/>
  <c r="T107" i="1"/>
  <c r="V107" i="1"/>
  <c r="W107" i="1"/>
  <c r="Y107" i="1" s="1"/>
  <c r="U107" i="1" s="1"/>
  <c r="X107" i="1"/>
  <c r="Z107" i="1"/>
  <c r="AA107" i="1"/>
  <c r="T108" i="1"/>
  <c r="V108" i="1"/>
  <c r="W108" i="1"/>
  <c r="X108" i="1"/>
  <c r="Y108" i="1" s="1"/>
  <c r="U108" i="1" s="1"/>
  <c r="Z108" i="1"/>
  <c r="AA108" i="1"/>
  <c r="T109" i="1"/>
  <c r="V109" i="1"/>
  <c r="W109" i="1"/>
  <c r="Y109" i="1" s="1"/>
  <c r="U109" i="1" s="1"/>
  <c r="X109" i="1"/>
  <c r="Z109" i="1"/>
  <c r="AA109" i="1"/>
  <c r="T110" i="1"/>
  <c r="V110" i="1"/>
  <c r="W110" i="1"/>
  <c r="X110" i="1"/>
  <c r="Z110" i="1"/>
  <c r="AA110" i="1"/>
  <c r="T111" i="1"/>
  <c r="V111" i="1"/>
  <c r="W111" i="1"/>
  <c r="X111" i="1"/>
  <c r="Y111" i="1"/>
  <c r="U111" i="1" s="1"/>
  <c r="Z111" i="1"/>
  <c r="AA111" i="1"/>
  <c r="T112" i="1"/>
  <c r="V112" i="1"/>
  <c r="W112" i="1"/>
  <c r="X112" i="1"/>
  <c r="Y112" i="1" s="1"/>
  <c r="U112" i="1" s="1"/>
  <c r="Z112" i="1"/>
  <c r="AA112" i="1"/>
  <c r="T113" i="1"/>
  <c r="V113" i="1"/>
  <c r="W113" i="1"/>
  <c r="Y113" i="1" s="1"/>
  <c r="U113" i="1" s="1"/>
  <c r="X113" i="1"/>
  <c r="Z113" i="1"/>
  <c r="AA113" i="1"/>
  <c r="T114" i="1"/>
  <c r="V114" i="1"/>
  <c r="W114" i="1"/>
  <c r="X114" i="1"/>
  <c r="Z114" i="1"/>
  <c r="AA114" i="1"/>
  <c r="T115" i="1"/>
  <c r="V115" i="1"/>
  <c r="W115" i="1"/>
  <c r="Y115" i="1" s="1"/>
  <c r="U115" i="1" s="1"/>
  <c r="X115" i="1"/>
  <c r="Z115" i="1"/>
  <c r="AA115" i="1"/>
  <c r="T116" i="1"/>
  <c r="V116" i="1"/>
  <c r="W116" i="1"/>
  <c r="X116" i="1"/>
  <c r="Y116" i="1" s="1"/>
  <c r="U116" i="1" s="1"/>
  <c r="Z116" i="1"/>
  <c r="AA116" i="1"/>
  <c r="T117" i="1"/>
  <c r="V117" i="1"/>
  <c r="W117" i="1"/>
  <c r="Y117" i="1" s="1"/>
  <c r="U117" i="1" s="1"/>
  <c r="X117" i="1"/>
  <c r="Z117" i="1"/>
  <c r="AA117" i="1"/>
  <c r="T118" i="1"/>
  <c r="V118" i="1"/>
  <c r="W118" i="1"/>
  <c r="X118" i="1"/>
  <c r="Z118" i="1"/>
  <c r="AA118" i="1"/>
  <c r="T119" i="1"/>
  <c r="V119" i="1"/>
  <c r="W119" i="1"/>
  <c r="X119" i="1"/>
  <c r="Y119" i="1"/>
  <c r="U119" i="1" s="1"/>
  <c r="Z119" i="1"/>
  <c r="AA119" i="1"/>
  <c r="T120" i="1"/>
  <c r="V120" i="1"/>
  <c r="W120" i="1"/>
  <c r="X120" i="1"/>
  <c r="Y120" i="1" s="1"/>
  <c r="U120" i="1" s="1"/>
  <c r="Z120" i="1"/>
  <c r="AA120" i="1"/>
  <c r="T121" i="1"/>
  <c r="V121" i="1"/>
  <c r="W121" i="1"/>
  <c r="Y121" i="1" s="1"/>
  <c r="U121" i="1" s="1"/>
  <c r="X121" i="1"/>
  <c r="Z121" i="1"/>
  <c r="AA121" i="1"/>
  <c r="T122" i="1"/>
  <c r="V122" i="1"/>
  <c r="W122" i="1"/>
  <c r="X122" i="1"/>
  <c r="Z122" i="1"/>
  <c r="AA122" i="1"/>
  <c r="T123" i="1"/>
  <c r="V123" i="1"/>
  <c r="W123" i="1"/>
  <c r="Y123" i="1" s="1"/>
  <c r="U123" i="1" s="1"/>
  <c r="X123" i="1"/>
  <c r="Z123" i="1"/>
  <c r="AA123" i="1"/>
  <c r="T124" i="1"/>
  <c r="V124" i="1"/>
  <c r="W124" i="1"/>
  <c r="X124" i="1"/>
  <c r="Y124" i="1" s="1"/>
  <c r="U124" i="1" s="1"/>
  <c r="Z124" i="1"/>
  <c r="AA124" i="1"/>
  <c r="T125" i="1"/>
  <c r="V125" i="1"/>
  <c r="W125" i="1"/>
  <c r="Y125" i="1" s="1"/>
  <c r="U125" i="1" s="1"/>
  <c r="X125" i="1"/>
  <c r="Z125" i="1"/>
  <c r="AA125" i="1"/>
  <c r="T126" i="1"/>
  <c r="V126" i="1"/>
  <c r="W126" i="1"/>
  <c r="X126" i="1"/>
  <c r="Z126" i="1"/>
  <c r="AA126" i="1"/>
  <c r="T127" i="1"/>
  <c r="V127" i="1"/>
  <c r="W127" i="1"/>
  <c r="X127" i="1"/>
  <c r="Y127" i="1"/>
  <c r="U127" i="1" s="1"/>
  <c r="Z127" i="1"/>
  <c r="AA127" i="1"/>
  <c r="T128" i="1"/>
  <c r="V128" i="1"/>
  <c r="W128" i="1"/>
  <c r="X128" i="1"/>
  <c r="Y128" i="1" s="1"/>
  <c r="U128" i="1" s="1"/>
  <c r="Z128" i="1"/>
  <c r="AA128" i="1"/>
  <c r="T129" i="1"/>
  <c r="V129" i="1"/>
  <c r="W129" i="1"/>
  <c r="Y129" i="1" s="1"/>
  <c r="U129" i="1" s="1"/>
  <c r="X129" i="1"/>
  <c r="Z129" i="1"/>
  <c r="AA129" i="1"/>
  <c r="T130" i="1"/>
  <c r="V130" i="1"/>
  <c r="W130" i="1"/>
  <c r="X130" i="1"/>
  <c r="Z130" i="1"/>
  <c r="AA130" i="1"/>
  <c r="T131" i="1"/>
  <c r="V131" i="1"/>
  <c r="W131" i="1"/>
  <c r="Y131" i="1" s="1"/>
  <c r="U131" i="1" s="1"/>
  <c r="X131" i="1"/>
  <c r="Z131" i="1"/>
  <c r="AA131" i="1"/>
  <c r="T132" i="1"/>
  <c r="V132" i="1"/>
  <c r="W132" i="1"/>
  <c r="X132" i="1"/>
  <c r="Y132" i="1" s="1"/>
  <c r="U132" i="1" s="1"/>
  <c r="Z132" i="1"/>
  <c r="AA132" i="1"/>
  <c r="T133" i="1"/>
  <c r="V133" i="1"/>
  <c r="W133" i="1"/>
  <c r="Y133" i="1" s="1"/>
  <c r="U133" i="1" s="1"/>
  <c r="X133" i="1"/>
  <c r="Z133" i="1"/>
  <c r="AA133" i="1"/>
  <c r="T134" i="1"/>
  <c r="V134" i="1"/>
  <c r="W134" i="1"/>
  <c r="X134" i="1"/>
  <c r="Z134" i="1"/>
  <c r="AA134" i="1"/>
  <c r="T135" i="1"/>
  <c r="V135" i="1"/>
  <c r="W135" i="1"/>
  <c r="X135" i="1"/>
  <c r="Y135" i="1"/>
  <c r="U135" i="1" s="1"/>
  <c r="Z135" i="1"/>
  <c r="AA135" i="1"/>
  <c r="T136" i="1"/>
  <c r="V136" i="1"/>
  <c r="W136" i="1"/>
  <c r="X136" i="1"/>
  <c r="Y136" i="1" s="1"/>
  <c r="U136" i="1" s="1"/>
  <c r="Z136" i="1"/>
  <c r="AA136" i="1"/>
  <c r="T137" i="1"/>
  <c r="V137" i="1"/>
  <c r="W137" i="1"/>
  <c r="Y137" i="1" s="1"/>
  <c r="U137" i="1" s="1"/>
  <c r="X137" i="1"/>
  <c r="Z137" i="1"/>
  <c r="AA137" i="1"/>
  <c r="T138" i="1"/>
  <c r="V138" i="1"/>
  <c r="W138" i="1"/>
  <c r="X138" i="1"/>
  <c r="Z138" i="1"/>
  <c r="AA138" i="1"/>
  <c r="T139" i="1"/>
  <c r="V139" i="1"/>
  <c r="W139" i="1"/>
  <c r="Y139" i="1" s="1"/>
  <c r="U139" i="1" s="1"/>
  <c r="X139" i="1"/>
  <c r="Z139" i="1"/>
  <c r="AA139" i="1"/>
  <c r="Y138" i="1" l="1"/>
  <c r="U138" i="1" s="1"/>
  <c r="Y130" i="1"/>
  <c r="U130" i="1" s="1"/>
  <c r="Y122" i="1"/>
  <c r="U122" i="1" s="1"/>
  <c r="Y114" i="1"/>
  <c r="U114" i="1" s="1"/>
  <c r="Y106" i="1"/>
  <c r="U106" i="1" s="1"/>
  <c r="Y98" i="1"/>
  <c r="U98" i="1" s="1"/>
  <c r="Y90" i="1"/>
  <c r="U90" i="1" s="1"/>
  <c r="Y88" i="1"/>
  <c r="U88" i="1" s="1"/>
  <c r="Y86" i="1"/>
  <c r="U86" i="1" s="1"/>
  <c r="Y84" i="1"/>
  <c r="U84" i="1" s="1"/>
  <c r="Y82" i="1"/>
  <c r="U82" i="1" s="1"/>
  <c r="Y80" i="1"/>
  <c r="U80" i="1" s="1"/>
  <c r="Y78" i="1"/>
  <c r="U78" i="1" s="1"/>
  <c r="Y76" i="1"/>
  <c r="U76" i="1" s="1"/>
  <c r="Y74" i="1"/>
  <c r="U74" i="1" s="1"/>
  <c r="Y72" i="1"/>
  <c r="U72" i="1" s="1"/>
  <c r="Y70" i="1"/>
  <c r="U70" i="1" s="1"/>
  <c r="Y68" i="1"/>
  <c r="U68" i="1" s="1"/>
  <c r="Y66" i="1"/>
  <c r="U66" i="1" s="1"/>
  <c r="Y64" i="1"/>
  <c r="U64" i="1" s="1"/>
  <c r="Y62" i="1"/>
  <c r="U62" i="1" s="1"/>
  <c r="Y60" i="1"/>
  <c r="U60" i="1" s="1"/>
  <c r="Y58" i="1"/>
  <c r="U58" i="1" s="1"/>
  <c r="Y56" i="1"/>
  <c r="U56" i="1" s="1"/>
  <c r="Y54" i="1"/>
  <c r="U54" i="1" s="1"/>
  <c r="Y52" i="1"/>
  <c r="U52" i="1" s="1"/>
  <c r="Y50" i="1"/>
  <c r="U50" i="1" s="1"/>
  <c r="Y48" i="1"/>
  <c r="U48" i="1" s="1"/>
  <c r="Y6" i="1"/>
  <c r="U6" i="1" s="1"/>
  <c r="Y134" i="1"/>
  <c r="U134" i="1" s="1"/>
  <c r="Y126" i="1"/>
  <c r="U126" i="1" s="1"/>
  <c r="Y118" i="1"/>
  <c r="U118" i="1" s="1"/>
  <c r="Y110" i="1"/>
  <c r="U110" i="1" s="1"/>
  <c r="Y102" i="1"/>
  <c r="U102" i="1" s="1"/>
  <c r="Y94" i="1"/>
  <c r="U94" i="1" s="1"/>
  <c r="Y89" i="1"/>
  <c r="U89" i="1" s="1"/>
  <c r="Y87" i="1"/>
  <c r="U87" i="1" s="1"/>
  <c r="Y85" i="1"/>
  <c r="U85" i="1" s="1"/>
  <c r="Y83" i="1"/>
  <c r="U83" i="1" s="1"/>
  <c r="Y81" i="1"/>
  <c r="U81" i="1" s="1"/>
  <c r="Y79" i="1"/>
  <c r="U79" i="1" s="1"/>
  <c r="Y77" i="1"/>
  <c r="U77" i="1" s="1"/>
  <c r="Y75" i="1"/>
  <c r="U75" i="1" s="1"/>
  <c r="Y73" i="1"/>
  <c r="U73" i="1" s="1"/>
  <c r="Y71" i="1"/>
  <c r="U71" i="1" s="1"/>
  <c r="Y69" i="1"/>
  <c r="U69" i="1" s="1"/>
  <c r="Y67" i="1"/>
  <c r="U67" i="1" s="1"/>
  <c r="Y65" i="1"/>
  <c r="U65" i="1" s="1"/>
  <c r="Y63" i="1"/>
  <c r="U63" i="1" s="1"/>
  <c r="Y61" i="1"/>
  <c r="U61" i="1" s="1"/>
  <c r="Y59" i="1"/>
  <c r="U59" i="1" s="1"/>
  <c r="Y57" i="1"/>
  <c r="U57" i="1" s="1"/>
  <c r="Y55" i="1"/>
  <c r="U55" i="1" s="1"/>
  <c r="Y53" i="1"/>
  <c r="U53" i="1" s="1"/>
  <c r="Y51" i="1"/>
  <c r="U51" i="1" s="1"/>
  <c r="Y49" i="1"/>
  <c r="U49" i="1" s="1"/>
  <c r="Y47" i="1"/>
  <c r="U47" i="1" s="1"/>
  <c r="Y45" i="1"/>
  <c r="U45" i="1" s="1"/>
  <c r="Y43" i="1"/>
  <c r="U43" i="1" s="1"/>
  <c r="Y41" i="1"/>
  <c r="U41" i="1" s="1"/>
  <c r="Y39" i="1"/>
  <c r="U39" i="1" s="1"/>
  <c r="Y37" i="1"/>
  <c r="U37" i="1" s="1"/>
  <c r="Y35" i="1"/>
  <c r="U35" i="1" s="1"/>
  <c r="Y33" i="1"/>
  <c r="U33" i="1" s="1"/>
  <c r="Y31" i="1"/>
  <c r="U31" i="1" s="1"/>
  <c r="Y29" i="1"/>
  <c r="U29" i="1" s="1"/>
  <c r="Y27" i="1"/>
  <c r="U27" i="1" s="1"/>
  <c r="Y25" i="1"/>
  <c r="U25" i="1" s="1"/>
  <c r="Y23" i="1"/>
  <c r="U23" i="1" s="1"/>
  <c r="Y21" i="1"/>
  <c r="U21" i="1" s="1"/>
  <c r="Y19" i="1"/>
  <c r="U19" i="1" s="1"/>
  <c r="Y17" i="1"/>
  <c r="U17" i="1" s="1"/>
  <c r="Y15" i="1"/>
  <c r="U15" i="1" s="1"/>
  <c r="Y13" i="1"/>
  <c r="U13" i="1" s="1"/>
  <c r="Y11" i="1"/>
  <c r="U11" i="1" s="1"/>
  <c r="Y9" i="1"/>
  <c r="U9" i="1" s="1"/>
  <c r="Y7" i="1"/>
  <c r="U7" i="1" s="1"/>
  <c r="Y5" i="1"/>
  <c r="U5" i="1" s="1"/>
  <c r="P57" i="1"/>
  <c r="P13" i="1"/>
  <c r="Y46" i="1"/>
  <c r="U46" i="1" s="1"/>
  <c r="Y44" i="1"/>
  <c r="U44" i="1" s="1"/>
  <c r="Y42" i="1"/>
  <c r="U42" i="1" s="1"/>
  <c r="Y40" i="1"/>
  <c r="U40" i="1" s="1"/>
  <c r="Y38" i="1"/>
  <c r="U38" i="1" s="1"/>
  <c r="Y36" i="1"/>
  <c r="U36" i="1" s="1"/>
  <c r="Y34" i="1"/>
  <c r="U34" i="1" s="1"/>
  <c r="Y32" i="1"/>
  <c r="U32" i="1" s="1"/>
  <c r="Y30" i="1"/>
  <c r="U30" i="1" s="1"/>
  <c r="Y28" i="1"/>
  <c r="U28" i="1" s="1"/>
  <c r="Y26" i="1"/>
  <c r="U26" i="1" s="1"/>
  <c r="Y24" i="1"/>
  <c r="U24" i="1" s="1"/>
  <c r="Y22" i="1"/>
  <c r="U22" i="1" s="1"/>
  <c r="Y20" i="1"/>
  <c r="U20" i="1" s="1"/>
  <c r="Y18" i="1"/>
  <c r="U18" i="1" s="1"/>
  <c r="Y16" i="1"/>
  <c r="U16" i="1" s="1"/>
  <c r="Y14" i="1"/>
  <c r="U14" i="1" s="1"/>
  <c r="Y12" i="1"/>
  <c r="U12" i="1" s="1"/>
  <c r="Y10" i="1"/>
  <c r="U10" i="1" s="1"/>
  <c r="Y8" i="1"/>
  <c r="U8" i="1" s="1"/>
  <c r="L25" i="3"/>
  <c r="L26" i="3"/>
  <c r="L9" i="3"/>
  <c r="L27" i="3"/>
  <c r="L28" i="3"/>
  <c r="L29" i="3"/>
  <c r="L10" i="3"/>
  <c r="L30" i="3"/>
  <c r="L31" i="3"/>
  <c r="L32" i="3"/>
  <c r="L33" i="3"/>
  <c r="L11" i="3"/>
  <c r="L12" i="3"/>
  <c r="L13" i="3"/>
  <c r="L34" i="3"/>
  <c r="L3" i="3"/>
  <c r="L35" i="3"/>
  <c r="L16" i="3"/>
  <c r="L17" i="3"/>
  <c r="L18" i="3"/>
  <c r="L14" i="3"/>
  <c r="L19" i="3"/>
  <c r="L4" i="3"/>
  <c r="L36" i="3"/>
  <c r="L37" i="3"/>
  <c r="L20" i="3"/>
  <c r="L21" i="3"/>
  <c r="L48" i="3"/>
  <c r="L5" i="3"/>
  <c r="L6" i="3"/>
  <c r="L38" i="3"/>
  <c r="L39" i="3"/>
  <c r="L40" i="3"/>
  <c r="L41" i="3"/>
  <c r="L42" i="3"/>
  <c r="L43" i="3"/>
  <c r="L15" i="3"/>
  <c r="L44" i="3"/>
  <c r="L22" i="3"/>
  <c r="L23" i="3"/>
  <c r="L45" i="3"/>
  <c r="L7" i="3"/>
  <c r="L8" i="3"/>
  <c r="L46" i="3"/>
  <c r="L47" i="3"/>
  <c r="I141" i="1"/>
  <c r="J145" i="1"/>
  <c r="L24" i="3" l="1"/>
  <c r="J146" i="1" l="1"/>
  <c r="W4" i="1" l="1"/>
  <c r="X4" i="1"/>
  <c r="V3" i="1"/>
  <c r="Y4" i="1" l="1"/>
  <c r="V4" i="1" l="1"/>
  <c r="T4" i="1"/>
  <c r="Z4" i="1"/>
  <c r="AA4" i="1"/>
  <c r="T3" i="1"/>
  <c r="W3" i="1"/>
  <c r="X3" i="1"/>
  <c r="Z3" i="1"/>
  <c r="AA3" i="1"/>
  <c r="U4" i="1" l="1"/>
  <c r="Y3" i="1"/>
  <c r="U3" i="1" s="1"/>
  <c r="M50" i="3" l="1"/>
  <c r="M51" i="3" s="1"/>
  <c r="M145" i="1"/>
  <c r="K4" i="1" l="1"/>
  <c r="L4" i="1"/>
  <c r="M4" i="1"/>
  <c r="N4" i="1" s="1"/>
  <c r="K3" i="1"/>
  <c r="L3" i="1"/>
  <c r="M3" i="1"/>
  <c r="N3" i="1" s="1"/>
  <c r="J143" i="1" l="1"/>
  <c r="J147" i="1"/>
  <c r="J144" i="1"/>
  <c r="N144" i="1"/>
  <c r="A1" i="6"/>
  <c r="J148" i="1" l="1"/>
  <c r="N147" i="1"/>
  <c r="O147" i="1"/>
  <c r="O144" i="1"/>
  <c r="M147" i="1"/>
  <c r="A1" i="3" l="1"/>
  <c r="A1" i="1" l="1"/>
  <c r="O145" i="1" l="1"/>
  <c r="N145" i="1"/>
  <c r="M144" i="1" l="1"/>
</calcChain>
</file>

<file path=xl/connections.xml><?xml version="1.0" encoding="utf-8"?>
<connections xmlns="http://schemas.openxmlformats.org/spreadsheetml/2006/main">
  <connection id="1" name="Denver Train Runs 04122016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<sst xmlns="http://schemas.openxmlformats.org/spreadsheetml/2006/main" count="1695" uniqueCount="523">
  <si>
    <t>Train ID</t>
  </si>
  <si>
    <t>Departure/Init Location</t>
  </si>
  <si>
    <t>Initialization Date/Time (US/Mountain)</t>
  </si>
  <si>
    <t>Departure Date/Time (US/Mountain)</t>
  </si>
  <si>
    <t>Delay (minutes)</t>
  </si>
  <si>
    <t>Arrival Location</t>
  </si>
  <si>
    <t>Arrival Date/Time (US/Mountain)</t>
  </si>
  <si>
    <t>2083 Enforcements (count)</t>
  </si>
  <si>
    <t>Trip Length</t>
  </si>
  <si>
    <t>Cut out runs</t>
  </si>
  <si>
    <t>PTC Runs</t>
  </si>
  <si>
    <t>Average</t>
  </si>
  <si>
    <t>Min</t>
  </si>
  <si>
    <t>Max</t>
  </si>
  <si>
    <t>Total</t>
  </si>
  <si>
    <t>NA</t>
  </si>
  <si>
    <t>Total Completed PTC runs</t>
  </si>
  <si>
    <t>Single Init runs</t>
  </si>
  <si>
    <t>Cut out</t>
  </si>
  <si>
    <t>Total Completed PTC runs (%)</t>
  </si>
  <si>
    <t>Trip Start MP</t>
  </si>
  <si>
    <t>Trip End MP</t>
  </si>
  <si>
    <t>Trip Distance</t>
  </si>
  <si>
    <t>Concerning?</t>
  </si>
  <si>
    <t>Comments</t>
  </si>
  <si>
    <t>Operating Date</t>
  </si>
  <si>
    <t>Onboard Software Version</t>
  </si>
  <si>
    <t>Training enforcement</t>
  </si>
  <si>
    <t>Possible System Enforcement</t>
  </si>
  <si>
    <t>System Enforcement Y/N</t>
  </si>
  <si>
    <t xml:space="preserve">Data.Enforcement Direction of Travel </t>
  </si>
  <si>
    <t xml:space="preserve">Data.Target Start Milepost </t>
  </si>
  <si>
    <t xml:space="preserve">Data.Target Type </t>
  </si>
  <si>
    <t xml:space="preserve">Data.Enforcement Start Milepost </t>
  </si>
  <si>
    <t xml:space="preserve">Data.Enforcement Train Speed </t>
  </si>
  <si>
    <t xml:space="preserve">Data.Target Speed </t>
  </si>
  <si>
    <t xml:space="preserve">Data.Target Description </t>
  </si>
  <si>
    <t xml:space="preserve">Data.Warning/Enforcement Type </t>
  </si>
  <si>
    <t xml:space="preserve">Data.Train ID </t>
  </si>
  <si>
    <t xml:space="preserve">Source </t>
  </si>
  <si>
    <t xml:space="preserve">Time </t>
  </si>
  <si>
    <t>Enforcement MP</t>
  </si>
  <si>
    <t>Enforcement Desc</t>
  </si>
  <si>
    <t>w/o multiple inits</t>
  </si>
  <si>
    <t>w/ multiple inits</t>
  </si>
  <si>
    <t>Multi Init runs</t>
  </si>
  <si>
    <t>Loco ID</t>
  </si>
  <si>
    <t>Kibana Link</t>
  </si>
  <si>
    <t>Threshold for Pink Highlight (Slow Run) (mins)</t>
  </si>
  <si>
    <t>Status</t>
  </si>
  <si>
    <t>Operator Name</t>
  </si>
  <si>
    <t>Difference between last trip</t>
  </si>
  <si>
    <t>Predictive Enforcement (2)</t>
  </si>
  <si>
    <t>TRACK WARRANT AUTHORITY</t>
  </si>
  <si>
    <t>Form based authority (4)</t>
  </si>
  <si>
    <t>Increasing Mileposts (1)</t>
  </si>
  <si>
    <t>Decreasing Mileposts (2)</t>
  </si>
  <si>
    <t>Reactive Enforcement (3)</t>
  </si>
  <si>
    <t>SIGNAL</t>
  </si>
  <si>
    <t>Signal based authority (5)</t>
  </si>
  <si>
    <t>PERMANENT SPEED RESTRICTION</t>
  </si>
  <si>
    <t>Speed (6)</t>
  </si>
  <si>
    <t>YOUNG</t>
  </si>
  <si>
    <t>BARTLETT</t>
  </si>
  <si>
    <t>rtdc.l.rtdc.4020:itc</t>
  </si>
  <si>
    <t>rtdc.l.rtdc.4019:itc</t>
  </si>
  <si>
    <t>DE.1.0.6.0</t>
  </si>
  <si>
    <t>204:233310</t>
  </si>
  <si>
    <t>204:233295</t>
  </si>
  <si>
    <t>204:232978</t>
  </si>
  <si>
    <t>204:156</t>
  </si>
  <si>
    <t>204:232985</t>
  </si>
  <si>
    <t>204:149</t>
  </si>
  <si>
    <t>204:233303</t>
  </si>
  <si>
    <t>204:232991</t>
  </si>
  <si>
    <t>204:154</t>
  </si>
  <si>
    <t>204:232989</t>
  </si>
  <si>
    <t>204:145</t>
  </si>
  <si>
    <t>204:447</t>
  </si>
  <si>
    <t>204:136</t>
  </si>
  <si>
    <t>204:233308</t>
  </si>
  <si>
    <t>204:455</t>
  </si>
  <si>
    <t>204:451</t>
  </si>
  <si>
    <t>204:233000</t>
  </si>
  <si>
    <t>204:453</t>
  </si>
  <si>
    <t>204:233299</t>
  </si>
  <si>
    <t>204:152</t>
  </si>
  <si>
    <t>204:233312</t>
  </si>
  <si>
    <t>204:446</t>
  </si>
  <si>
    <t>204:232994</t>
  </si>
  <si>
    <t>204:464</t>
  </si>
  <si>
    <t>204:161</t>
  </si>
  <si>
    <t>204:232980</t>
  </si>
  <si>
    <t>N</t>
  </si>
  <si>
    <t>baselines:</t>
  </si>
  <si>
    <t>sunday - thu - 144/day</t>
  </si>
  <si>
    <t>fri-sat - 146/day</t>
  </si>
  <si>
    <t>rtdc.l.rtdc.4008:itc</t>
  </si>
  <si>
    <t>rtdc.l.rtdc.4007:itc</t>
  </si>
  <si>
    <t>204:141</t>
  </si>
  <si>
    <t>204:150</t>
  </si>
  <si>
    <t>204:232975</t>
  </si>
  <si>
    <t>204:232990</t>
  </si>
  <si>
    <t>Married Pair</t>
  </si>
  <si>
    <t>204:233315</t>
  </si>
  <si>
    <t>204:147</t>
  </si>
  <si>
    <t>204:480</t>
  </si>
  <si>
    <t>RIVERA</t>
  </si>
  <si>
    <t>204:232986</t>
  </si>
  <si>
    <t>BRUDER</t>
  </si>
  <si>
    <t>CHANDLER</t>
  </si>
  <si>
    <t>STORY</t>
  </si>
  <si>
    <t>204:138</t>
  </si>
  <si>
    <t>204:158</t>
  </si>
  <si>
    <t>204:232984</t>
  </si>
  <si>
    <t>204:467</t>
  </si>
  <si>
    <t>REBOLETTI</t>
  </si>
  <si>
    <t>204:458</t>
  </si>
  <si>
    <t>204:469</t>
  </si>
  <si>
    <t>rtdc.l.rtdc.4040:itc</t>
  </si>
  <si>
    <t>rtdc.l.rtdc.4013:itc</t>
  </si>
  <si>
    <t>rtdc.l.rtdc.4039:itc</t>
  </si>
  <si>
    <t>204:233307</t>
  </si>
  <si>
    <t>STEWART</t>
  </si>
  <si>
    <t>DE LA ROSA</t>
  </si>
  <si>
    <t>LEVIN</t>
  </si>
  <si>
    <t>rtdc.l.rtdc.4017:itc</t>
  </si>
  <si>
    <t>204:139</t>
  </si>
  <si>
    <t>204:233306</t>
  </si>
  <si>
    <t>204:444</t>
  </si>
  <si>
    <t>rtdc.l.rtdc.4018:itc</t>
  </si>
  <si>
    <t>MALAVE</t>
  </si>
  <si>
    <t>204:232973</t>
  </si>
  <si>
    <t>204:130</t>
  </si>
  <si>
    <t>112-15</t>
  </si>
  <si>
    <t>rtdc.l.rtdc.4024:itc</t>
  </si>
  <si>
    <t>rtdc.l.rtdc.4016:itc</t>
  </si>
  <si>
    <t>rtdc.l.rtdc.4023:itc</t>
  </si>
  <si>
    <t>rtdc.l.rtdc.4031:itc</t>
  </si>
  <si>
    <t>rtdc.l.rtdc.4015:itc</t>
  </si>
  <si>
    <t>183-15</t>
  </si>
  <si>
    <t>rtdc.l.rtdc.4030:itc</t>
  </si>
  <si>
    <t>rtdc.l.rtdc.4029:itc</t>
  </si>
  <si>
    <t>104-15</t>
  </si>
  <si>
    <t>204:475</t>
  </si>
  <si>
    <t>204:233302</t>
  </si>
  <si>
    <t>113-15</t>
  </si>
  <si>
    <t>204:449</t>
  </si>
  <si>
    <t>204:232996</t>
  </si>
  <si>
    <t>204:232998</t>
  </si>
  <si>
    <t>123-15</t>
  </si>
  <si>
    <t>204:233321</t>
  </si>
  <si>
    <t>204:435</t>
  </si>
  <si>
    <t>204:160</t>
  </si>
  <si>
    <t>148-15</t>
  </si>
  <si>
    <t>204:460</t>
  </si>
  <si>
    <t>171-15</t>
  </si>
  <si>
    <t>176-15</t>
  </si>
  <si>
    <t>178-15</t>
  </si>
  <si>
    <t>206-15</t>
  </si>
  <si>
    <t>238-15</t>
  </si>
  <si>
    <t>HONTZ</t>
  </si>
  <si>
    <t>STARKS</t>
  </si>
  <si>
    <t>GEBRETEKLE</t>
  </si>
  <si>
    <t>LEDERHAUSE</t>
  </si>
  <si>
    <t>BUTLER</t>
  </si>
  <si>
    <t>NELSON</t>
  </si>
  <si>
    <t>ACKERMAN</t>
  </si>
  <si>
    <t>rtdc.l.rtdc.4032:itc</t>
  </si>
  <si>
    <t>rtdc.l.rtdc.4012:itc</t>
  </si>
  <si>
    <t>rtdc.l.rtdc.4011:itc</t>
  </si>
  <si>
    <t>STURGEON</t>
  </si>
  <si>
    <t>BONDS</t>
  </si>
  <si>
    <t>rtdc.l.rtdc.4043:itc</t>
  </si>
  <si>
    <t>102-16</t>
  </si>
  <si>
    <t>240-14</t>
  </si>
  <si>
    <t>LEVERE</t>
  </si>
  <si>
    <t>115-16</t>
  </si>
  <si>
    <t>130-16</t>
  </si>
  <si>
    <t>123-16</t>
  </si>
  <si>
    <t>158-16</t>
  </si>
  <si>
    <t>rtdc.l.rtdc.4044:itc</t>
  </si>
  <si>
    <t>GRADE CROSSING</t>
  </si>
  <si>
    <t>Bulletin (2)</t>
  </si>
  <si>
    <t>rtdc.l.rtdc.4042:itc</t>
  </si>
  <si>
    <t>YORK</t>
  </si>
  <si>
    <t>ADANE</t>
  </si>
  <si>
    <t>rtdc.l.rtdc.4041:itc</t>
  </si>
  <si>
    <t>HAUSER</t>
  </si>
  <si>
    <t>STRICKLAND</t>
  </si>
  <si>
    <t>rtdc.l.rtdc.4026:itc</t>
  </si>
  <si>
    <t>Y</t>
  </si>
  <si>
    <t>204:233293</t>
  </si>
  <si>
    <t>204:232987</t>
  </si>
  <si>
    <t>204:163</t>
  </si>
  <si>
    <t>204:233314</t>
  </si>
  <si>
    <t>204:232979</t>
  </si>
  <si>
    <t>204:232993</t>
  </si>
  <si>
    <t>204:478</t>
  </si>
  <si>
    <t>204:233334</t>
  </si>
  <si>
    <t>204:744</t>
  </si>
  <si>
    <t>204:233278</t>
  </si>
  <si>
    <t>204:233274</t>
  </si>
  <si>
    <t>204:232963</t>
  </si>
  <si>
    <t>204:233288</t>
  </si>
  <si>
    <t>204:473</t>
  </si>
  <si>
    <t>204:477</t>
  </si>
  <si>
    <t>204:233002</t>
  </si>
  <si>
    <t>204:232977</t>
  </si>
  <si>
    <t>204:233331</t>
  </si>
  <si>
    <t>204:233304</t>
  </si>
  <si>
    <t>204:187</t>
  </si>
  <si>
    <t>204:233327</t>
  </si>
  <si>
    <t>204:466</t>
  </si>
  <si>
    <t>204:172</t>
  </si>
  <si>
    <t>204:233011</t>
  </si>
  <si>
    <t>204:233284</t>
  </si>
  <si>
    <t>204:232961</t>
  </si>
  <si>
    <t>204:143</t>
  </si>
  <si>
    <t>220-17</t>
  </si>
  <si>
    <t>222-17</t>
  </si>
  <si>
    <t>223-17</t>
  </si>
  <si>
    <t>224-17</t>
  </si>
  <si>
    <t>225-17</t>
  </si>
  <si>
    <t>226-17</t>
  </si>
  <si>
    <t>227-17</t>
  </si>
  <si>
    <t>228-17</t>
  </si>
  <si>
    <t>229-17</t>
  </si>
  <si>
    <t>230-17</t>
  </si>
  <si>
    <t>204:232970</t>
  </si>
  <si>
    <t>231-17</t>
  </si>
  <si>
    <t>232-17</t>
  </si>
  <si>
    <t>233-17</t>
  </si>
  <si>
    <t>234-17</t>
  </si>
  <si>
    <t>235-17</t>
  </si>
  <si>
    <t>236-17</t>
  </si>
  <si>
    <t>237-17</t>
  </si>
  <si>
    <t>238-17</t>
  </si>
  <si>
    <t>239-17</t>
  </si>
  <si>
    <t>240-17</t>
  </si>
  <si>
    <t>241-17</t>
  </si>
  <si>
    <t>242-17</t>
  </si>
  <si>
    <t>243-17</t>
  </si>
  <si>
    <t>244-17</t>
  </si>
  <si>
    <t>rtdc.l.rtdc.4025:itc</t>
  </si>
  <si>
    <t>NEWELL</t>
  </si>
  <si>
    <t>101-18</t>
  </si>
  <si>
    <t>GOLIGHTLY</t>
  </si>
  <si>
    <t>COOLAHAN</t>
  </si>
  <si>
    <t>109-18</t>
  </si>
  <si>
    <t>111-18</t>
  </si>
  <si>
    <t>114-18</t>
  </si>
  <si>
    <t>116-18</t>
  </si>
  <si>
    <t>121-18</t>
  </si>
  <si>
    <t>125-18</t>
  </si>
  <si>
    <t>112-18</t>
  </si>
  <si>
    <t>123-18</t>
  </si>
  <si>
    <t>113-18</t>
  </si>
  <si>
    <t>rtdc.l.rtdc.4038:itc</t>
  </si>
  <si>
    <t>105-18</t>
  </si>
  <si>
    <t>110-18</t>
  </si>
  <si>
    <t>117-18</t>
  </si>
  <si>
    <t>rtdc.l.rtdc.4037:itc</t>
  </si>
  <si>
    <t>120-18</t>
  </si>
  <si>
    <t>104-18</t>
  </si>
  <si>
    <t>107-18</t>
  </si>
  <si>
    <t>103-18</t>
  </si>
  <si>
    <t>118-18</t>
  </si>
  <si>
    <t>119-18</t>
  </si>
  <si>
    <t>106-18</t>
  </si>
  <si>
    <t>102-18</t>
  </si>
  <si>
    <t>108-18</t>
  </si>
  <si>
    <t>115-18</t>
  </si>
  <si>
    <t>127-18</t>
  </si>
  <si>
    <t>Closed</t>
  </si>
  <si>
    <t>204:770</t>
  </si>
  <si>
    <t>204:232658</t>
  </si>
  <si>
    <t>204:233355</t>
  </si>
  <si>
    <t>204:232717</t>
  </si>
  <si>
    <t>204:170</t>
  </si>
  <si>
    <t>204:788</t>
  </si>
  <si>
    <t>204:233249</t>
  </si>
  <si>
    <t>204:232604</t>
  </si>
  <si>
    <t>204:1921</t>
  </si>
  <si>
    <t>204:233291</t>
  </si>
  <si>
    <t>204:232981</t>
  </si>
  <si>
    <t>204:19125</t>
  </si>
  <si>
    <t>204:233336</t>
  </si>
  <si>
    <t>204:768</t>
  </si>
  <si>
    <t>204:1213</t>
  </si>
  <si>
    <t>204:233372</t>
  </si>
  <si>
    <t>204:233069</t>
  </si>
  <si>
    <t>204:233378</t>
  </si>
  <si>
    <t>204:233047</t>
  </si>
  <si>
    <t>204:1486</t>
  </si>
  <si>
    <t>204:233316</t>
  </si>
  <si>
    <t>204:233015</t>
  </si>
  <si>
    <t>122-18</t>
  </si>
  <si>
    <t>124-18</t>
  </si>
  <si>
    <t>126-18</t>
  </si>
  <si>
    <t>128-18</t>
  </si>
  <si>
    <t>129-18</t>
  </si>
  <si>
    <t>130-18</t>
  </si>
  <si>
    <t>131-18</t>
  </si>
  <si>
    <t>204:233320</t>
  </si>
  <si>
    <t>132-18</t>
  </si>
  <si>
    <t>204:121</t>
  </si>
  <si>
    <t>133-18</t>
  </si>
  <si>
    <t>204:484</t>
  </si>
  <si>
    <t>204:233342</t>
  </si>
  <si>
    <t>134-18</t>
  </si>
  <si>
    <t>135-18</t>
  </si>
  <si>
    <t>136-18</t>
  </si>
  <si>
    <t>137-18</t>
  </si>
  <si>
    <t>204:429</t>
  </si>
  <si>
    <t>204:233361</t>
  </si>
  <si>
    <t>138-18</t>
  </si>
  <si>
    <t>139-18</t>
  </si>
  <si>
    <t>204:1158</t>
  </si>
  <si>
    <t>140-18</t>
  </si>
  <si>
    <t>204:134</t>
  </si>
  <si>
    <t>141-18</t>
  </si>
  <si>
    <t>142-18</t>
  </si>
  <si>
    <t>143-18</t>
  </si>
  <si>
    <t>204:233282</t>
  </si>
  <si>
    <t>144-18</t>
  </si>
  <si>
    <t>204:232946</t>
  </si>
  <si>
    <t>204:64157</t>
  </si>
  <si>
    <t>145-18</t>
  </si>
  <si>
    <t>204:420</t>
  </si>
  <si>
    <t>146-18</t>
  </si>
  <si>
    <t>204:233055</t>
  </si>
  <si>
    <t>204:327</t>
  </si>
  <si>
    <t>147-18</t>
  </si>
  <si>
    <t>148-18</t>
  </si>
  <si>
    <t>149-18</t>
  </si>
  <si>
    <t>150-18</t>
  </si>
  <si>
    <t>204:64031</t>
  </si>
  <si>
    <t>204:36782</t>
  </si>
  <si>
    <t>204:349</t>
  </si>
  <si>
    <t>151-18</t>
  </si>
  <si>
    <t>152-18</t>
  </si>
  <si>
    <t>204:18936</t>
  </si>
  <si>
    <t>204:232959</t>
  </si>
  <si>
    <t>204:64064</t>
  </si>
  <si>
    <t>153-18</t>
  </si>
  <si>
    <t>204:5893</t>
  </si>
  <si>
    <t>155-18</t>
  </si>
  <si>
    <t>157-18</t>
  </si>
  <si>
    <t>204:1232</t>
  </si>
  <si>
    <t>158-18</t>
  </si>
  <si>
    <t>204:347</t>
  </si>
  <si>
    <t>159-18</t>
  </si>
  <si>
    <t>204:233255</t>
  </si>
  <si>
    <t>160-18</t>
  </si>
  <si>
    <t>204:64155</t>
  </si>
  <si>
    <t>204:36767</t>
  </si>
  <si>
    <t>204:20997</t>
  </si>
  <si>
    <t>161-18</t>
  </si>
  <si>
    <t>204:657</t>
  </si>
  <si>
    <t>163-18</t>
  </si>
  <si>
    <t>204:402</t>
  </si>
  <si>
    <t>204:233305</t>
  </si>
  <si>
    <t>165-18</t>
  </si>
  <si>
    <t>204:664</t>
  </si>
  <si>
    <t>204:233276</t>
  </si>
  <si>
    <t>166-18</t>
  </si>
  <si>
    <t>204:232969</t>
  </si>
  <si>
    <t>167-18</t>
  </si>
  <si>
    <t>204:440</t>
  </si>
  <si>
    <t>168-18</t>
  </si>
  <si>
    <t>170-18</t>
  </si>
  <si>
    <t>204:232971</t>
  </si>
  <si>
    <t>171-18</t>
  </si>
  <si>
    <t>204:1069</t>
  </si>
  <si>
    <t>172-18</t>
  </si>
  <si>
    <t>173-18</t>
  </si>
  <si>
    <t>176-18</t>
  </si>
  <si>
    <t>177-18</t>
  </si>
  <si>
    <t>204:648</t>
  </si>
  <si>
    <t>178-18</t>
  </si>
  <si>
    <t>179-18</t>
  </si>
  <si>
    <t>180-18</t>
  </si>
  <si>
    <t>181-18</t>
  </si>
  <si>
    <t>204:462</t>
  </si>
  <si>
    <t>204:233309</t>
  </si>
  <si>
    <t>182-18</t>
  </si>
  <si>
    <t>183-18</t>
  </si>
  <si>
    <t>204:233323</t>
  </si>
  <si>
    <t>184-18</t>
  </si>
  <si>
    <t>185-18</t>
  </si>
  <si>
    <t>186-18</t>
  </si>
  <si>
    <t>204:198</t>
  </si>
  <si>
    <t>187-18</t>
  </si>
  <si>
    <t>204:233317</t>
  </si>
  <si>
    <t>188-18</t>
  </si>
  <si>
    <t>189-18</t>
  </si>
  <si>
    <t>204:491</t>
  </si>
  <si>
    <t>204:233268</t>
  </si>
  <si>
    <t>191-18</t>
  </si>
  <si>
    <t>193-18</t>
  </si>
  <si>
    <t>204:233318</t>
  </si>
  <si>
    <t>194-18</t>
  </si>
  <si>
    <t>195-18</t>
  </si>
  <si>
    <t>196-18</t>
  </si>
  <si>
    <t>197-18</t>
  </si>
  <si>
    <t>198-18</t>
  </si>
  <si>
    <t>200-18</t>
  </si>
  <si>
    <t>204:962</t>
  </si>
  <si>
    <t>201-18</t>
  </si>
  <si>
    <t>202-18</t>
  </si>
  <si>
    <t>203-18</t>
  </si>
  <si>
    <t>204:331</t>
  </si>
  <si>
    <t>204-18</t>
  </si>
  <si>
    <t>205-18</t>
  </si>
  <si>
    <t>204:233322</t>
  </si>
  <si>
    <t>207-18</t>
  </si>
  <si>
    <t>204:233344</t>
  </si>
  <si>
    <t>208-18</t>
  </si>
  <si>
    <t>209-18</t>
  </si>
  <si>
    <t>210-18</t>
  </si>
  <si>
    <t>211-18</t>
  </si>
  <si>
    <t>212-18</t>
  </si>
  <si>
    <t>213-18</t>
  </si>
  <si>
    <t>215-18</t>
  </si>
  <si>
    <t>216-18</t>
  </si>
  <si>
    <t>204:233006</t>
  </si>
  <si>
    <t>204:185</t>
  </si>
  <si>
    <t>217-18</t>
  </si>
  <si>
    <t>218-18</t>
  </si>
  <si>
    <t>219-18</t>
  </si>
  <si>
    <t>220-18</t>
  </si>
  <si>
    <t>221-18</t>
  </si>
  <si>
    <t>222-18</t>
  </si>
  <si>
    <t>223-18</t>
  </si>
  <si>
    <t>204:233287</t>
  </si>
  <si>
    <t>224-18</t>
  </si>
  <si>
    <t>225-18</t>
  </si>
  <si>
    <t>226-18</t>
  </si>
  <si>
    <t>204:129</t>
  </si>
  <si>
    <t>227-18</t>
  </si>
  <si>
    <t>228-18</t>
  </si>
  <si>
    <t>229-18</t>
  </si>
  <si>
    <t>230-18</t>
  </si>
  <si>
    <t>231-18</t>
  </si>
  <si>
    <t>232-18</t>
  </si>
  <si>
    <t>233-18</t>
  </si>
  <si>
    <t>234-18</t>
  </si>
  <si>
    <t>235-18</t>
  </si>
  <si>
    <t>236-18</t>
  </si>
  <si>
    <t>237-18</t>
  </si>
  <si>
    <t>204:497</t>
  </si>
  <si>
    <t>238-18</t>
  </si>
  <si>
    <t>239-18</t>
  </si>
  <si>
    <t>240-18</t>
  </si>
  <si>
    <t>241-18</t>
  </si>
  <si>
    <t>242-18</t>
  </si>
  <si>
    <t>243-18</t>
  </si>
  <si>
    <t>244-18</t>
  </si>
  <si>
    <t>204:1237</t>
  </si>
  <si>
    <t>305-18</t>
  </si>
  <si>
    <t>UNHEALTHY CROSSING</t>
  </si>
  <si>
    <t>Other (9)</t>
  </si>
  <si>
    <t>SPECTOR</t>
  </si>
  <si>
    <t>106-19</t>
  </si>
  <si>
    <t>121-19</t>
  </si>
  <si>
    <t>JACKSON</t>
  </si>
  <si>
    <t>117-19</t>
  </si>
  <si>
    <t>125-19</t>
  </si>
  <si>
    <t>110-19</t>
  </si>
  <si>
    <t>214-18</t>
  </si>
  <si>
    <t>190-18</t>
  </si>
  <si>
    <t>YANAI</t>
  </si>
  <si>
    <t>116-19</t>
  </si>
  <si>
    <t>CUSHING</t>
  </si>
  <si>
    <t>105-19</t>
  </si>
  <si>
    <t>103-19</t>
  </si>
  <si>
    <t>119-19</t>
  </si>
  <si>
    <t>112-19</t>
  </si>
  <si>
    <t>114-19</t>
  </si>
  <si>
    <t>123-19</t>
  </si>
  <si>
    <t>102-19</t>
  </si>
  <si>
    <t>101-19</t>
  </si>
  <si>
    <t>108-19</t>
  </si>
  <si>
    <t>107-19</t>
  </si>
  <si>
    <t>113-19</t>
  </si>
  <si>
    <t>109-19</t>
  </si>
  <si>
    <t>120-19</t>
  </si>
  <si>
    <t>127-19</t>
  </si>
  <si>
    <t>164-18</t>
  </si>
  <si>
    <t>104-19</t>
  </si>
  <si>
    <t>115-19</t>
  </si>
  <si>
    <t>118-19</t>
  </si>
  <si>
    <t>111-19</t>
  </si>
  <si>
    <t>308-19</t>
  </si>
  <si>
    <t>Repeat trip number?</t>
  </si>
  <si>
    <t>206-18</t>
  </si>
  <si>
    <t>199-18</t>
  </si>
  <si>
    <t>192-18</t>
  </si>
  <si>
    <t>174-18</t>
  </si>
  <si>
    <t>175-18</t>
  </si>
  <si>
    <t>169-18</t>
  </si>
  <si>
    <t>162-18</t>
  </si>
  <si>
    <t>154-18</t>
  </si>
  <si>
    <t>156-18</t>
  </si>
  <si>
    <t>Initialized, but cut out before trip started</t>
  </si>
  <si>
    <t>Offered, not chosen</t>
  </si>
  <si>
    <t>Premature downgrade at EC0629XH 68-2T 2S</t>
  </si>
  <si>
    <t>Aspect of virtual signal was Stop &amp; Proceed</t>
  </si>
  <si>
    <t>Repeat of prior</t>
  </si>
  <si>
    <t>Kibana URL</t>
  </si>
  <si>
    <t>Form C @ NB Quebec</t>
  </si>
  <si>
    <t>Form C @ Ulster</t>
  </si>
  <si>
    <t>Disarm failed, Onboard declared unhealthy (more analysis needed)</t>
  </si>
  <si>
    <t>Routing at DUS 2N (signal was at STOP), train ran in ATC from DUS to 38th</t>
  </si>
  <si>
    <t>Routing at DIA 2N (signal was at STOP). Dispatcher?</t>
  </si>
  <si>
    <t>WIU (EC2241RH) connectivity to Back Office was intermittent</t>
  </si>
  <si>
    <t>Issues with releasing Form C</t>
  </si>
  <si>
    <t>Ulster signal failure</t>
  </si>
  <si>
    <t>Ulster signal failure (Premature downgrade at EC0629XH 68-2T 2S, ran in ATC remainder of trip)</t>
  </si>
  <si>
    <t>Ulster signal failure (Aspect of virtual signal was Stop &amp; Proceed, train ran in ATC to get past signal)</t>
  </si>
  <si>
    <t>Issues with releasing Form C; comparator issue caused comm outage</t>
  </si>
  <si>
    <t>Comparator Issue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</si>
</sst>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:ss;@"/>
    <numFmt numFmtId="165" formatCode="0.0%"/>
    <numFmt numFmtId="166" formatCode="yyyy\-mm\-dd"/>
    <numFmt numFmtId="167" formatCode="yyyy\-mm\-dd\ hh:mm:ss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20" fontId="0" fillId="0" borderId="0" xfId="0" applyNumberFormat="1" applyFill="1" applyAlignment="1">
      <alignment wrapText="1"/>
    </xf>
    <xf numFmtId="0" fontId="0" fillId="0" borderId="0" xfId="0" applyFill="1"/>
    <xf numFmtId="0" fontId="0" fillId="0" borderId="4" xfId="0" applyBorder="1" applyAlignment="1">
      <alignment horizontal="center" vertical="center"/>
    </xf>
    <xf numFmtId="1" fontId="0" fillId="0" borderId="0" xfId="0" applyNumberFormat="1"/>
    <xf numFmtId="1" fontId="0" fillId="0" borderId="0" xfId="0" applyNumberFormat="1" applyFill="1"/>
    <xf numFmtId="1" fontId="0" fillId="0" borderId="3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/>
    </xf>
    <xf numFmtId="0" fontId="0" fillId="0" borderId="3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164" fontId="0" fillId="0" borderId="5" xfId="0" applyNumberFormat="1" applyFill="1" applyBorder="1" applyAlignment="1">
      <alignment horizontal="left"/>
    </xf>
    <xf numFmtId="1" fontId="0" fillId="0" borderId="5" xfId="0" applyNumberFormat="1" applyFill="1" applyBorder="1" applyAlignment="1">
      <alignment horizontal="left"/>
    </xf>
    <xf numFmtId="167" fontId="0" fillId="0" borderId="0" xfId="0" applyNumberFormat="1"/>
    <xf numFmtId="0" fontId="0" fillId="0" borderId="7" xfId="0" applyBorder="1"/>
    <xf numFmtId="0" fontId="0" fillId="0" borderId="6" xfId="0" applyBorder="1" applyAlignment="1">
      <alignment vertical="center" wrapText="1"/>
    </xf>
    <xf numFmtId="0" fontId="0" fillId="2" borderId="10" xfId="0" applyFill="1" applyBorder="1"/>
    <xf numFmtId="0" fontId="0" fillId="2" borderId="11" xfId="0" applyFill="1" applyBorder="1" applyAlignment="1">
      <alignment vertical="center" wrapText="1"/>
    </xf>
    <xf numFmtId="0" fontId="0" fillId="0" borderId="0" xfId="0" applyFill="1" applyAlignment="1"/>
    <xf numFmtId="0" fontId="0" fillId="0" borderId="5" xfId="0" applyFill="1" applyBorder="1" applyAlignment="1"/>
    <xf numFmtId="0" fontId="0" fillId="0" borderId="5" xfId="0" applyFill="1" applyBorder="1" applyAlignment="1">
      <alignment vertical="center"/>
    </xf>
    <xf numFmtId="0" fontId="0" fillId="0" borderId="5" xfId="0" applyBorder="1" applyAlignment="1">
      <alignment vertical="center"/>
    </xf>
    <xf numFmtId="167" fontId="0" fillId="0" borderId="5" xfId="0" applyNumberFormat="1" applyBorder="1" applyAlignment="1">
      <alignment vertical="center"/>
    </xf>
    <xf numFmtId="0" fontId="1" fillId="0" borderId="5" xfId="0" applyFont="1" applyFill="1" applyBorder="1" applyAlignment="1">
      <alignment horizontal="center" vertical="center" wrapText="1"/>
    </xf>
    <xf numFmtId="167" fontId="1" fillId="0" borderId="5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3" fillId="0" borderId="8" xfId="0" applyFont="1" applyBorder="1" applyAlignment="1">
      <alignment horizontal="center" wrapText="1"/>
    </xf>
    <xf numFmtId="166" fontId="4" fillId="0" borderId="9" xfId="0" applyNumberFormat="1" applyFont="1" applyBorder="1" applyAlignment="1">
      <alignment horizontal="center" vertical="center" wrapText="1"/>
    </xf>
    <xf numFmtId="167" fontId="0" fillId="0" borderId="5" xfId="0" applyNumberFormat="1" applyFill="1" applyBorder="1" applyAlignment="1">
      <alignment horizontal="left"/>
    </xf>
    <xf numFmtId="167" fontId="0" fillId="0" borderId="0" xfId="0" applyNumberFormat="1" applyFill="1"/>
    <xf numFmtId="167" fontId="0" fillId="0" borderId="3" xfId="0" applyNumberFormat="1" applyBorder="1" applyAlignment="1">
      <alignment horizontal="right" vertical="center" wrapText="1"/>
    </xf>
    <xf numFmtId="167" fontId="0" fillId="2" borderId="3" xfId="0" applyNumberFormat="1" applyFill="1" applyBorder="1" applyAlignment="1">
      <alignment horizontal="right" vertical="center" wrapText="1"/>
    </xf>
    <xf numFmtId="167" fontId="0" fillId="3" borderId="3" xfId="0" applyNumberFormat="1" applyFill="1" applyBorder="1" applyAlignment="1">
      <alignment horizontal="right" vertical="center" wrapText="1"/>
    </xf>
    <xf numFmtId="20" fontId="0" fillId="0" borderId="2" xfId="0" applyNumberFormat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wrapText="1"/>
    </xf>
    <xf numFmtId="0" fontId="1" fillId="0" borderId="9" xfId="0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left"/>
    </xf>
    <xf numFmtId="2" fontId="0" fillId="0" borderId="0" xfId="0" applyNumberFormat="1" applyFill="1"/>
    <xf numFmtId="2" fontId="0" fillId="0" borderId="0" xfId="0" applyNumberFormat="1"/>
    <xf numFmtId="167" fontId="0" fillId="0" borderId="0" xfId="0" applyNumberForma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/>
    <xf numFmtId="0" fontId="1" fillId="0" borderId="5" xfId="0" applyFont="1" applyFill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167" fontId="1" fillId="0" borderId="5" xfId="0" applyNumberFormat="1" applyFont="1" applyBorder="1" applyAlignment="1">
      <alignment horizontal="left" vertical="center" wrapText="1"/>
    </xf>
    <xf numFmtId="2" fontId="1" fillId="0" borderId="5" xfId="0" applyNumberFormat="1" applyFont="1" applyBorder="1" applyAlignment="1">
      <alignment horizontal="left" vertical="center" wrapText="1"/>
    </xf>
    <xf numFmtId="20" fontId="1" fillId="0" borderId="5" xfId="0" applyNumberFormat="1" applyFont="1" applyFill="1" applyBorder="1" applyAlignment="1">
      <alignment horizontal="left" vertical="center" wrapText="1"/>
    </xf>
    <xf numFmtId="1" fontId="1" fillId="0" borderId="5" xfId="0" applyNumberFormat="1" applyFont="1" applyBorder="1" applyAlignment="1">
      <alignment horizontal="left" vertical="center" wrapText="1"/>
    </xf>
    <xf numFmtId="0" fontId="1" fillId="0" borderId="5" xfId="0" applyFont="1" applyBorder="1" applyAlignment="1">
      <alignment horizontal="center" vertical="center" wrapText="1"/>
    </xf>
    <xf numFmtId="1" fontId="0" fillId="0" borderId="5" xfId="0" applyNumberFormat="1" applyFill="1" applyBorder="1"/>
    <xf numFmtId="0" fontId="0" fillId="2" borderId="13" xfId="0" applyFill="1" applyBorder="1" applyAlignment="1">
      <alignment vertical="center" wrapText="1"/>
    </xf>
    <xf numFmtId="0" fontId="0" fillId="0" borderId="14" xfId="0" applyBorder="1" applyAlignment="1">
      <alignment vertical="center" wrapText="1"/>
    </xf>
    <xf numFmtId="0" fontId="5" fillId="0" borderId="0" xfId="0" applyFont="1"/>
    <xf numFmtId="0" fontId="5" fillId="0" borderId="0" xfId="0" applyFont="1" applyAlignment="1">
      <alignment horizontal="left"/>
    </xf>
    <xf numFmtId="0" fontId="5" fillId="0" borderId="0" xfId="0" applyFont="1" applyFill="1"/>
    <xf numFmtId="0" fontId="5" fillId="0" borderId="0" xfId="0" applyFont="1" applyFill="1" applyAlignment="1">
      <alignment horizontal="left"/>
    </xf>
    <xf numFmtId="20" fontId="0" fillId="0" borderId="2" xfId="0" applyNumberFormat="1" applyBorder="1" applyAlignment="1">
      <alignment horizontal="center" vertical="center" wrapText="1"/>
    </xf>
    <xf numFmtId="0" fontId="0" fillId="0" borderId="0" xfId="0"/>
    <xf numFmtId="0" fontId="0" fillId="0" borderId="5" xfId="0" applyFill="1" applyBorder="1" applyAlignment="1">
      <alignment horizontal="left"/>
    </xf>
    <xf numFmtId="1" fontId="0" fillId="0" borderId="5" xfId="0" applyNumberFormat="1" applyFill="1" applyBorder="1"/>
    <xf numFmtId="0" fontId="0" fillId="0" borderId="0" xfId="0" applyFill="1" applyBorder="1" applyAlignment="1">
      <alignment horizontal="left"/>
    </xf>
    <xf numFmtId="167" fontId="0" fillId="0" borderId="0" xfId="0" applyNumberFormat="1" applyFill="1" applyBorder="1" applyAlignment="1">
      <alignment horizontal="left"/>
    </xf>
    <xf numFmtId="2" fontId="0" fillId="0" borderId="0" xfId="0" applyNumberFormat="1" applyFill="1" applyBorder="1" applyAlignment="1">
      <alignment horizontal="left"/>
    </xf>
    <xf numFmtId="164" fontId="0" fillId="0" borderId="0" xfId="0" applyNumberFormat="1" applyFill="1" applyBorder="1" applyAlignment="1">
      <alignment horizontal="left"/>
    </xf>
    <xf numFmtId="1" fontId="0" fillId="0" borderId="0" xfId="0" applyNumberFormat="1" applyFill="1" applyBorder="1" applyAlignment="1">
      <alignment horizontal="left"/>
    </xf>
    <xf numFmtId="1" fontId="0" fillId="0" borderId="0" xfId="0" applyNumberFormat="1" applyFill="1" applyBorder="1"/>
    <xf numFmtId="0" fontId="5" fillId="0" borderId="0" xfId="0" applyFont="1" applyFill="1" applyBorder="1"/>
    <xf numFmtId="0" fontId="5" fillId="0" borderId="0" xfId="0" applyFont="1" applyFill="1" applyBorder="1" applyAlignment="1">
      <alignment horizontal="left"/>
    </xf>
    <xf numFmtId="1" fontId="0" fillId="0" borderId="3" xfId="0" applyNumberForma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6" fillId="0" borderId="0" xfId="0" applyFont="1" applyFill="1" applyBorder="1"/>
    <xf numFmtId="0" fontId="6" fillId="0" borderId="0" xfId="0" applyFont="1" applyFill="1" applyBorder="1" applyAlignment="1">
      <alignment horizontal="left"/>
    </xf>
    <xf numFmtId="166" fontId="0" fillId="0" borderId="4" xfId="0" applyNumberFormat="1" applyBorder="1" applyAlignment="1">
      <alignment horizontal="center" wrapText="1"/>
    </xf>
    <xf numFmtId="0" fontId="1" fillId="0" borderId="0" xfId="0" applyFont="1" applyBorder="1"/>
    <xf numFmtId="0" fontId="0" fillId="0" borderId="0" xfId="0" applyBorder="1"/>
    <xf numFmtId="0" fontId="0" fillId="0" borderId="0" xfId="0" applyFill="1" applyBorder="1"/>
    <xf numFmtId="0" fontId="7" fillId="0" borderId="0" xfId="0" applyFont="1" applyAlignment="1">
      <alignment horizontal="center" vertical="center"/>
    </xf>
    <xf numFmtId="0" fontId="7" fillId="0" borderId="0" xfId="0" applyFont="1" applyFill="1" applyAlignment="1"/>
    <xf numFmtId="0" fontId="7" fillId="0" borderId="0" xfId="0" applyFont="1"/>
    <xf numFmtId="0" fontId="8" fillId="0" borderId="0" xfId="0" applyFont="1" applyFill="1" applyBorder="1" applyAlignment="1">
      <alignment horizontal="center" vertical="center" wrapText="1"/>
    </xf>
    <xf numFmtId="166" fontId="0" fillId="0" borderId="1" xfId="0" applyNumberFormat="1" applyBorder="1" applyAlignment="1">
      <alignment horizontal="center" wrapText="1"/>
    </xf>
    <xf numFmtId="166" fontId="0" fillId="0" borderId="2" xfId="0" applyNumberForma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20" fontId="0" fillId="0" borderId="1" xfId="0" applyNumberFormat="1" applyBorder="1" applyAlignment="1">
      <alignment horizontal="center" vertical="center" wrapText="1"/>
    </xf>
    <xf numFmtId="20" fontId="0" fillId="0" borderId="2" xfId="0" applyNumberForma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</cellXfs>
  <cellStyles count="1">
    <cellStyle name="Normal" xfId="0" builtinId="0"/>
  </cellStyles>
  <dxfs count="10"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79998168889431442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Denver Train Runs 04122016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156"/>
  <sheetViews>
    <sheetView showGridLines="0" topLeftCell="A40" zoomScaleNormal="100" workbookViewId="0">
      <selection sqref="A1:P1"/>
    </sheetView>
  </sheetViews>
  <sheetFormatPr defaultRowHeight="15" x14ac:dyDescent="0.25"/>
  <cols>
    <col min="1" max="1" width="10.5703125" style="2" customWidth="1"/>
    <col min="2" max="2" width="9" customWidth="1"/>
    <col min="3" max="3" width="13.5703125" hidden="1" customWidth="1"/>
    <col min="4" max="4" width="16.140625" hidden="1" customWidth="1"/>
    <col min="5" max="5" width="19.5703125" style="14" hidden="1" customWidth="1"/>
    <col min="6" max="6" width="20.140625" style="14" customWidth="1"/>
    <col min="7" max="7" width="18.42578125" style="40" hidden="1" customWidth="1"/>
    <col min="8" max="8" width="22.140625" style="14" hidden="1" customWidth="1"/>
    <col min="9" max="9" width="19.7109375" style="14" customWidth="1"/>
    <col min="10" max="10" width="7.7109375" bestFit="1" customWidth="1"/>
    <col min="11" max="11" width="13.28515625" customWidth="1"/>
    <col min="12" max="12" width="13.28515625" style="60" customWidth="1"/>
    <col min="13" max="13" width="9.5703125" style="1" customWidth="1"/>
    <col min="14" max="14" width="8.85546875" style="4" customWidth="1"/>
    <col min="15" max="15" width="9.140625" style="4"/>
    <col min="16" max="16" width="6" style="4" customWidth="1"/>
    <col min="17" max="17" width="13.5703125" customWidth="1"/>
    <col min="18" max="18" width="28.7109375" customWidth="1"/>
    <col min="19" max="19" width="4.28515625" customWidth="1"/>
    <col min="20" max="20" width="9" style="55" customWidth="1"/>
    <col min="21" max="21" width="10.140625" style="55" customWidth="1"/>
    <col min="22" max="22" width="14.140625" style="55" customWidth="1"/>
    <col min="23" max="25" width="9.140625" style="55"/>
    <col min="26" max="26" width="10.7109375" style="56" bestFit="1" customWidth="1"/>
    <col min="27" max="27" width="30.5703125" style="56" bestFit="1" customWidth="1"/>
  </cols>
  <sheetData>
    <row r="1" spans="1:89" ht="57.75" customHeight="1" thickBot="1" x14ac:dyDescent="0.3">
      <c r="A1" s="91" t="str">
        <f>"Eagle P3 System Performance - "&amp;TEXT(Variables!A2,"yyyy-mm-dd")</f>
        <v>Eagle P3 System Performance - 2016-05-18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</row>
    <row r="2" spans="1:89" s="11" customFormat="1" ht="69" customHeight="1" thickBot="1" x14ac:dyDescent="0.3">
      <c r="A2" s="45" t="s">
        <v>0</v>
      </c>
      <c r="B2" s="46" t="s">
        <v>46</v>
      </c>
      <c r="C2" s="46" t="s">
        <v>26</v>
      </c>
      <c r="D2" s="46" t="s">
        <v>1</v>
      </c>
      <c r="E2" s="47" t="s">
        <v>2</v>
      </c>
      <c r="F2" s="47" t="s">
        <v>3</v>
      </c>
      <c r="G2" s="48" t="s">
        <v>4</v>
      </c>
      <c r="H2" s="47" t="s">
        <v>5</v>
      </c>
      <c r="I2" s="47" t="s">
        <v>6</v>
      </c>
      <c r="J2" s="46" t="s">
        <v>7</v>
      </c>
      <c r="K2" s="46" t="s">
        <v>103</v>
      </c>
      <c r="L2" s="46" t="s">
        <v>50</v>
      </c>
      <c r="M2" s="49" t="s">
        <v>8</v>
      </c>
      <c r="N2" s="46" t="s">
        <v>43</v>
      </c>
      <c r="O2" s="50" t="s">
        <v>44</v>
      </c>
      <c r="P2" s="50" t="s">
        <v>18</v>
      </c>
      <c r="Q2" s="51" t="s">
        <v>49</v>
      </c>
      <c r="R2" s="51" t="s">
        <v>24</v>
      </c>
      <c r="S2" s="10"/>
      <c r="T2" s="72" t="s">
        <v>47</v>
      </c>
      <c r="U2" s="72" t="s">
        <v>23</v>
      </c>
      <c r="V2" s="72" t="s">
        <v>51</v>
      </c>
      <c r="W2" s="72" t="s">
        <v>20</v>
      </c>
      <c r="X2" s="72" t="s">
        <v>21</v>
      </c>
      <c r="Y2" s="72" t="s">
        <v>22</v>
      </c>
      <c r="Z2" s="73" t="s">
        <v>41</v>
      </c>
      <c r="AA2" s="73" t="s">
        <v>42</v>
      </c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0"/>
      <c r="CD2" s="10"/>
      <c r="CE2" s="10"/>
      <c r="CF2" s="10"/>
      <c r="CG2" s="10"/>
      <c r="CH2" s="10"/>
      <c r="CI2" s="10"/>
      <c r="CJ2" s="10"/>
      <c r="CK2" s="10"/>
    </row>
    <row r="3" spans="1:89" s="2" customFormat="1" x14ac:dyDescent="0.25">
      <c r="A3" s="61" t="s">
        <v>246</v>
      </c>
      <c r="B3" s="61">
        <v>4044</v>
      </c>
      <c r="C3" s="61" t="s">
        <v>66</v>
      </c>
      <c r="D3" s="61" t="s">
        <v>275</v>
      </c>
      <c r="E3" s="30">
        <v>42508.133900462963</v>
      </c>
      <c r="F3" s="30">
        <v>42508.135034722225</v>
      </c>
      <c r="G3" s="38">
        <v>1</v>
      </c>
      <c r="H3" s="30" t="s">
        <v>128</v>
      </c>
      <c r="I3" s="30">
        <v>42508.161122685182</v>
      </c>
      <c r="J3" s="61">
        <v>0</v>
      </c>
      <c r="K3" s="61" t="str">
        <f t="shared" ref="K3:K4" si="0">IF(ISEVEN(B3),(B3-1)&amp;"/"&amp;B3,B3&amp;"/"&amp;(B3+1))</f>
        <v>4043/4044</v>
      </c>
      <c r="L3" s="61" t="str">
        <f>VLOOKUP(A3,'Trips&amp;Operators'!$C$1:$E$9999,3,FALSE)</f>
        <v>REBOLETTI</v>
      </c>
      <c r="M3" s="12">
        <f t="shared" ref="M3:M4" si="1">I3-F3</f>
        <v>2.6087962956808042E-2</v>
      </c>
      <c r="N3" s="13">
        <f>24*60*SUM($M3:$M3)</f>
        <v>37.56666665780358</v>
      </c>
      <c r="O3" s="13"/>
      <c r="P3" s="13"/>
      <c r="Q3" s="62"/>
      <c r="R3" s="52"/>
      <c r="T3" s="74" t="str">
        <f t="shared" ref="T3:T4" si="2">"https://search-rtdc-monitor-bjffxe2xuh6vdkpspy63sjmuny.us-east-1.es.amazonaws.com/_plugin/kibana/#/discover/Steve-Slow-Train-Analysis-(2080s-and-2083s)?_g=(refreshInterval:(display:Off,section:0,value:0),time:(from:'"&amp;TEXT(E3-1/24/60,"yyyy-MM-DD hh:mm:ss")&amp;"-0600',mode:absolute,to:'"&amp;TEXT(I3+1/24/60,"yyyy-MM-DD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&amp;"%22')),sort:!(Time,asc))"</f>
        <v>https://search-rtdc-monitor-bjffxe2xuh6vdkpspy63sjmuny.us-east-1.es.amazonaws.com/_plugin/kibana/#/discover/Steve-Slow-Train-Analysis-(2080s-and-2083s)?_g=(refreshInterval:(display:Off,section:0,value:0),time:(from:'2016-05-18 03:11:49-0600',mode:absolute,to:'2016-05-18 03:53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3" s="74" t="str">
        <f t="shared" ref="U3:U4" si="3">IF(Y3&lt;23,"Y","N")</f>
        <v>N</v>
      </c>
      <c r="V3" s="74" t="e">
        <f t="shared" ref="V3:V4" si="4">VALUE(LEFT(A3,3))-VALUE(LEFT(A2,3))</f>
        <v>#VALUE!</v>
      </c>
      <c r="W3" s="74">
        <f>RIGHT(D3,LEN(D3)-4)/10000</f>
        <v>7.6999999999999999E-2</v>
      </c>
      <c r="X3" s="74">
        <f>RIGHT(H3,LEN(H3)-4)/10000</f>
        <v>23.3306</v>
      </c>
      <c r="Y3" s="74">
        <f>ABS(X3-W3)</f>
        <v>23.253599999999999</v>
      </c>
      <c r="Z3" s="75" t="e">
        <f>VLOOKUP(A3,Enforcements!$C$3:$J$48,8,0)</f>
        <v>#N/A</v>
      </c>
      <c r="AA3" s="75" t="e">
        <f>VLOOKUP(A3,Enforcements!$C$3:$J$48,3,0)</f>
        <v>#N/A</v>
      </c>
    </row>
    <row r="4" spans="1:89" s="2" customFormat="1" x14ac:dyDescent="0.25">
      <c r="A4" s="61" t="s">
        <v>270</v>
      </c>
      <c r="B4" s="61">
        <v>4017</v>
      </c>
      <c r="C4" s="61" t="s">
        <v>66</v>
      </c>
      <c r="D4" s="61" t="s">
        <v>276</v>
      </c>
      <c r="E4" s="30">
        <v>42508.167638888888</v>
      </c>
      <c r="F4" s="30">
        <v>42508.168645833335</v>
      </c>
      <c r="G4" s="38">
        <v>1</v>
      </c>
      <c r="H4" s="30" t="s">
        <v>194</v>
      </c>
      <c r="I4" s="30">
        <v>42508.200173611112</v>
      </c>
      <c r="J4" s="61">
        <v>0</v>
      </c>
      <c r="K4" s="61" t="str">
        <f t="shared" si="0"/>
        <v>4017/4018</v>
      </c>
      <c r="L4" s="61" t="str">
        <f>VLOOKUP(A4,'Trips&amp;Operators'!$C$1:$E$9999,3,FALSE)</f>
        <v>REBOLETTI</v>
      </c>
      <c r="M4" s="12">
        <f t="shared" si="1"/>
        <v>3.1527777777228039E-2</v>
      </c>
      <c r="N4" s="13">
        <f t="shared" ref="N4:P84" si="5">24*60*SUM($M4:$M4)</f>
        <v>45.399999999208376</v>
      </c>
      <c r="O4" s="13"/>
      <c r="P4" s="13"/>
      <c r="Q4" s="62"/>
      <c r="R4" s="62"/>
      <c r="T4" s="74" t="str">
        <f t="shared" si="2"/>
        <v>https://search-rtdc-monitor-bjffxe2xuh6vdkpspy63sjmuny.us-east-1.es.amazonaws.com/_plugin/kibana/#/discover/Steve-Slow-Train-Analysis-(2080s-and-2083s)?_g=(refreshInterval:(display:Off,section:0,value:0),time:(from:'2016-05-18 04:00:24-0600',mode:absolute,to:'2016-05-18 04:49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U4" s="74" t="str">
        <f t="shared" si="3"/>
        <v>N</v>
      </c>
      <c r="V4" s="74">
        <f t="shared" si="4"/>
        <v>1</v>
      </c>
      <c r="W4" s="74">
        <f t="shared" ref="W4" si="6">RIGHT(D4,LEN(D4)-4)/10000</f>
        <v>23.265799999999999</v>
      </c>
      <c r="X4" s="74">
        <f t="shared" ref="X4" si="7">RIGHT(H4,LEN(H4)-4)/10000</f>
        <v>1.6299999999999999E-2</v>
      </c>
      <c r="Y4" s="74">
        <f t="shared" ref="Y4" si="8">ABS(X4-W4)</f>
        <v>23.249499999999998</v>
      </c>
      <c r="Z4" s="75" t="e">
        <f>VLOOKUP(A4,Enforcements!$C$3:$J$48,8,0)</f>
        <v>#N/A</v>
      </c>
      <c r="AA4" s="75" t="e">
        <f>VLOOKUP(A4,Enforcements!$C$3:$J$48,3,0)</f>
        <v>#N/A</v>
      </c>
    </row>
    <row r="5" spans="1:89" s="2" customFormat="1" x14ac:dyDescent="0.25">
      <c r="A5" s="61" t="s">
        <v>266</v>
      </c>
      <c r="B5" s="61">
        <v>4020</v>
      </c>
      <c r="C5" s="61" t="s">
        <v>66</v>
      </c>
      <c r="D5" s="61" t="s">
        <v>275</v>
      </c>
      <c r="E5" s="30">
        <v>42508.153437499997</v>
      </c>
      <c r="F5" s="30">
        <v>42508.154467592591</v>
      </c>
      <c r="G5" s="38">
        <v>1</v>
      </c>
      <c r="H5" s="30" t="s">
        <v>277</v>
      </c>
      <c r="I5" s="30">
        <v>42508.18136574074</v>
      </c>
      <c r="J5" s="61">
        <v>1</v>
      </c>
      <c r="K5" s="61" t="str">
        <f t="shared" ref="K5:K68" si="9">IF(ISEVEN(B5),(B5-1)&amp;"/"&amp;B5,B5&amp;"/"&amp;(B5+1))</f>
        <v>4019/4020</v>
      </c>
      <c r="L5" s="61" t="str">
        <f>VLOOKUP(A5,'Trips&amp;Operators'!$C$1:$E$9999,3,FALSE)</f>
        <v>STARKS</v>
      </c>
      <c r="M5" s="12">
        <f t="shared" ref="M5:M68" si="10">I5-F5</f>
        <v>2.6898148149484769E-2</v>
      </c>
      <c r="N5" s="13">
        <f t="shared" si="5"/>
        <v>38.733333335258067</v>
      </c>
      <c r="O5" s="13"/>
      <c r="P5" s="13"/>
      <c r="Q5" s="62"/>
      <c r="R5" s="62"/>
      <c r="T5" s="74" t="str">
        <f t="shared" ref="T5:T68" si="11">"https://search-rtdc-monitor-bjffxe2xuh6vdkpspy63sjmuny.us-east-1.es.amazonaws.com/_plugin/kibana/#/discover/Steve-Slow-Train-Analysis-(2080s-and-2083s)?_g=(refreshInterval:(display:Off,section:0,value:0),time:(from:'"&amp;TEXT(E5-1/24/60,"yyyy-MM-DD hh:mm:ss")&amp;"-0600',mode:absolute,to:'"&amp;TEXT(I5+1/24/60,"yyyy-MM-DD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5&amp;"%22')),sort:!(Time,asc))"</f>
        <v>https://search-rtdc-monitor-bjffxe2xuh6vdkpspy63sjmuny.us-east-1.es.amazonaws.com/_plugin/kibana/#/discover/Steve-Slow-Train-Analysis-(2080s-and-2083s)?_g=(refreshInterval:(display:Off,section:0,value:0),time:(from:'2016-05-18 03:39:57-0600',mode:absolute,to:'2016-05-18 04:22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5" s="74" t="str">
        <f t="shared" ref="U5:U68" si="12">IF(Y5&lt;23,"Y","N")</f>
        <v>N</v>
      </c>
      <c r="V5" s="74">
        <f t="shared" ref="V5:V68" si="13">VALUE(LEFT(A5,3))-VALUE(LEFT(A4,3))</f>
        <v>1</v>
      </c>
      <c r="W5" s="74">
        <f t="shared" ref="W5:W68" si="14">RIGHT(D5,LEN(D5)-4)/10000</f>
        <v>7.6999999999999999E-2</v>
      </c>
      <c r="X5" s="74">
        <f t="shared" ref="X5:X68" si="15">RIGHT(H5,LEN(H5)-4)/10000</f>
        <v>23.3355</v>
      </c>
      <c r="Y5" s="74">
        <f t="shared" ref="Y5:Y68" si="16">ABS(X5-W5)</f>
        <v>23.258499999999998</v>
      </c>
      <c r="Z5" s="75">
        <f>VLOOKUP(A5,Enforcements!$C$3:$J$48,8,0)</f>
        <v>233491</v>
      </c>
      <c r="AA5" s="75" t="str">
        <f>VLOOKUP(A5,Enforcements!$C$3:$J$48,3,0)</f>
        <v>TRACK WARRANT AUTHORITY</v>
      </c>
    </row>
    <row r="6" spans="1:89" s="2" customFormat="1" x14ac:dyDescent="0.25">
      <c r="A6" s="61" t="s">
        <v>264</v>
      </c>
      <c r="B6" s="61">
        <v>4008</v>
      </c>
      <c r="C6" s="61" t="s">
        <v>66</v>
      </c>
      <c r="D6" s="61" t="s">
        <v>278</v>
      </c>
      <c r="E6" s="30">
        <v>42508.192407407405</v>
      </c>
      <c r="F6" s="30">
        <v>42508.194004629629</v>
      </c>
      <c r="G6" s="38">
        <v>2</v>
      </c>
      <c r="H6" s="30" t="s">
        <v>279</v>
      </c>
      <c r="I6" s="30">
        <v>42508.221782407411</v>
      </c>
      <c r="J6" s="61">
        <v>0</v>
      </c>
      <c r="K6" s="61" t="str">
        <f t="shared" si="9"/>
        <v>4007/4008</v>
      </c>
      <c r="L6" s="61" t="str">
        <f>VLOOKUP(A6,'Trips&amp;Operators'!$C$1:$E$9999,3,FALSE)</f>
        <v>STARKS</v>
      </c>
      <c r="M6" s="12">
        <f t="shared" si="10"/>
        <v>2.7777777781011537E-2</v>
      </c>
      <c r="N6" s="13">
        <f t="shared" si="5"/>
        <v>40.000000004656613</v>
      </c>
      <c r="O6" s="13"/>
      <c r="P6" s="13"/>
      <c r="Q6" s="62"/>
      <c r="R6" s="62"/>
      <c r="T6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https://search-rtdc-monitor-bjffxe2xuh6vdkpspy63sjmuny.us-east-1.es.amazonaws.com/_plugin/kibana/#/discover/Steve-Slow-Train-Analysis-(2080s-and-2083s)?_g=(refreshInterval:(display:Off,section:0,value:0),time:(from:'2016-05-18 04:36:04-0600',mode:absolute,to:'2016-05-18 05:20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6" s="74" t="str">
        <f t="shared" si="12"/>
        <v>N</v>
      </c>
      <c r="V6" s="74">
        <f t="shared" si="13"/>
        <v>1</v>
      </c>
      <c r="W6" s="74">
        <f t="shared" si="14"/>
        <v>23.271699999999999</v>
      </c>
      <c r="X6" s="74">
        <f t="shared" si="15"/>
        <v>1.7000000000000001E-2</v>
      </c>
      <c r="Y6" s="74">
        <f t="shared" si="16"/>
        <v>23.2547</v>
      </c>
      <c r="Z6" s="75" t="e">
        <f>VLOOKUP(A6,Enforcements!$C$3:$J$48,8,0)</f>
        <v>#N/A</v>
      </c>
      <c r="AA6" s="75" t="e">
        <f>VLOOKUP(A6,Enforcements!$C$3:$J$48,3,0)</f>
        <v>#N/A</v>
      </c>
    </row>
    <row r="7" spans="1:89" s="2" customFormat="1" x14ac:dyDescent="0.25">
      <c r="A7" s="61" t="s">
        <v>259</v>
      </c>
      <c r="B7" s="61">
        <v>4038</v>
      </c>
      <c r="C7" s="61" t="s">
        <v>66</v>
      </c>
      <c r="D7" s="61" t="s">
        <v>280</v>
      </c>
      <c r="E7" s="30">
        <v>42508.165243055555</v>
      </c>
      <c r="F7" s="30">
        <v>42508.168287037035</v>
      </c>
      <c r="G7" s="38">
        <v>4</v>
      </c>
      <c r="H7" s="30" t="s">
        <v>281</v>
      </c>
      <c r="I7" s="30">
        <v>42508.202118055553</v>
      </c>
      <c r="J7" s="61">
        <v>1</v>
      </c>
      <c r="K7" s="61" t="str">
        <f t="shared" si="9"/>
        <v>4037/4038</v>
      </c>
      <c r="L7" s="61" t="str">
        <f>VLOOKUP(A7,'Trips&amp;Operators'!$C$1:$E$9999,3,FALSE)</f>
        <v>STORY</v>
      </c>
      <c r="M7" s="12">
        <f t="shared" si="10"/>
        <v>3.3831018517958E-2</v>
      </c>
      <c r="N7" s="13">
        <f t="shared" si="5"/>
        <v>48.71666666585952</v>
      </c>
      <c r="O7" s="13"/>
      <c r="P7" s="13"/>
      <c r="Q7" s="62"/>
      <c r="R7" s="62"/>
      <c r="T7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https://search-rtdc-monitor-bjffxe2xuh6vdkpspy63sjmuny.us-east-1.es.amazonaws.com/_plugin/kibana/#/discover/Steve-Slow-Train-Analysis-(2080s-and-2083s)?_g=(refreshInterval:(display:Off,section:0,value:0),time:(from:'2016-05-18 03:56:57-0600',mode:absolute,to:'2016-05-18 04:52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U7" s="74" t="str">
        <f t="shared" si="12"/>
        <v>N</v>
      </c>
      <c r="V7" s="74">
        <f t="shared" si="13"/>
        <v>1</v>
      </c>
      <c r="W7" s="74">
        <f t="shared" si="14"/>
        <v>7.8799999999999995E-2</v>
      </c>
      <c r="X7" s="74">
        <f t="shared" si="15"/>
        <v>23.3249</v>
      </c>
      <c r="Y7" s="74">
        <f t="shared" si="16"/>
        <v>23.246099999999998</v>
      </c>
      <c r="Z7" s="75">
        <f>VLOOKUP(A7,Enforcements!$C$3:$J$48,8,0)</f>
        <v>233491</v>
      </c>
      <c r="AA7" s="75" t="str">
        <f>VLOOKUP(A7,Enforcements!$C$3:$J$48,3,0)</f>
        <v>TRACK WARRANT AUTHORITY</v>
      </c>
    </row>
    <row r="8" spans="1:89" s="2" customFormat="1" x14ac:dyDescent="0.25">
      <c r="A8" s="61" t="s">
        <v>269</v>
      </c>
      <c r="B8" s="61">
        <v>4041</v>
      </c>
      <c r="C8" s="61" t="s">
        <v>66</v>
      </c>
      <c r="D8" s="61" t="s">
        <v>282</v>
      </c>
      <c r="E8" s="30">
        <v>42508.212500000001</v>
      </c>
      <c r="F8" s="30">
        <v>42508.214965277781</v>
      </c>
      <c r="G8" s="38">
        <v>3</v>
      </c>
      <c r="H8" s="30" t="s">
        <v>283</v>
      </c>
      <c r="I8" s="30">
        <v>42508.242013888892</v>
      </c>
      <c r="J8" s="61">
        <v>0</v>
      </c>
      <c r="K8" s="61" t="str">
        <f t="shared" si="9"/>
        <v>4041/4042</v>
      </c>
      <c r="L8" s="61" t="str">
        <f>VLOOKUP(A8,'Trips&amp;Operators'!$C$1:$E$9999,3,FALSE)</f>
        <v>STORY</v>
      </c>
      <c r="M8" s="12">
        <f t="shared" si="10"/>
        <v>2.7048611111240461E-2</v>
      </c>
      <c r="N8" s="13">
        <f t="shared" si="5"/>
        <v>38.950000000186265</v>
      </c>
      <c r="O8" s="13"/>
      <c r="P8" s="13"/>
      <c r="Q8" s="62"/>
      <c r="R8" s="62"/>
      <c r="T8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https://search-rtdc-monitor-bjffxe2xuh6vdkpspy63sjmuny.us-east-1.es.amazonaws.com/_plugin/kibana/#/discover/Steve-Slow-Train-Analysis-(2080s-and-2083s)?_g=(refreshInterval:(display:Off,section:0,value:0),time:(from:'2016-05-18 05:05:00-0600',mode:absolute,to:'2016-05-18 05:49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U8" s="74" t="str">
        <f t="shared" si="12"/>
        <v>N</v>
      </c>
      <c r="V8" s="74">
        <f t="shared" si="13"/>
        <v>1</v>
      </c>
      <c r="W8" s="74">
        <f t="shared" si="14"/>
        <v>23.260400000000001</v>
      </c>
      <c r="X8" s="74">
        <f t="shared" si="15"/>
        <v>0.19209999999999999</v>
      </c>
      <c r="Y8" s="74">
        <f t="shared" si="16"/>
        <v>23.068300000000001</v>
      </c>
      <c r="Z8" s="75" t="e">
        <f>VLOOKUP(A8,Enforcements!$C$3:$J$48,8,0)</f>
        <v>#N/A</v>
      </c>
      <c r="AA8" s="75" t="e">
        <f>VLOOKUP(A8,Enforcements!$C$3:$J$48,3,0)</f>
        <v>#N/A</v>
      </c>
    </row>
    <row r="9" spans="1:89" s="2" customFormat="1" x14ac:dyDescent="0.25">
      <c r="A9" s="61" t="s">
        <v>265</v>
      </c>
      <c r="B9" s="61">
        <v>4024</v>
      </c>
      <c r="C9" s="61" t="s">
        <v>66</v>
      </c>
      <c r="D9" s="61" t="s">
        <v>155</v>
      </c>
      <c r="E9" s="30">
        <v>42508.178391203706</v>
      </c>
      <c r="F9" s="30">
        <v>42508.180104166669</v>
      </c>
      <c r="G9" s="38">
        <v>2</v>
      </c>
      <c r="H9" s="30" t="s">
        <v>284</v>
      </c>
      <c r="I9" s="30">
        <v>42508.213125000002</v>
      </c>
      <c r="J9" s="61">
        <v>0</v>
      </c>
      <c r="K9" s="61" t="str">
        <f t="shared" si="9"/>
        <v>4023/4024</v>
      </c>
      <c r="L9" s="61" t="str">
        <f>VLOOKUP(A9,'Trips&amp;Operators'!$C$1:$E$9999,3,FALSE)</f>
        <v>STRICKLAND</v>
      </c>
      <c r="M9" s="12">
        <f t="shared" si="10"/>
        <v>3.3020833332557231E-2</v>
      </c>
      <c r="N9" s="13">
        <f t="shared" si="5"/>
        <v>47.549999998882413</v>
      </c>
      <c r="O9" s="13"/>
      <c r="P9" s="13"/>
      <c r="Q9" s="62"/>
      <c r="R9" s="62"/>
      <c r="T9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https://search-rtdc-monitor-bjffxe2xuh6vdkpspy63sjmuny.us-east-1.es.amazonaws.com/_plugin/kibana/#/discover/Steve-Slow-Train-Analysis-(2080s-and-2083s)?_g=(refreshInterval:(display:Off,section:0,value:0),time:(from:'2016-05-18 04:15:53-0600',mode:absolute,to:'2016-05-18 05:07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9" s="74" t="str">
        <f t="shared" si="12"/>
        <v>N</v>
      </c>
      <c r="V9" s="74">
        <f t="shared" si="13"/>
        <v>1</v>
      </c>
      <c r="W9" s="74">
        <f t="shared" si="14"/>
        <v>4.5999999999999999E-2</v>
      </c>
      <c r="X9" s="74">
        <f t="shared" si="15"/>
        <v>23.3291</v>
      </c>
      <c r="Y9" s="74">
        <f t="shared" si="16"/>
        <v>23.283100000000001</v>
      </c>
      <c r="Z9" s="75" t="e">
        <f>VLOOKUP(A9,Enforcements!$C$3:$J$48,8,0)</f>
        <v>#N/A</v>
      </c>
      <c r="AA9" s="75" t="e">
        <f>VLOOKUP(A9,Enforcements!$C$3:$J$48,3,0)</f>
        <v>#N/A</v>
      </c>
    </row>
    <row r="10" spans="1:89" s="2" customFormat="1" x14ac:dyDescent="0.25">
      <c r="A10" s="61" t="s">
        <v>271</v>
      </c>
      <c r="B10" s="61">
        <v>4023</v>
      </c>
      <c r="C10" s="61" t="s">
        <v>66</v>
      </c>
      <c r="D10" s="61" t="s">
        <v>208</v>
      </c>
      <c r="E10" s="30">
        <v>42508.220381944448</v>
      </c>
      <c r="F10" s="30">
        <v>42508.221944444442</v>
      </c>
      <c r="G10" s="38">
        <v>2</v>
      </c>
      <c r="H10" s="30" t="s">
        <v>86</v>
      </c>
      <c r="I10" s="30">
        <v>42508.254583333335</v>
      </c>
      <c r="J10" s="61">
        <v>0</v>
      </c>
      <c r="K10" s="61" t="str">
        <f t="shared" si="9"/>
        <v>4023/4024</v>
      </c>
      <c r="L10" s="61" t="str">
        <f>VLOOKUP(A10,'Trips&amp;Operators'!$C$1:$E$9999,3,FALSE)</f>
        <v>STRICKLAND</v>
      </c>
      <c r="M10" s="12">
        <f t="shared" si="10"/>
        <v>3.2638888893416151E-2</v>
      </c>
      <c r="N10" s="13">
        <f t="shared" si="5"/>
        <v>47.000000006519258</v>
      </c>
      <c r="O10" s="13"/>
      <c r="P10" s="13"/>
      <c r="Q10" s="62"/>
      <c r="R10" s="62"/>
      <c r="T10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https://search-rtdc-monitor-bjffxe2xuh6vdkpspy63sjmuny.us-east-1.es.amazonaws.com/_plugin/kibana/#/discover/Steve-Slow-Train-Analysis-(2080s-and-2083s)?_g=(refreshInterval:(display:Off,section:0,value:0),time:(from:'2016-05-18 05:16:21-0600',mode:absolute,to:'2016-05-18 06:07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10" s="74" t="str">
        <f t="shared" si="12"/>
        <v>N</v>
      </c>
      <c r="V10" s="74">
        <f t="shared" si="13"/>
        <v>1</v>
      </c>
      <c r="W10" s="74">
        <f t="shared" si="14"/>
        <v>23.297699999999999</v>
      </c>
      <c r="X10" s="74">
        <f t="shared" si="15"/>
        <v>1.52E-2</v>
      </c>
      <c r="Y10" s="74">
        <f t="shared" si="16"/>
        <v>23.282499999999999</v>
      </c>
      <c r="Z10" s="75" t="e">
        <f>VLOOKUP(A10,Enforcements!$C$3:$J$48,8,0)</f>
        <v>#N/A</v>
      </c>
      <c r="AA10" s="75" t="e">
        <f>VLOOKUP(A10,Enforcements!$C$3:$J$48,3,0)</f>
        <v>#N/A</v>
      </c>
    </row>
    <row r="11" spans="1:89" s="2" customFormat="1" x14ac:dyDescent="0.25">
      <c r="A11" s="61" t="s">
        <v>249</v>
      </c>
      <c r="B11" s="61">
        <v>4025</v>
      </c>
      <c r="C11" s="61" t="s">
        <v>66</v>
      </c>
      <c r="D11" s="61" t="s">
        <v>90</v>
      </c>
      <c r="E11" s="30">
        <v>42508.190787037034</v>
      </c>
      <c r="F11" s="30">
        <v>42508.192164351851</v>
      </c>
      <c r="G11" s="38">
        <v>1</v>
      </c>
      <c r="H11" s="30" t="s">
        <v>145</v>
      </c>
      <c r="I11" s="30">
        <v>42508.223275462966</v>
      </c>
      <c r="J11" s="61">
        <v>0</v>
      </c>
      <c r="K11" s="61" t="str">
        <f t="shared" si="9"/>
        <v>4025/4026</v>
      </c>
      <c r="L11" s="61" t="str">
        <f>VLOOKUP(A11,'Trips&amp;Operators'!$C$1:$E$9999,3,FALSE)</f>
        <v>ACKERMAN</v>
      </c>
      <c r="M11" s="12">
        <f t="shared" si="10"/>
        <v>3.1111111115023959E-2</v>
      </c>
      <c r="N11" s="13">
        <f t="shared" si="5"/>
        <v>44.800000005634502</v>
      </c>
      <c r="O11" s="13"/>
      <c r="P11" s="13"/>
      <c r="Q11" s="62"/>
      <c r="R11" s="62"/>
      <c r="T11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https://search-rtdc-monitor-bjffxe2xuh6vdkpspy63sjmuny.us-east-1.es.amazonaws.com/_plugin/kibana/#/discover/Steve-Slow-Train-Analysis-(2080s-and-2083s)?_g=(refreshInterval:(display:Off,section:0,value:0),time:(from:'2016-05-18 04:33:44-0600',mode:absolute,to:'2016-05-18 05:22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U11" s="74" t="str">
        <f t="shared" si="12"/>
        <v>N</v>
      </c>
      <c r="V11" s="74">
        <f t="shared" si="13"/>
        <v>1</v>
      </c>
      <c r="W11" s="74">
        <f t="shared" si="14"/>
        <v>4.6399999999999997E-2</v>
      </c>
      <c r="X11" s="74">
        <f t="shared" si="15"/>
        <v>23.330200000000001</v>
      </c>
      <c r="Y11" s="74">
        <f t="shared" si="16"/>
        <v>23.283800000000003</v>
      </c>
      <c r="Z11" s="75" t="e">
        <f>VLOOKUP(A11,Enforcements!$C$3:$J$48,8,0)</f>
        <v>#N/A</v>
      </c>
      <c r="AA11" s="75" t="e">
        <f>VLOOKUP(A11,Enforcements!$C$3:$J$48,3,0)</f>
        <v>#N/A</v>
      </c>
    </row>
    <row r="12" spans="1:89" s="2" customFormat="1" x14ac:dyDescent="0.25">
      <c r="A12" s="61" t="s">
        <v>260</v>
      </c>
      <c r="B12" s="61">
        <v>4026</v>
      </c>
      <c r="C12" s="61" t="s">
        <v>66</v>
      </c>
      <c r="D12" s="61" t="s">
        <v>285</v>
      </c>
      <c r="E12" s="30">
        <v>42508.231956018521</v>
      </c>
      <c r="F12" s="30">
        <v>42508.233020833337</v>
      </c>
      <c r="G12" s="38">
        <v>1</v>
      </c>
      <c r="H12" s="30" t="s">
        <v>79</v>
      </c>
      <c r="I12" s="30">
        <v>42508.262314814812</v>
      </c>
      <c r="J12" s="61">
        <v>0</v>
      </c>
      <c r="K12" s="61" t="str">
        <f t="shared" si="9"/>
        <v>4025/4026</v>
      </c>
      <c r="L12" s="61" t="str">
        <f>VLOOKUP(A12,'Trips&amp;Operators'!$C$1:$E$9999,3,FALSE)</f>
        <v>ACKERMAN</v>
      </c>
      <c r="M12" s="12">
        <f t="shared" si="10"/>
        <v>2.9293981475348119E-2</v>
      </c>
      <c r="N12" s="13">
        <f t="shared" si="5"/>
        <v>42.183333324501291</v>
      </c>
      <c r="O12" s="13"/>
      <c r="P12" s="13"/>
      <c r="Q12" s="62"/>
      <c r="R12" s="62"/>
      <c r="T12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https://search-rtdc-monitor-bjffxe2xuh6vdkpspy63sjmuny.us-east-1.es.amazonaws.com/_plugin/kibana/#/discover/Steve-Slow-Train-Analysis-(2080s-and-2083s)?_g=(refreshInterval:(display:Off,section:0,value:0),time:(from:'2016-05-18 05:33:01-0600',mode:absolute,to:'2016-05-18 06:18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U12" s="74" t="str">
        <f t="shared" si="12"/>
        <v>N</v>
      </c>
      <c r="V12" s="74">
        <f t="shared" si="13"/>
        <v>1</v>
      </c>
      <c r="W12" s="74">
        <f t="shared" si="14"/>
        <v>23.298100000000002</v>
      </c>
      <c r="X12" s="74">
        <f t="shared" si="15"/>
        <v>1.3599999999999999E-2</v>
      </c>
      <c r="Y12" s="74">
        <f t="shared" si="16"/>
        <v>23.284500000000001</v>
      </c>
      <c r="Z12" s="75" t="e">
        <f>VLOOKUP(A12,Enforcements!$C$3:$J$48,8,0)</f>
        <v>#N/A</v>
      </c>
      <c r="AA12" s="75" t="e">
        <f>VLOOKUP(A12,Enforcements!$C$3:$J$48,3,0)</f>
        <v>#N/A</v>
      </c>
    </row>
    <row r="13" spans="1:89" s="2" customFormat="1" x14ac:dyDescent="0.25">
      <c r="A13" s="61" t="s">
        <v>250</v>
      </c>
      <c r="B13" s="61">
        <v>4044</v>
      </c>
      <c r="C13" s="61" t="s">
        <v>66</v>
      </c>
      <c r="D13" s="61" t="s">
        <v>286</v>
      </c>
      <c r="E13" s="30">
        <v>42508.213321759256</v>
      </c>
      <c r="F13" s="30">
        <v>42508.214363425926</v>
      </c>
      <c r="G13" s="38">
        <v>1</v>
      </c>
      <c r="H13" s="30" t="s">
        <v>287</v>
      </c>
      <c r="I13" s="30">
        <v>42508.236793981479</v>
      </c>
      <c r="J13" s="61">
        <v>1</v>
      </c>
      <c r="K13" s="61" t="str">
        <f t="shared" si="9"/>
        <v>4043/4044</v>
      </c>
      <c r="L13" s="61" t="str">
        <f>VLOOKUP(A13,'Trips&amp;Operators'!$C$1:$E$9999,3,FALSE)</f>
        <v>BRUDER</v>
      </c>
      <c r="M13" s="12">
        <f t="shared" si="10"/>
        <v>2.2430555553000886E-2</v>
      </c>
      <c r="N13" s="13"/>
      <c r="O13" s="13"/>
      <c r="P13" s="13">
        <f>24*60*SUM($M13:$M14)</f>
        <v>35.149999991990626</v>
      </c>
      <c r="Q13" s="62" t="s">
        <v>274</v>
      </c>
      <c r="R13" s="62" t="s">
        <v>514</v>
      </c>
      <c r="T13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https://search-rtdc-monitor-bjffxe2xuh6vdkpspy63sjmuny.us-east-1.es.amazonaws.com/_plugin/kibana/#/discover/Steve-Slow-Train-Analysis-(2080s-and-2083s)?_g=(refreshInterval:(display:Off,section:0,value:0),time:(from:'2016-05-18 05:06:11-0600',mode:absolute,to:'2016-05-18 05:41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13" s="74" t="str">
        <f t="shared" si="12"/>
        <v>Y</v>
      </c>
      <c r="V13" s="74">
        <f t="shared" si="13"/>
        <v>1</v>
      </c>
      <c r="W13" s="74">
        <f t="shared" si="14"/>
        <v>1.9125000000000001</v>
      </c>
      <c r="X13" s="74">
        <f t="shared" si="15"/>
        <v>23.333600000000001</v>
      </c>
      <c r="Y13" s="74">
        <f t="shared" si="16"/>
        <v>21.421099999999999</v>
      </c>
      <c r="Z13" s="75">
        <f>VLOOKUP(A13,Enforcements!$C$3:$J$48,8,0)</f>
        <v>233491</v>
      </c>
      <c r="AA13" s="75" t="str">
        <f>VLOOKUP(A13,Enforcements!$C$3:$J$48,3,0)</f>
        <v>TRACK WARRANT AUTHORITY</v>
      </c>
    </row>
    <row r="14" spans="1:89" s="2" customFormat="1" x14ac:dyDescent="0.25">
      <c r="A14" s="61" t="s">
        <v>250</v>
      </c>
      <c r="B14" s="61">
        <v>4044</v>
      </c>
      <c r="C14" s="61" t="s">
        <v>66</v>
      </c>
      <c r="D14" s="61" t="s">
        <v>288</v>
      </c>
      <c r="E14" s="30">
        <v>42508.20521990741</v>
      </c>
      <c r="F14" s="30">
        <v>42508.207650462966</v>
      </c>
      <c r="G14" s="38">
        <v>3</v>
      </c>
      <c r="H14" s="30" t="s">
        <v>289</v>
      </c>
      <c r="I14" s="30">
        <v>42508.209629629629</v>
      </c>
      <c r="J14" s="61">
        <v>0</v>
      </c>
      <c r="K14" s="61" t="str">
        <f t="shared" si="9"/>
        <v>4043/4044</v>
      </c>
      <c r="L14" s="61" t="str">
        <f>VLOOKUP(A14,'Trips&amp;Operators'!$C$1:$E$9999,3,FALSE)</f>
        <v>BRUDER</v>
      </c>
      <c r="M14" s="12">
        <f t="shared" si="10"/>
        <v>1.9791666636592709E-3</v>
      </c>
      <c r="N14" s="13"/>
      <c r="O14" s="13"/>
      <c r="P14" s="13"/>
      <c r="Q14" s="62"/>
      <c r="R14" s="62"/>
      <c r="T14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https://search-rtdc-monitor-bjffxe2xuh6vdkpspy63sjmuny.us-east-1.es.amazonaws.com/_plugin/kibana/#/discover/Steve-Slow-Train-Analysis-(2080s-and-2083s)?_g=(refreshInterval:(display:Off,section:0,value:0),time:(from:'2016-05-18 04:54:31-0600',mode:absolute,to:'2016-05-18 05:02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14" s="74" t="str">
        <f t="shared" si="12"/>
        <v>Y</v>
      </c>
      <c r="V14" s="74">
        <f t="shared" si="13"/>
        <v>0</v>
      </c>
      <c r="W14" s="74">
        <f t="shared" si="14"/>
        <v>7.6799999999999993E-2</v>
      </c>
      <c r="X14" s="74">
        <f t="shared" si="15"/>
        <v>0.12130000000000001</v>
      </c>
      <c r="Y14" s="74">
        <f t="shared" si="16"/>
        <v>4.4500000000000012E-2</v>
      </c>
      <c r="Z14" s="75">
        <f>VLOOKUP(A14,Enforcements!$C$3:$J$48,8,0)</f>
        <v>233491</v>
      </c>
      <c r="AA14" s="75" t="str">
        <f>VLOOKUP(A14,Enforcements!$C$3:$J$48,3,0)</f>
        <v>TRACK WARRANT AUTHORITY</v>
      </c>
    </row>
    <row r="15" spans="1:89" s="2" customFormat="1" x14ac:dyDescent="0.25">
      <c r="A15" s="61" t="s">
        <v>255</v>
      </c>
      <c r="B15" s="61">
        <v>4043</v>
      </c>
      <c r="C15" s="61" t="s">
        <v>66</v>
      </c>
      <c r="D15" s="61" t="s">
        <v>92</v>
      </c>
      <c r="E15" s="30">
        <v>42508.242627314816</v>
      </c>
      <c r="F15" s="30">
        <v>42508.244085648148</v>
      </c>
      <c r="G15" s="38">
        <v>2</v>
      </c>
      <c r="H15" s="30" t="s">
        <v>75</v>
      </c>
      <c r="I15" s="30">
        <v>42508.273611111108</v>
      </c>
      <c r="J15" s="61">
        <v>0</v>
      </c>
      <c r="K15" s="61" t="str">
        <f t="shared" si="9"/>
        <v>4043/4044</v>
      </c>
      <c r="L15" s="61" t="str">
        <f>VLOOKUP(A15,'Trips&amp;Operators'!$C$1:$E$9999,3,FALSE)</f>
        <v>BRUDER</v>
      </c>
      <c r="M15" s="12">
        <f t="shared" si="10"/>
        <v>2.9525462960009463E-2</v>
      </c>
      <c r="N15" s="13">
        <f t="shared" si="5"/>
        <v>42.516666662413627</v>
      </c>
      <c r="O15" s="13"/>
      <c r="P15" s="13"/>
      <c r="Q15" s="62"/>
      <c r="R15" s="62"/>
      <c r="T15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https://search-rtdc-monitor-bjffxe2xuh6vdkpspy63sjmuny.us-east-1.es.amazonaws.com/_plugin/kibana/#/discover/Steve-Slow-Train-Analysis-(2080s-and-2083s)?_g=(refreshInterval:(display:Off,section:0,value:0),time:(from:'2016-05-18 05:48:23-0600',mode:absolute,to:'2016-05-18 06:35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15" s="74" t="str">
        <f t="shared" si="12"/>
        <v>N</v>
      </c>
      <c r="V15" s="74">
        <f t="shared" si="13"/>
        <v>1</v>
      </c>
      <c r="W15" s="74">
        <f t="shared" si="14"/>
        <v>23.297999999999998</v>
      </c>
      <c r="X15" s="74">
        <f t="shared" si="15"/>
        <v>1.54E-2</v>
      </c>
      <c r="Y15" s="74">
        <f t="shared" si="16"/>
        <v>23.282599999999999</v>
      </c>
      <c r="Z15" s="75" t="e">
        <f>VLOOKUP(A15,Enforcements!$C$3:$J$48,8,0)</f>
        <v>#N/A</v>
      </c>
      <c r="AA15" s="75" t="e">
        <f>VLOOKUP(A15,Enforcements!$C$3:$J$48,3,0)</f>
        <v>#N/A</v>
      </c>
    </row>
    <row r="16" spans="1:89" s="2" customFormat="1" x14ac:dyDescent="0.25">
      <c r="A16" s="61" t="s">
        <v>257</v>
      </c>
      <c r="B16" s="61">
        <v>4018</v>
      </c>
      <c r="C16" s="61" t="s">
        <v>66</v>
      </c>
      <c r="D16" s="61" t="s">
        <v>90</v>
      </c>
      <c r="E16" s="30">
        <v>42508.209374999999</v>
      </c>
      <c r="F16" s="30">
        <v>42508.210925925923</v>
      </c>
      <c r="G16" s="38">
        <v>2</v>
      </c>
      <c r="H16" s="30" t="s">
        <v>80</v>
      </c>
      <c r="I16" s="30">
        <v>42508.243888888886</v>
      </c>
      <c r="J16" s="61">
        <v>0</v>
      </c>
      <c r="K16" s="61" t="str">
        <f t="shared" si="9"/>
        <v>4017/4018</v>
      </c>
      <c r="L16" s="61" t="str">
        <f>VLOOKUP(A16,'Trips&amp;Operators'!$C$1:$E$9999,3,FALSE)</f>
        <v>REBOLETTI</v>
      </c>
      <c r="M16" s="12">
        <f t="shared" si="10"/>
        <v>3.2962962963210884E-2</v>
      </c>
      <c r="N16" s="13">
        <f t="shared" si="5"/>
        <v>47.466666667023674</v>
      </c>
      <c r="O16" s="13"/>
      <c r="P16" s="13"/>
      <c r="Q16" s="62"/>
      <c r="R16" s="62"/>
      <c r="T16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https://search-rtdc-monitor-bjffxe2xuh6vdkpspy63sjmuny.us-east-1.es.amazonaws.com/_plugin/kibana/#/discover/Steve-Slow-Train-Analysis-(2080s-and-2083s)?_g=(refreshInterval:(display:Off,section:0,value:0),time:(from:'2016-05-18 05:00:30-0600',mode:absolute,to:'2016-05-18 05:52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U16" s="74" t="str">
        <f t="shared" si="12"/>
        <v>N</v>
      </c>
      <c r="V16" s="74">
        <f t="shared" si="13"/>
        <v>1</v>
      </c>
      <c r="W16" s="74">
        <f t="shared" si="14"/>
        <v>4.6399999999999997E-2</v>
      </c>
      <c r="X16" s="74">
        <f t="shared" si="15"/>
        <v>23.3308</v>
      </c>
      <c r="Y16" s="74">
        <f t="shared" si="16"/>
        <v>23.284400000000002</v>
      </c>
      <c r="Z16" s="75" t="e">
        <f>VLOOKUP(A16,Enforcements!$C$3:$J$48,8,0)</f>
        <v>#N/A</v>
      </c>
      <c r="AA16" s="75" t="e">
        <f>VLOOKUP(A16,Enforcements!$C$3:$J$48,3,0)</f>
        <v>#N/A</v>
      </c>
    </row>
    <row r="17" spans="1:27" s="2" customFormat="1" x14ac:dyDescent="0.25">
      <c r="A17" s="61" t="s">
        <v>251</v>
      </c>
      <c r="B17" s="61">
        <v>4017</v>
      </c>
      <c r="C17" s="61" t="s">
        <v>66</v>
      </c>
      <c r="D17" s="61" t="s">
        <v>89</v>
      </c>
      <c r="E17" s="30">
        <v>42508.250173611108</v>
      </c>
      <c r="F17" s="30">
        <v>42508.250949074078</v>
      </c>
      <c r="G17" s="38">
        <v>1</v>
      </c>
      <c r="H17" s="30" t="s">
        <v>113</v>
      </c>
      <c r="I17" s="30">
        <v>42508.283090277779</v>
      </c>
      <c r="J17" s="61">
        <v>0</v>
      </c>
      <c r="K17" s="61" t="str">
        <f t="shared" si="9"/>
        <v>4017/4018</v>
      </c>
      <c r="L17" s="61" t="str">
        <f>VLOOKUP(A17,'Trips&amp;Operators'!$C$1:$E$9999,3,FALSE)</f>
        <v>REBOLETTI</v>
      </c>
      <c r="M17" s="12">
        <f t="shared" si="10"/>
        <v>3.2141203701030463E-2</v>
      </c>
      <c r="N17" s="13">
        <f t="shared" si="5"/>
        <v>46.283333329483867</v>
      </c>
      <c r="O17" s="13"/>
      <c r="P17" s="13"/>
      <c r="Q17" s="62"/>
      <c r="R17" s="62"/>
      <c r="T17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https://search-rtdc-monitor-bjffxe2xuh6vdkpspy63sjmuny.us-east-1.es.amazonaws.com/_plugin/kibana/#/discover/Steve-Slow-Train-Analysis-(2080s-and-2083s)?_g=(refreshInterval:(display:Off,section:0,value:0),time:(from:'2016-05-18 05:59:15-0600',mode:absolute,to:'2016-05-18 06:48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U17" s="74" t="str">
        <f t="shared" si="12"/>
        <v>N</v>
      </c>
      <c r="V17" s="74">
        <f t="shared" si="13"/>
        <v>1</v>
      </c>
      <c r="W17" s="74">
        <f t="shared" si="14"/>
        <v>23.299399999999999</v>
      </c>
      <c r="X17" s="74">
        <f t="shared" si="15"/>
        <v>1.5800000000000002E-2</v>
      </c>
      <c r="Y17" s="74">
        <f t="shared" si="16"/>
        <v>23.2836</v>
      </c>
      <c r="Z17" s="75" t="e">
        <f>VLOOKUP(A17,Enforcements!$C$3:$J$48,8,0)</f>
        <v>#N/A</v>
      </c>
      <c r="AA17" s="75" t="e">
        <f>VLOOKUP(A17,Enforcements!$C$3:$J$48,3,0)</f>
        <v>#N/A</v>
      </c>
    </row>
    <row r="18" spans="1:27" s="2" customFormat="1" x14ac:dyDescent="0.25">
      <c r="A18" s="61" t="s">
        <v>272</v>
      </c>
      <c r="B18" s="61">
        <v>4020</v>
      </c>
      <c r="C18" s="61" t="s">
        <v>66</v>
      </c>
      <c r="D18" s="61" t="s">
        <v>200</v>
      </c>
      <c r="E18" s="30">
        <v>42508.226238425923</v>
      </c>
      <c r="F18" s="30">
        <v>42508.227418981478</v>
      </c>
      <c r="G18" s="38">
        <v>1</v>
      </c>
      <c r="H18" s="30" t="s">
        <v>290</v>
      </c>
      <c r="I18" s="30">
        <v>42508.25440972222</v>
      </c>
      <c r="J18" s="61">
        <v>0</v>
      </c>
      <c r="K18" s="61" t="str">
        <f t="shared" si="9"/>
        <v>4019/4020</v>
      </c>
      <c r="L18" s="61" t="str">
        <f>VLOOKUP(A18,'Trips&amp;Operators'!$C$1:$E$9999,3,FALSE)</f>
        <v>CHANDLER</v>
      </c>
      <c r="M18" s="12">
        <f t="shared" si="10"/>
        <v>2.6990740741894115E-2</v>
      </c>
      <c r="N18" s="13">
        <f t="shared" si="5"/>
        <v>38.866666668327525</v>
      </c>
      <c r="O18" s="13"/>
      <c r="P18" s="13"/>
      <c r="Q18" s="62"/>
      <c r="R18" s="62"/>
      <c r="T18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https://search-rtdc-monitor-bjffxe2xuh6vdkpspy63sjmuny.us-east-1.es.amazonaws.com/_plugin/kibana/#/discover/Steve-Slow-Train-Analysis-(2080s-and-2083s)?_g=(refreshInterval:(display:Off,section:0,value:0),time:(from:'2016-05-18 05:24:47-0600',mode:absolute,to:'2016-05-18 06:07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18" s="74" t="str">
        <f t="shared" si="12"/>
        <v>N</v>
      </c>
      <c r="V18" s="74">
        <f t="shared" si="13"/>
        <v>1</v>
      </c>
      <c r="W18" s="74">
        <f t="shared" si="14"/>
        <v>7.4399999999999994E-2</v>
      </c>
      <c r="X18" s="74">
        <f t="shared" si="15"/>
        <v>23.337199999999999</v>
      </c>
      <c r="Y18" s="74">
        <f t="shared" si="16"/>
        <v>23.262799999999999</v>
      </c>
      <c r="Z18" s="75" t="e">
        <f>VLOOKUP(A18,Enforcements!$C$3:$J$48,8,0)</f>
        <v>#N/A</v>
      </c>
      <c r="AA18" s="75" t="e">
        <f>VLOOKUP(A18,Enforcements!$C$3:$J$48,3,0)</f>
        <v>#N/A</v>
      </c>
    </row>
    <row r="19" spans="1:27" s="2" customFormat="1" x14ac:dyDescent="0.25">
      <c r="A19" s="61" t="s">
        <v>252</v>
      </c>
      <c r="B19" s="61">
        <v>4019</v>
      </c>
      <c r="C19" s="61" t="s">
        <v>66</v>
      </c>
      <c r="D19" s="61" t="s">
        <v>291</v>
      </c>
      <c r="E19" s="30">
        <v>42508.263877314814</v>
      </c>
      <c r="F19" s="30">
        <v>42508.264918981484</v>
      </c>
      <c r="G19" s="38">
        <v>1</v>
      </c>
      <c r="H19" s="30" t="s">
        <v>70</v>
      </c>
      <c r="I19" s="30">
        <v>42508.295694444445</v>
      </c>
      <c r="J19" s="61">
        <v>1</v>
      </c>
      <c r="K19" s="61" t="str">
        <f t="shared" si="9"/>
        <v>4019/4020</v>
      </c>
      <c r="L19" s="61" t="str">
        <f>VLOOKUP(A19,'Trips&amp;Operators'!$C$1:$E$9999,3,FALSE)</f>
        <v>CHANDLER</v>
      </c>
      <c r="M19" s="12">
        <f t="shared" si="10"/>
        <v>3.0775462961173616E-2</v>
      </c>
      <c r="N19" s="13">
        <f t="shared" si="5"/>
        <v>44.316666664090008</v>
      </c>
      <c r="O19" s="13"/>
      <c r="P19" s="13"/>
      <c r="Q19" s="62"/>
      <c r="R19" s="62"/>
      <c r="T19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https://search-rtdc-monitor-bjffxe2xuh6vdkpspy63sjmuny.us-east-1.es.amazonaws.com/_plugin/kibana/#/discover/Steve-Slow-Train-Analysis-(2080s-and-2083s)?_g=(refreshInterval:(display:Off,section:0,value:0),time:(from:'2016-05-18 06:18:59-0600',mode:absolute,to:'2016-05-18 07:06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19" s="74" t="str">
        <f t="shared" si="12"/>
        <v>N</v>
      </c>
      <c r="V19" s="74">
        <f t="shared" si="13"/>
        <v>1</v>
      </c>
      <c r="W19" s="74">
        <f t="shared" si="14"/>
        <v>23.306899999999999</v>
      </c>
      <c r="X19" s="74">
        <f t="shared" si="15"/>
        <v>1.5599999999999999E-2</v>
      </c>
      <c r="Y19" s="74">
        <f t="shared" si="16"/>
        <v>23.2913</v>
      </c>
      <c r="Z19" s="75">
        <f>VLOOKUP(A19,Enforcements!$C$3:$J$48,8,0)</f>
        <v>183829</v>
      </c>
      <c r="AA19" s="75" t="str">
        <f>VLOOKUP(A19,Enforcements!$C$3:$J$48,3,0)</f>
        <v>PERMANENT SPEED RESTRICTION</v>
      </c>
    </row>
    <row r="20" spans="1:27" s="2" customFormat="1" x14ac:dyDescent="0.25">
      <c r="A20" s="61" t="s">
        <v>261</v>
      </c>
      <c r="B20" s="61">
        <v>4007</v>
      </c>
      <c r="C20" s="61" t="s">
        <v>66</v>
      </c>
      <c r="D20" s="61" t="s">
        <v>213</v>
      </c>
      <c r="E20" s="30">
        <v>42508.233368055553</v>
      </c>
      <c r="F20" s="30">
        <v>42508.234502314815</v>
      </c>
      <c r="G20" s="38">
        <v>1</v>
      </c>
      <c r="H20" s="30" t="s">
        <v>292</v>
      </c>
      <c r="I20" s="30">
        <v>42508.265416666669</v>
      </c>
      <c r="J20" s="61">
        <v>0</v>
      </c>
      <c r="K20" s="61" t="str">
        <f t="shared" si="9"/>
        <v>4007/4008</v>
      </c>
      <c r="L20" s="61" t="str">
        <f>VLOOKUP(A20,'Trips&amp;Operators'!$C$1:$E$9999,3,FALSE)</f>
        <v>STARKS</v>
      </c>
      <c r="M20" s="12">
        <f t="shared" si="10"/>
        <v>3.0914351853425615E-2</v>
      </c>
      <c r="N20" s="13">
        <f t="shared" si="5"/>
        <v>44.516666668932885</v>
      </c>
      <c r="O20" s="13"/>
      <c r="P20" s="13"/>
      <c r="Q20" s="62"/>
      <c r="R20" s="62"/>
      <c r="T20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https://search-rtdc-monitor-bjffxe2xuh6vdkpspy63sjmuny.us-east-1.es.amazonaws.com/_plugin/kibana/#/discover/Steve-Slow-Train-Analysis-(2080s-and-2083s)?_g=(refreshInterval:(display:Off,section:0,value:0),time:(from:'2016-05-18 05:35:03-0600',mode:absolute,to:'2016-05-18 06:23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20" s="74" t="str">
        <f t="shared" si="12"/>
        <v>N</v>
      </c>
      <c r="V20" s="74">
        <f t="shared" si="13"/>
        <v>1</v>
      </c>
      <c r="W20" s="74">
        <f t="shared" si="14"/>
        <v>4.6600000000000003E-2</v>
      </c>
      <c r="X20" s="74">
        <f t="shared" si="15"/>
        <v>23.337800000000001</v>
      </c>
      <c r="Y20" s="74">
        <f t="shared" si="16"/>
        <v>23.2912</v>
      </c>
      <c r="Z20" s="75" t="e">
        <f>VLOOKUP(A20,Enforcements!$C$3:$J$48,8,0)</f>
        <v>#N/A</v>
      </c>
      <c r="AA20" s="75" t="e">
        <f>VLOOKUP(A20,Enforcements!$C$3:$J$48,3,0)</f>
        <v>#N/A</v>
      </c>
    </row>
    <row r="21" spans="1:27" s="2" customFormat="1" x14ac:dyDescent="0.25">
      <c r="A21" s="61" t="s">
        <v>267</v>
      </c>
      <c r="B21" s="61">
        <v>4008</v>
      </c>
      <c r="C21" s="61" t="s">
        <v>66</v>
      </c>
      <c r="D21" s="61" t="s">
        <v>293</v>
      </c>
      <c r="E21" s="30">
        <v>42508.275370370371</v>
      </c>
      <c r="F21" s="30">
        <v>42508.276377314818</v>
      </c>
      <c r="G21" s="38">
        <v>1</v>
      </c>
      <c r="H21" s="30" t="s">
        <v>112</v>
      </c>
      <c r="I21" s="30">
        <v>42508.305555555555</v>
      </c>
      <c r="J21" s="61">
        <v>0</v>
      </c>
      <c r="K21" s="61" t="str">
        <f t="shared" si="9"/>
        <v>4007/4008</v>
      </c>
      <c r="L21" s="61" t="str">
        <f>VLOOKUP(A21,'Trips&amp;Operators'!$C$1:$E$9999,3,FALSE)</f>
        <v>STARKS</v>
      </c>
      <c r="M21" s="12">
        <f t="shared" si="10"/>
        <v>2.9178240736655425E-2</v>
      </c>
      <c r="N21" s="13">
        <f t="shared" si="5"/>
        <v>42.016666660783812</v>
      </c>
      <c r="O21" s="13"/>
      <c r="P21" s="13"/>
      <c r="Q21" s="62"/>
      <c r="R21" s="62"/>
      <c r="T21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https://search-rtdc-monitor-bjffxe2xuh6vdkpspy63sjmuny.us-east-1.es.amazonaws.com/_plugin/kibana/#/discover/Steve-Slow-Train-Analysis-(2080s-and-2083s)?_g=(refreshInterval:(display:Off,section:0,value:0),time:(from:'2016-05-18 06:35:32-0600',mode:absolute,to:'2016-05-18 07:21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21" s="74" t="str">
        <f t="shared" si="12"/>
        <v>N</v>
      </c>
      <c r="V21" s="74">
        <f t="shared" si="13"/>
        <v>1</v>
      </c>
      <c r="W21" s="74">
        <f t="shared" si="14"/>
        <v>23.3047</v>
      </c>
      <c r="X21" s="74">
        <f t="shared" si="15"/>
        <v>1.38E-2</v>
      </c>
      <c r="Y21" s="74">
        <f t="shared" si="16"/>
        <v>23.290900000000001</v>
      </c>
      <c r="Z21" s="75" t="e">
        <f>VLOOKUP(A21,Enforcements!$C$3:$J$48,8,0)</f>
        <v>#N/A</v>
      </c>
      <c r="AA21" s="75" t="e">
        <f>VLOOKUP(A21,Enforcements!$C$3:$J$48,3,0)</f>
        <v>#N/A</v>
      </c>
    </row>
    <row r="22" spans="1:27" s="2" customFormat="1" x14ac:dyDescent="0.25">
      <c r="A22" s="61" t="s">
        <v>268</v>
      </c>
      <c r="B22" s="61">
        <v>4038</v>
      </c>
      <c r="C22" s="61" t="s">
        <v>66</v>
      </c>
      <c r="D22" s="61" t="s">
        <v>294</v>
      </c>
      <c r="E22" s="30">
        <v>42508.246689814812</v>
      </c>
      <c r="F22" s="30">
        <v>42508.247557870367</v>
      </c>
      <c r="G22" s="38">
        <v>1</v>
      </c>
      <c r="H22" s="30" t="s">
        <v>295</v>
      </c>
      <c r="I22" s="30">
        <v>42508.275231481479</v>
      </c>
      <c r="J22" s="61">
        <v>0</v>
      </c>
      <c r="K22" s="61" t="str">
        <f t="shared" si="9"/>
        <v>4037/4038</v>
      </c>
      <c r="L22" s="61" t="str">
        <f>VLOOKUP(A22,'Trips&amp;Operators'!$C$1:$E$9999,3,FALSE)</f>
        <v>STORY</v>
      </c>
      <c r="M22" s="12">
        <f t="shared" si="10"/>
        <v>2.7673611111822538E-2</v>
      </c>
      <c r="N22" s="13">
        <f t="shared" si="5"/>
        <v>39.850000001024455</v>
      </c>
      <c r="O22" s="13"/>
      <c r="P22" s="13"/>
      <c r="Q22" s="62"/>
      <c r="R22" s="62"/>
      <c r="T22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https://search-rtdc-monitor-bjffxe2xuh6vdkpspy63sjmuny.us-east-1.es.amazonaws.com/_plugin/kibana/#/discover/Steve-Slow-Train-Analysis-(2080s-and-2083s)?_g=(refreshInterval:(display:Off,section:0,value:0),time:(from:'2016-05-18 05:54:14-0600',mode:absolute,to:'2016-05-18 06:37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U22" s="74" t="str">
        <f t="shared" si="12"/>
        <v>N</v>
      </c>
      <c r="V22" s="74">
        <f t="shared" si="13"/>
        <v>1</v>
      </c>
      <c r="W22" s="74">
        <f t="shared" si="14"/>
        <v>0.14860000000000001</v>
      </c>
      <c r="X22" s="74">
        <f t="shared" si="15"/>
        <v>23.331600000000002</v>
      </c>
      <c r="Y22" s="74">
        <f t="shared" si="16"/>
        <v>23.183000000000003</v>
      </c>
      <c r="Z22" s="75" t="e">
        <f>VLOOKUP(A22,Enforcements!$C$3:$J$48,8,0)</f>
        <v>#N/A</v>
      </c>
      <c r="AA22" s="75" t="e">
        <f>VLOOKUP(A22,Enforcements!$C$3:$J$48,3,0)</f>
        <v>#N/A</v>
      </c>
    </row>
    <row r="23" spans="1:27" s="2" customFormat="1" x14ac:dyDescent="0.25">
      <c r="A23" s="61" t="s">
        <v>263</v>
      </c>
      <c r="B23" s="61">
        <v>4037</v>
      </c>
      <c r="C23" s="61" t="s">
        <v>66</v>
      </c>
      <c r="D23" s="61" t="s">
        <v>296</v>
      </c>
      <c r="E23" s="30">
        <v>42508.285092592596</v>
      </c>
      <c r="F23" s="30">
        <v>42508.286157407405</v>
      </c>
      <c r="G23" s="38">
        <v>1</v>
      </c>
      <c r="H23" s="30" t="s">
        <v>214</v>
      </c>
      <c r="I23" s="30">
        <v>42508.314826388887</v>
      </c>
      <c r="J23" s="61">
        <v>1</v>
      </c>
      <c r="K23" s="61" t="str">
        <f t="shared" si="9"/>
        <v>4037/4038</v>
      </c>
      <c r="L23" s="61" t="str">
        <f>VLOOKUP(A23,'Trips&amp;Operators'!$C$1:$E$9999,3,FALSE)</f>
        <v>RIVERA</v>
      </c>
      <c r="M23" s="12">
        <f t="shared" si="10"/>
        <v>2.8668981482042E-2</v>
      </c>
      <c r="N23" s="13">
        <f t="shared" si="5"/>
        <v>41.28333333414048</v>
      </c>
      <c r="O23" s="13"/>
      <c r="P23" s="13"/>
      <c r="Q23" s="62"/>
      <c r="R23" s="62"/>
      <c r="T23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https://search-rtdc-monitor-bjffxe2xuh6vdkpspy63sjmuny.us-east-1.es.amazonaws.com/_plugin/kibana/#/discover/Steve-Slow-Train-Analysis-(2080s-and-2083s)?_g=(refreshInterval:(display:Off,section:0,value:0),time:(from:'2016-05-18 06:49:32-0600',mode:absolute,to:'2016-05-18 07:34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U23" s="74" t="str">
        <f t="shared" si="12"/>
        <v>N</v>
      </c>
      <c r="V23" s="74">
        <f t="shared" si="13"/>
        <v>1</v>
      </c>
      <c r="W23" s="74">
        <f t="shared" si="14"/>
        <v>23.301500000000001</v>
      </c>
      <c r="X23" s="74">
        <f t="shared" si="15"/>
        <v>1.72E-2</v>
      </c>
      <c r="Y23" s="74">
        <f t="shared" si="16"/>
        <v>23.284300000000002</v>
      </c>
      <c r="Z23" s="75">
        <f>VLOOKUP(A23,Enforcements!$C$3:$J$48,8,0)</f>
        <v>1</v>
      </c>
      <c r="AA23" s="75" t="str">
        <f>VLOOKUP(A23,Enforcements!$C$3:$J$48,3,0)</f>
        <v>TRACK WARRANT AUTHORITY</v>
      </c>
    </row>
    <row r="24" spans="1:27" s="2" customFormat="1" x14ac:dyDescent="0.25">
      <c r="A24" s="61" t="s">
        <v>253</v>
      </c>
      <c r="B24" s="61">
        <v>4024</v>
      </c>
      <c r="C24" s="61" t="s">
        <v>66</v>
      </c>
      <c r="D24" s="61" t="s">
        <v>147</v>
      </c>
      <c r="E24" s="30">
        <v>42508.256539351853</v>
      </c>
      <c r="F24" s="30">
        <v>42508.257569444446</v>
      </c>
      <c r="G24" s="38">
        <v>1</v>
      </c>
      <c r="H24" s="30" t="s">
        <v>210</v>
      </c>
      <c r="I24" s="30">
        <v>42508.28534722222</v>
      </c>
      <c r="J24" s="61">
        <v>0</v>
      </c>
      <c r="K24" s="61" t="str">
        <f t="shared" si="9"/>
        <v>4023/4024</v>
      </c>
      <c r="L24" s="61" t="str">
        <f>VLOOKUP(A24,'Trips&amp;Operators'!$C$1:$E$9999,3,FALSE)</f>
        <v>STRICKLAND</v>
      </c>
      <c r="M24" s="12">
        <f t="shared" si="10"/>
        <v>2.7777777773735579E-2</v>
      </c>
      <c r="N24" s="13">
        <f t="shared" si="5"/>
        <v>39.999999994179234</v>
      </c>
      <c r="O24" s="13"/>
      <c r="P24" s="13"/>
      <c r="Q24" s="62"/>
      <c r="R24" s="62"/>
      <c r="T24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https://search-rtdc-monitor-bjffxe2xuh6vdkpspy63sjmuny.us-east-1.es.amazonaws.com/_plugin/kibana/#/discover/Steve-Slow-Train-Analysis-(2080s-and-2083s)?_g=(refreshInterval:(display:Off,section:0,value:0),time:(from:'2016-05-18 06:08:25-0600',mode:absolute,to:'2016-05-18 06:51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24" s="74" t="str">
        <f t="shared" si="12"/>
        <v>N</v>
      </c>
      <c r="V24" s="74">
        <f t="shared" si="13"/>
        <v>1</v>
      </c>
      <c r="W24" s="74">
        <f t="shared" si="14"/>
        <v>4.4900000000000002E-2</v>
      </c>
      <c r="X24" s="74">
        <f t="shared" si="15"/>
        <v>23.330400000000001</v>
      </c>
      <c r="Y24" s="74">
        <f t="shared" si="16"/>
        <v>23.285500000000003</v>
      </c>
      <c r="Z24" s="75" t="e">
        <f>VLOOKUP(A24,Enforcements!$C$3:$J$48,8,0)</f>
        <v>#N/A</v>
      </c>
      <c r="AA24" s="75" t="e">
        <f>VLOOKUP(A24,Enforcements!$C$3:$J$48,3,0)</f>
        <v>#N/A</v>
      </c>
    </row>
    <row r="25" spans="1:27" s="2" customFormat="1" x14ac:dyDescent="0.25">
      <c r="A25" s="61" t="s">
        <v>297</v>
      </c>
      <c r="B25" s="61">
        <v>4023</v>
      </c>
      <c r="C25" s="61" t="s">
        <v>66</v>
      </c>
      <c r="D25" s="61" t="s">
        <v>89</v>
      </c>
      <c r="E25" s="30">
        <v>42508.290069444447</v>
      </c>
      <c r="F25" s="30">
        <v>42508.291006944448</v>
      </c>
      <c r="G25" s="38">
        <v>1</v>
      </c>
      <c r="H25" s="30" t="s">
        <v>100</v>
      </c>
      <c r="I25" s="30">
        <v>42508.324675925927</v>
      </c>
      <c r="J25" s="61">
        <v>0</v>
      </c>
      <c r="K25" s="61" t="str">
        <f t="shared" si="9"/>
        <v>4023/4024</v>
      </c>
      <c r="L25" s="61" t="str">
        <f>VLOOKUP(A25,'Trips&amp;Operators'!$C$1:$E$9999,3,FALSE)</f>
        <v>STRICKLAND</v>
      </c>
      <c r="M25" s="12">
        <f t="shared" si="10"/>
        <v>3.3668981479422655E-2</v>
      </c>
      <c r="N25" s="13">
        <f t="shared" si="5"/>
        <v>48.483333330368623</v>
      </c>
      <c r="O25" s="13"/>
      <c r="P25" s="13"/>
      <c r="Q25" s="62"/>
      <c r="R25" s="62"/>
      <c r="T25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https://search-rtdc-monitor-bjffxe2xuh6vdkpspy63sjmuny.us-east-1.es.amazonaws.com/_plugin/kibana/#/discover/Steve-Slow-Train-Analysis-(2080s-and-2083s)?_g=(refreshInterval:(display:Off,section:0,value:0),time:(from:'2016-05-18 06:56:42-0600',mode:absolute,to:'2016-05-18 07:48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25" s="74" t="str">
        <f t="shared" si="12"/>
        <v>N</v>
      </c>
      <c r="V25" s="74">
        <f t="shared" si="13"/>
        <v>1</v>
      </c>
      <c r="W25" s="74">
        <f t="shared" si="14"/>
        <v>23.299399999999999</v>
      </c>
      <c r="X25" s="74">
        <f t="shared" si="15"/>
        <v>1.4999999999999999E-2</v>
      </c>
      <c r="Y25" s="74">
        <f t="shared" si="16"/>
        <v>23.284399999999998</v>
      </c>
      <c r="Z25" s="75" t="e">
        <f>VLOOKUP(A25,Enforcements!$C$3:$J$48,8,0)</f>
        <v>#N/A</v>
      </c>
      <c r="AA25" s="75" t="e">
        <f>VLOOKUP(A25,Enforcements!$C$3:$J$48,3,0)</f>
        <v>#N/A</v>
      </c>
    </row>
    <row r="26" spans="1:27" s="2" customFormat="1" x14ac:dyDescent="0.25">
      <c r="A26" s="61" t="s">
        <v>256</v>
      </c>
      <c r="B26" s="61">
        <v>4025</v>
      </c>
      <c r="C26" s="61" t="s">
        <v>66</v>
      </c>
      <c r="D26" s="61" t="s">
        <v>82</v>
      </c>
      <c r="E26" s="30">
        <v>42508.265208333331</v>
      </c>
      <c r="F26" s="30">
        <v>42508.266076388885</v>
      </c>
      <c r="G26" s="38">
        <v>1</v>
      </c>
      <c r="H26" s="30" t="s">
        <v>204</v>
      </c>
      <c r="I26" s="30">
        <v>42508.295428240737</v>
      </c>
      <c r="J26" s="61">
        <v>0</v>
      </c>
      <c r="K26" s="61" t="str">
        <f t="shared" si="9"/>
        <v>4025/4026</v>
      </c>
      <c r="L26" s="61" t="str">
        <f>VLOOKUP(A26,'Trips&amp;Operators'!$C$1:$E$9999,3,FALSE)</f>
        <v>ACKERMAN</v>
      </c>
      <c r="M26" s="12">
        <f t="shared" si="10"/>
        <v>2.9351851851970423E-2</v>
      </c>
      <c r="N26" s="13">
        <f t="shared" si="5"/>
        <v>42.266666666837409</v>
      </c>
      <c r="O26" s="13"/>
      <c r="P26" s="13"/>
      <c r="Q26" s="62"/>
      <c r="R26" s="62"/>
      <c r="T26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https://search-rtdc-monitor-bjffxe2xuh6vdkpspy63sjmuny.us-east-1.es.amazonaws.com/_plugin/kibana/#/discover/Steve-Slow-Train-Analysis-(2080s-and-2083s)?_g=(refreshInterval:(display:Off,section:0,value:0),time:(from:'2016-05-18 06:20:54-0600',mode:absolute,to:'2016-05-18 07:06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U26" s="74" t="str">
        <f t="shared" si="12"/>
        <v>N</v>
      </c>
      <c r="V26" s="74">
        <f t="shared" si="13"/>
        <v>1</v>
      </c>
      <c r="W26" s="74">
        <f t="shared" si="14"/>
        <v>4.5100000000000001E-2</v>
      </c>
      <c r="X26" s="74">
        <f t="shared" si="15"/>
        <v>23.328800000000001</v>
      </c>
      <c r="Y26" s="74">
        <f t="shared" si="16"/>
        <v>23.2837</v>
      </c>
      <c r="Z26" s="75" t="e">
        <f>VLOOKUP(A26,Enforcements!$C$3:$J$48,8,0)</f>
        <v>#N/A</v>
      </c>
      <c r="AA26" s="75" t="e">
        <f>VLOOKUP(A26,Enforcements!$C$3:$J$48,3,0)</f>
        <v>#N/A</v>
      </c>
    </row>
    <row r="27" spans="1:27" s="2" customFormat="1" x14ac:dyDescent="0.25">
      <c r="A27" s="61" t="s">
        <v>298</v>
      </c>
      <c r="B27" s="61">
        <v>4026</v>
      </c>
      <c r="C27" s="61" t="s">
        <v>66</v>
      </c>
      <c r="D27" s="61" t="s">
        <v>92</v>
      </c>
      <c r="E27" s="30">
        <v>42508.302951388891</v>
      </c>
      <c r="F27" s="30">
        <v>42508.304050925923</v>
      </c>
      <c r="G27" s="38">
        <v>1</v>
      </c>
      <c r="H27" s="30" t="s">
        <v>100</v>
      </c>
      <c r="I27" s="30">
        <v>42508.335266203707</v>
      </c>
      <c r="J27" s="61">
        <v>0</v>
      </c>
      <c r="K27" s="61" t="str">
        <f t="shared" si="9"/>
        <v>4025/4026</v>
      </c>
      <c r="L27" s="61" t="str">
        <f>VLOOKUP(A27,'Trips&amp;Operators'!$C$1:$E$9999,3,FALSE)</f>
        <v>ACKERMAN</v>
      </c>
      <c r="M27" s="12">
        <f t="shared" si="10"/>
        <v>3.1215277784212958E-2</v>
      </c>
      <c r="N27" s="13">
        <f t="shared" si="5"/>
        <v>44.95000000926666</v>
      </c>
      <c r="O27" s="13"/>
      <c r="P27" s="13"/>
      <c r="Q27" s="62"/>
      <c r="R27" s="62"/>
      <c r="T27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https://search-rtdc-monitor-bjffxe2xuh6vdkpspy63sjmuny.us-east-1.es.amazonaws.com/_plugin/kibana/#/discover/Steve-Slow-Train-Analysis-(2080s-and-2083s)?_g=(refreshInterval:(display:Off,section:0,value:0),time:(from:'2016-05-18 07:15:15-0600',mode:absolute,to:'2016-05-18 08:03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U27" s="74" t="str">
        <f t="shared" si="12"/>
        <v>N</v>
      </c>
      <c r="V27" s="74">
        <f t="shared" si="13"/>
        <v>1</v>
      </c>
      <c r="W27" s="74">
        <f t="shared" si="14"/>
        <v>23.297999999999998</v>
      </c>
      <c r="X27" s="74">
        <f t="shared" si="15"/>
        <v>1.4999999999999999E-2</v>
      </c>
      <c r="Y27" s="74">
        <f t="shared" si="16"/>
        <v>23.282999999999998</v>
      </c>
      <c r="Z27" s="75" t="e">
        <f>VLOOKUP(A27,Enforcements!$C$3:$J$48,8,0)</f>
        <v>#N/A</v>
      </c>
      <c r="AA27" s="75" t="e">
        <f>VLOOKUP(A27,Enforcements!$C$3:$J$48,3,0)</f>
        <v>#N/A</v>
      </c>
    </row>
    <row r="28" spans="1:27" s="2" customFormat="1" x14ac:dyDescent="0.25">
      <c r="A28" s="61" t="s">
        <v>254</v>
      </c>
      <c r="B28" s="61">
        <v>4044</v>
      </c>
      <c r="C28" s="61" t="s">
        <v>66</v>
      </c>
      <c r="D28" s="61" t="s">
        <v>115</v>
      </c>
      <c r="E28" s="30">
        <v>42508.275335648148</v>
      </c>
      <c r="F28" s="30">
        <v>42508.276689814818</v>
      </c>
      <c r="G28" s="38">
        <v>1</v>
      </c>
      <c r="H28" s="30" t="s">
        <v>210</v>
      </c>
      <c r="I28" s="30">
        <v>42508.306435185186</v>
      </c>
      <c r="J28" s="61">
        <v>1</v>
      </c>
      <c r="K28" s="61" t="str">
        <f t="shared" si="9"/>
        <v>4043/4044</v>
      </c>
      <c r="L28" s="61" t="str">
        <f>VLOOKUP(A28,'Trips&amp;Operators'!$C$1:$E$9999,3,FALSE)</f>
        <v>BRUDER</v>
      </c>
      <c r="M28" s="12">
        <f t="shared" si="10"/>
        <v>2.9745370367891155E-2</v>
      </c>
      <c r="N28" s="13">
        <f t="shared" si="5"/>
        <v>42.833333329763263</v>
      </c>
      <c r="O28" s="13"/>
      <c r="P28" s="13"/>
      <c r="Q28" s="62"/>
      <c r="R28" s="62"/>
      <c r="T28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https://search-rtdc-monitor-bjffxe2xuh6vdkpspy63sjmuny.us-east-1.es.amazonaws.com/_plugin/kibana/#/discover/Steve-Slow-Train-Analysis-(2080s-and-2083s)?_g=(refreshInterval:(display:Off,section:0,value:0),time:(from:'2016-05-18 06:35:29-0600',mode:absolute,to:'2016-05-18 07:22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28" s="74" t="str">
        <f t="shared" si="12"/>
        <v>N</v>
      </c>
      <c r="V28" s="74">
        <f t="shared" si="13"/>
        <v>1</v>
      </c>
      <c r="W28" s="74">
        <f t="shared" si="14"/>
        <v>4.6699999999999998E-2</v>
      </c>
      <c r="X28" s="74">
        <f t="shared" si="15"/>
        <v>23.330400000000001</v>
      </c>
      <c r="Y28" s="74">
        <f t="shared" si="16"/>
        <v>23.2837</v>
      </c>
      <c r="Z28" s="75">
        <f>VLOOKUP(A28,Enforcements!$C$3:$J$48,8,0)</f>
        <v>233491</v>
      </c>
      <c r="AA28" s="75" t="str">
        <f>VLOOKUP(A28,Enforcements!$C$3:$J$48,3,0)</f>
        <v>TRACK WARRANT AUTHORITY</v>
      </c>
    </row>
    <row r="29" spans="1:27" s="2" customFormat="1" x14ac:dyDescent="0.25">
      <c r="A29" s="61" t="s">
        <v>299</v>
      </c>
      <c r="B29" s="61">
        <v>4043</v>
      </c>
      <c r="C29" s="61" t="s">
        <v>66</v>
      </c>
      <c r="D29" s="61" t="s">
        <v>193</v>
      </c>
      <c r="E29" s="30">
        <v>42508.316076388888</v>
      </c>
      <c r="F29" s="30">
        <v>42508.317245370374</v>
      </c>
      <c r="G29" s="38">
        <v>1</v>
      </c>
      <c r="H29" s="30" t="s">
        <v>79</v>
      </c>
      <c r="I29" s="30">
        <v>42508.346446759257</v>
      </c>
      <c r="J29" s="61">
        <v>0</v>
      </c>
      <c r="K29" s="61" t="str">
        <f t="shared" si="9"/>
        <v>4043/4044</v>
      </c>
      <c r="L29" s="61" t="str">
        <f>VLOOKUP(A29,'Trips&amp;Operators'!$C$1:$E$9999,3,FALSE)</f>
        <v>BRUDER</v>
      </c>
      <c r="M29" s="12">
        <f t="shared" si="10"/>
        <v>2.9201388882938772E-2</v>
      </c>
      <c r="N29" s="13">
        <f t="shared" si="5"/>
        <v>42.049999991431832</v>
      </c>
      <c r="O29" s="13"/>
      <c r="P29" s="13"/>
      <c r="Q29" s="62"/>
      <c r="R29" s="62"/>
      <c r="T29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https://search-rtdc-monitor-bjffxe2xuh6vdkpspy63sjmuny.us-east-1.es.amazonaws.com/_plugin/kibana/#/discover/Steve-Slow-Train-Analysis-(2080s-and-2083s)?_g=(refreshInterval:(display:Off,section:0,value:0),time:(from:'2016-05-18 07:34:09-0600',mode:absolute,to:'2016-05-18 08:19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29" s="74" t="str">
        <f t="shared" si="12"/>
        <v>N</v>
      </c>
      <c r="V29" s="74">
        <f t="shared" si="13"/>
        <v>1</v>
      </c>
      <c r="W29" s="74">
        <f t="shared" si="14"/>
        <v>23.2987</v>
      </c>
      <c r="X29" s="74">
        <f t="shared" si="15"/>
        <v>1.3599999999999999E-2</v>
      </c>
      <c r="Y29" s="74">
        <f t="shared" si="16"/>
        <v>23.2851</v>
      </c>
      <c r="Z29" s="75" t="e">
        <f>VLOOKUP(A29,Enforcements!$C$3:$J$48,8,0)</f>
        <v>#N/A</v>
      </c>
      <c r="AA29" s="75" t="e">
        <f>VLOOKUP(A29,Enforcements!$C$3:$J$48,3,0)</f>
        <v>#N/A</v>
      </c>
    </row>
    <row r="30" spans="1:27" s="2" customFormat="1" x14ac:dyDescent="0.25">
      <c r="A30" s="61" t="s">
        <v>273</v>
      </c>
      <c r="B30" s="61">
        <v>4018</v>
      </c>
      <c r="C30" s="61" t="s">
        <v>66</v>
      </c>
      <c r="D30" s="61" t="s">
        <v>90</v>
      </c>
      <c r="E30" s="30">
        <v>42508.285162037035</v>
      </c>
      <c r="F30" s="30">
        <v>42508.286296296297</v>
      </c>
      <c r="G30" s="38">
        <v>1</v>
      </c>
      <c r="H30" s="30" t="s">
        <v>85</v>
      </c>
      <c r="I30" s="30">
        <v>42508.316504629627</v>
      </c>
      <c r="J30" s="61">
        <v>1</v>
      </c>
      <c r="K30" s="61" t="str">
        <f t="shared" si="9"/>
        <v>4017/4018</v>
      </c>
      <c r="L30" s="61" t="str">
        <f>VLOOKUP(A30,'Trips&amp;Operators'!$C$1:$E$9999,3,FALSE)</f>
        <v>REBOLETTI</v>
      </c>
      <c r="M30" s="12">
        <f t="shared" si="10"/>
        <v>3.0208333329937886E-2</v>
      </c>
      <c r="N30" s="13">
        <f t="shared" si="5"/>
        <v>43.499999995110556</v>
      </c>
      <c r="O30" s="13"/>
      <c r="P30" s="13"/>
      <c r="Q30" s="62"/>
      <c r="R30" s="62"/>
      <c r="T30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https://search-rtdc-monitor-bjffxe2xuh6vdkpspy63sjmuny.us-east-1.es.amazonaws.com/_plugin/kibana/#/discover/Steve-Slow-Train-Analysis-(2080s-and-2083s)?_g=(refreshInterval:(display:Off,section:0,value:0),time:(from:'2016-05-18 06:49:38-0600',mode:absolute,to:'2016-05-18 07:36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U30" s="74" t="str">
        <f t="shared" si="12"/>
        <v>N</v>
      </c>
      <c r="V30" s="74">
        <f t="shared" si="13"/>
        <v>1</v>
      </c>
      <c r="W30" s="74">
        <f t="shared" si="14"/>
        <v>4.6399999999999997E-2</v>
      </c>
      <c r="X30" s="74">
        <f t="shared" si="15"/>
        <v>23.329899999999999</v>
      </c>
      <c r="Y30" s="74">
        <f t="shared" si="16"/>
        <v>23.2835</v>
      </c>
      <c r="Z30" s="75">
        <f>VLOOKUP(A30,Enforcements!$C$3:$J$48,8,0)</f>
        <v>233491</v>
      </c>
      <c r="AA30" s="75" t="str">
        <f>VLOOKUP(A30,Enforcements!$C$3:$J$48,3,0)</f>
        <v>TRACK WARRANT AUTHORITY</v>
      </c>
    </row>
    <row r="31" spans="1:27" s="2" customFormat="1" x14ac:dyDescent="0.25">
      <c r="A31" s="61" t="s">
        <v>300</v>
      </c>
      <c r="B31" s="61">
        <v>4017</v>
      </c>
      <c r="C31" s="61" t="s">
        <v>66</v>
      </c>
      <c r="D31" s="61" t="s">
        <v>217</v>
      </c>
      <c r="E31" s="30">
        <v>42508.322476851848</v>
      </c>
      <c r="F31" s="30">
        <v>42508.323321759257</v>
      </c>
      <c r="G31" s="38">
        <v>1</v>
      </c>
      <c r="H31" s="30" t="s">
        <v>72</v>
      </c>
      <c r="I31" s="30">
        <v>42508.356793981482</v>
      </c>
      <c r="J31" s="61">
        <v>0</v>
      </c>
      <c r="K31" s="61" t="str">
        <f t="shared" si="9"/>
        <v>4017/4018</v>
      </c>
      <c r="L31" s="61" t="str">
        <f>VLOOKUP(A31,'Trips&amp;Operators'!$C$1:$E$9999,3,FALSE)</f>
        <v>REBOLETTI</v>
      </c>
      <c r="M31" s="12">
        <f t="shared" si="10"/>
        <v>3.3472222225100268E-2</v>
      </c>
      <c r="N31" s="13">
        <f t="shared" si="5"/>
        <v>48.200000004144385</v>
      </c>
      <c r="O31" s="13"/>
      <c r="P31" s="13"/>
      <c r="Q31" s="62"/>
      <c r="R31" s="62"/>
      <c r="T31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https://search-rtdc-monitor-bjffxe2xuh6vdkpspy63sjmuny.us-east-1.es.amazonaws.com/_plugin/kibana/#/discover/Steve-Slow-Train-Analysis-(2080s-and-2083s)?_g=(refreshInterval:(display:Off,section:0,value:0),time:(from:'2016-05-18 07:43:22-0600',mode:absolute,to:'2016-05-18 08:34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U31" s="74" t="str">
        <f t="shared" si="12"/>
        <v>N</v>
      </c>
      <c r="V31" s="74">
        <f t="shared" si="13"/>
        <v>1</v>
      </c>
      <c r="W31" s="74">
        <f t="shared" si="14"/>
        <v>23.296099999999999</v>
      </c>
      <c r="X31" s="74">
        <f t="shared" si="15"/>
        <v>1.49E-2</v>
      </c>
      <c r="Y31" s="74">
        <f t="shared" si="16"/>
        <v>23.281199999999998</v>
      </c>
      <c r="Z31" s="75" t="e">
        <f>VLOOKUP(A31,Enforcements!$C$3:$J$48,8,0)</f>
        <v>#N/A</v>
      </c>
      <c r="AA31" s="75" t="e">
        <f>VLOOKUP(A31,Enforcements!$C$3:$J$48,3,0)</f>
        <v>#N/A</v>
      </c>
    </row>
    <row r="32" spans="1:27" s="2" customFormat="1" x14ac:dyDescent="0.25">
      <c r="A32" s="61" t="s">
        <v>301</v>
      </c>
      <c r="B32" s="61">
        <v>4020</v>
      </c>
      <c r="C32" s="61" t="s">
        <v>66</v>
      </c>
      <c r="D32" s="61" t="s">
        <v>106</v>
      </c>
      <c r="E32" s="30">
        <v>42508.297337962962</v>
      </c>
      <c r="F32" s="30">
        <v>42508.298263888886</v>
      </c>
      <c r="G32" s="38">
        <v>1</v>
      </c>
      <c r="H32" s="30" t="s">
        <v>145</v>
      </c>
      <c r="I32" s="30">
        <v>42508.327430555553</v>
      </c>
      <c r="J32" s="61">
        <v>0</v>
      </c>
      <c r="K32" s="61" t="str">
        <f t="shared" si="9"/>
        <v>4019/4020</v>
      </c>
      <c r="L32" s="61" t="str">
        <f>VLOOKUP(A32,'Trips&amp;Operators'!$C$1:$E$9999,3,FALSE)</f>
        <v>CHANDLER</v>
      </c>
      <c r="M32" s="12">
        <f t="shared" si="10"/>
        <v>2.9166666667151731E-2</v>
      </c>
      <c r="N32" s="13">
        <f t="shared" si="5"/>
        <v>42.000000000698492</v>
      </c>
      <c r="O32" s="13"/>
      <c r="P32" s="13"/>
      <c r="Q32" s="62"/>
      <c r="R32" s="62"/>
      <c r="T32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https://search-rtdc-monitor-bjffxe2xuh6vdkpspy63sjmuny.us-east-1.es.amazonaws.com/_plugin/kibana/#/discover/Steve-Slow-Train-Analysis-(2080s-and-2083s)?_g=(refreshInterval:(display:Off,section:0,value:0),time:(from:'2016-05-18 07:07:10-0600',mode:absolute,to:'2016-05-18 07:52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32" s="74" t="str">
        <f t="shared" si="12"/>
        <v>N</v>
      </c>
      <c r="V32" s="74">
        <f t="shared" si="13"/>
        <v>1</v>
      </c>
      <c r="W32" s="74">
        <f t="shared" si="14"/>
        <v>4.8000000000000001E-2</v>
      </c>
      <c r="X32" s="74">
        <f t="shared" si="15"/>
        <v>23.330200000000001</v>
      </c>
      <c r="Y32" s="74">
        <f t="shared" si="16"/>
        <v>23.282200000000003</v>
      </c>
      <c r="Z32" s="75">
        <f>VLOOKUP(A32,Enforcements!$C$3:$J$48,8,0)</f>
        <v>233491</v>
      </c>
      <c r="AA32" s="75" t="str">
        <f>VLOOKUP(A32,Enforcements!$C$3:$J$48,3,0)</f>
        <v>TRACK WARRANT AUTHORITY</v>
      </c>
    </row>
    <row r="33" spans="1:27" s="2" customFormat="1" x14ac:dyDescent="0.25">
      <c r="A33" s="61" t="s">
        <v>302</v>
      </c>
      <c r="B33" s="61">
        <v>4019</v>
      </c>
      <c r="C33" s="61" t="s">
        <v>66</v>
      </c>
      <c r="D33" s="61" t="s">
        <v>71</v>
      </c>
      <c r="E33" s="30">
        <v>42508.334351851852</v>
      </c>
      <c r="F33" s="30">
        <v>42508.335381944446</v>
      </c>
      <c r="G33" s="38">
        <v>1</v>
      </c>
      <c r="H33" s="30" t="s">
        <v>91</v>
      </c>
      <c r="I33" s="30">
        <v>42508.367754629631</v>
      </c>
      <c r="J33" s="61">
        <v>0</v>
      </c>
      <c r="K33" s="61" t="str">
        <f t="shared" si="9"/>
        <v>4019/4020</v>
      </c>
      <c r="L33" s="61" t="str">
        <f>VLOOKUP(A33,'Trips&amp;Operators'!$C$1:$E$9999,3,FALSE)</f>
        <v>CHANDLER</v>
      </c>
      <c r="M33" s="12">
        <f t="shared" si="10"/>
        <v>3.2372685185691807E-2</v>
      </c>
      <c r="N33" s="13">
        <f t="shared" si="5"/>
        <v>46.616666667396203</v>
      </c>
      <c r="O33" s="13"/>
      <c r="P33" s="13"/>
      <c r="Q33" s="62"/>
      <c r="R33" s="62"/>
      <c r="T33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https://search-rtdc-monitor-bjffxe2xuh6vdkpspy63sjmuny.us-east-1.es.amazonaws.com/_plugin/kibana/#/discover/Steve-Slow-Train-Analysis-(2080s-and-2083s)?_g=(refreshInterval:(display:Off,section:0,value:0),time:(from:'2016-05-18 08:00:28-0600',mode:absolute,to:'2016-05-18 08:50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33" s="74" t="str">
        <f t="shared" si="12"/>
        <v>N</v>
      </c>
      <c r="V33" s="74">
        <f t="shared" si="13"/>
        <v>1</v>
      </c>
      <c r="W33" s="74">
        <f t="shared" si="14"/>
        <v>23.298500000000001</v>
      </c>
      <c r="X33" s="74">
        <f t="shared" si="15"/>
        <v>1.61E-2</v>
      </c>
      <c r="Y33" s="74">
        <f t="shared" si="16"/>
        <v>23.282399999999999</v>
      </c>
      <c r="Z33" s="75">
        <f>VLOOKUP(A33,Enforcements!$C$3:$J$48,8,0)</f>
        <v>1</v>
      </c>
      <c r="AA33" s="75" t="str">
        <f>VLOOKUP(A33,Enforcements!$C$3:$J$48,3,0)</f>
        <v>TRACK WARRANT AUTHORITY</v>
      </c>
    </row>
    <row r="34" spans="1:27" s="2" customFormat="1" x14ac:dyDescent="0.25">
      <c r="A34" s="61" t="s">
        <v>303</v>
      </c>
      <c r="B34" s="61">
        <v>4007</v>
      </c>
      <c r="C34" s="61" t="s">
        <v>66</v>
      </c>
      <c r="D34" s="61" t="s">
        <v>155</v>
      </c>
      <c r="E34" s="30">
        <v>42508.308599537035</v>
      </c>
      <c r="F34" s="30">
        <v>42508.309594907405</v>
      </c>
      <c r="G34" s="38">
        <v>1</v>
      </c>
      <c r="H34" s="30" t="s">
        <v>304</v>
      </c>
      <c r="I34" s="30">
        <v>42508.339432870373</v>
      </c>
      <c r="J34" s="61">
        <v>2</v>
      </c>
      <c r="K34" s="61" t="str">
        <f t="shared" si="9"/>
        <v>4007/4008</v>
      </c>
      <c r="L34" s="61" t="str">
        <f>VLOOKUP(A34,'Trips&amp;Operators'!$C$1:$E$9999,3,FALSE)</f>
        <v>STARKS</v>
      </c>
      <c r="M34" s="12">
        <f t="shared" si="10"/>
        <v>2.9837962967576459E-2</v>
      </c>
      <c r="N34" s="13">
        <f t="shared" si="5"/>
        <v>42.966666673310101</v>
      </c>
      <c r="O34" s="13"/>
      <c r="P34" s="13"/>
      <c r="Q34" s="62"/>
      <c r="R34" s="62"/>
      <c r="T34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https://search-rtdc-monitor-bjffxe2xuh6vdkpspy63sjmuny.us-east-1.es.amazonaws.com/_plugin/kibana/#/discover/Steve-Slow-Train-Analysis-(2080s-and-2083s)?_g=(refreshInterval:(display:Off,section:0,value:0),time:(from:'2016-05-18 07:23:23-0600',mode:absolute,to:'2016-05-18 08:09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34" s="74" t="str">
        <f t="shared" si="12"/>
        <v>N</v>
      </c>
      <c r="V34" s="74">
        <f t="shared" si="13"/>
        <v>1</v>
      </c>
      <c r="W34" s="74">
        <f t="shared" si="14"/>
        <v>4.5999999999999999E-2</v>
      </c>
      <c r="X34" s="74">
        <f t="shared" si="15"/>
        <v>23.332000000000001</v>
      </c>
      <c r="Y34" s="74">
        <f t="shared" si="16"/>
        <v>23.286000000000001</v>
      </c>
      <c r="Z34" s="75">
        <f>VLOOKUP(A34,Enforcements!$C$3:$J$48,8,0)</f>
        <v>116838</v>
      </c>
      <c r="AA34" s="75" t="str">
        <f>VLOOKUP(A34,Enforcements!$C$3:$J$48,3,0)</f>
        <v>PERMANENT SPEED RESTRICTION</v>
      </c>
    </row>
    <row r="35" spans="1:27" s="2" customFormat="1" x14ac:dyDescent="0.25">
      <c r="A35" s="61" t="s">
        <v>305</v>
      </c>
      <c r="B35" s="61">
        <v>4008</v>
      </c>
      <c r="C35" s="61" t="s">
        <v>66</v>
      </c>
      <c r="D35" s="61" t="s">
        <v>215</v>
      </c>
      <c r="E35" s="30">
        <v>42508.349803240744</v>
      </c>
      <c r="F35" s="30">
        <v>42508.3516087963</v>
      </c>
      <c r="G35" s="38">
        <v>2</v>
      </c>
      <c r="H35" s="30" t="s">
        <v>306</v>
      </c>
      <c r="I35" s="30">
        <v>42508.377986111111</v>
      </c>
      <c r="J35" s="61">
        <v>0</v>
      </c>
      <c r="K35" s="61" t="str">
        <f t="shared" si="9"/>
        <v>4007/4008</v>
      </c>
      <c r="L35" s="61" t="str">
        <f>VLOOKUP(A35,'Trips&amp;Operators'!$C$1:$E$9999,3,FALSE)</f>
        <v>STARKS</v>
      </c>
      <c r="M35" s="12">
        <f t="shared" si="10"/>
        <v>2.6377314810815733E-2</v>
      </c>
      <c r="N35" s="13">
        <f t="shared" si="5"/>
        <v>37.983333327574655</v>
      </c>
      <c r="O35" s="13"/>
      <c r="P35" s="13"/>
      <c r="Q35" s="62"/>
      <c r="R35" s="62"/>
      <c r="T35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https://search-rtdc-monitor-bjffxe2xuh6vdkpspy63sjmuny.us-east-1.es.amazonaws.com/_plugin/kibana/#/discover/Steve-Slow-Train-Analysis-(2080s-and-2083s)?_g=(refreshInterval:(display:Off,section:0,value:0),time:(from:'2016-05-18 08:22:43-0600',mode:absolute,to:'2016-05-18 09:05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35" s="74" t="str">
        <f t="shared" si="12"/>
        <v>N</v>
      </c>
      <c r="V35" s="74">
        <f t="shared" si="13"/>
        <v>1</v>
      </c>
      <c r="W35" s="74">
        <f t="shared" si="14"/>
        <v>23.301100000000002</v>
      </c>
      <c r="X35" s="74">
        <f t="shared" si="15"/>
        <v>1.21E-2</v>
      </c>
      <c r="Y35" s="74">
        <f t="shared" si="16"/>
        <v>23.289000000000001</v>
      </c>
      <c r="Z35" s="75" t="e">
        <f>VLOOKUP(A35,Enforcements!$C$3:$J$48,8,0)</f>
        <v>#N/A</v>
      </c>
      <c r="AA35" s="75" t="e">
        <f>VLOOKUP(A35,Enforcements!$C$3:$J$48,3,0)</f>
        <v>#N/A</v>
      </c>
    </row>
    <row r="36" spans="1:27" s="2" customFormat="1" x14ac:dyDescent="0.25">
      <c r="A36" s="61" t="s">
        <v>307</v>
      </c>
      <c r="B36" s="61">
        <v>4038</v>
      </c>
      <c r="C36" s="61" t="s">
        <v>66</v>
      </c>
      <c r="D36" s="61" t="s">
        <v>308</v>
      </c>
      <c r="E36" s="30">
        <v>42508.317175925928</v>
      </c>
      <c r="F36" s="30">
        <v>42508.31821759259</v>
      </c>
      <c r="G36" s="38">
        <v>1</v>
      </c>
      <c r="H36" s="30" t="s">
        <v>309</v>
      </c>
      <c r="I36" s="30">
        <v>42508.347962962966</v>
      </c>
      <c r="J36" s="61">
        <v>1</v>
      </c>
      <c r="K36" s="61" t="str">
        <f t="shared" si="9"/>
        <v>4037/4038</v>
      </c>
      <c r="L36" s="61" t="str">
        <f>VLOOKUP(A36,'Trips&amp;Operators'!$C$1:$E$9999,3,FALSE)</f>
        <v>STORY</v>
      </c>
      <c r="M36" s="12">
        <f t="shared" si="10"/>
        <v>2.9745370375167113E-2</v>
      </c>
      <c r="N36" s="13">
        <f t="shared" si="5"/>
        <v>42.833333340240642</v>
      </c>
      <c r="O36" s="13"/>
      <c r="P36" s="13"/>
      <c r="Q36" s="62"/>
      <c r="R36" s="62"/>
      <c r="T36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https://search-rtdc-monitor-bjffxe2xuh6vdkpspy63sjmuny.us-east-1.es.amazonaws.com/_plugin/kibana/#/discover/Steve-Slow-Train-Analysis-(2080s-and-2083s)?_g=(refreshInterval:(display:Off,section:0,value:0),time:(from:'2016-05-18 07:35:44-0600',mode:absolute,to:'2016-05-18 08:22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U36" s="74" t="str">
        <f t="shared" si="12"/>
        <v>N</v>
      </c>
      <c r="V36" s="74">
        <f t="shared" si="13"/>
        <v>1</v>
      </c>
      <c r="W36" s="74">
        <f t="shared" si="14"/>
        <v>4.8399999999999999E-2</v>
      </c>
      <c r="X36" s="74">
        <f t="shared" si="15"/>
        <v>23.334199999999999</v>
      </c>
      <c r="Y36" s="74">
        <f t="shared" si="16"/>
        <v>23.285799999999998</v>
      </c>
      <c r="Z36" s="75">
        <f>VLOOKUP(A36,Enforcements!$C$3:$J$48,8,0)</f>
        <v>233491</v>
      </c>
      <c r="AA36" s="75" t="str">
        <f>VLOOKUP(A36,Enforcements!$C$3:$J$48,3,0)</f>
        <v>TRACK WARRANT AUTHORITY</v>
      </c>
    </row>
    <row r="37" spans="1:27" s="2" customFormat="1" x14ac:dyDescent="0.25">
      <c r="A37" s="61" t="s">
        <v>310</v>
      </c>
      <c r="B37" s="61">
        <v>4037</v>
      </c>
      <c r="C37" s="61" t="s">
        <v>66</v>
      </c>
      <c r="D37" s="61" t="s">
        <v>296</v>
      </c>
      <c r="E37" s="30">
        <v>42508.352453703701</v>
      </c>
      <c r="F37" s="30">
        <v>42508.353379629632</v>
      </c>
      <c r="G37" s="38">
        <v>1</v>
      </c>
      <c r="H37" s="30" t="s">
        <v>100</v>
      </c>
      <c r="I37" s="30">
        <v>42508.38958333333</v>
      </c>
      <c r="J37" s="61">
        <v>2</v>
      </c>
      <c r="K37" s="61" t="str">
        <f t="shared" si="9"/>
        <v>4037/4038</v>
      </c>
      <c r="L37" s="61" t="str">
        <f>VLOOKUP(A37,'Trips&amp;Operators'!$C$1:$E$9999,3,FALSE)</f>
        <v>RIVERA</v>
      </c>
      <c r="M37" s="12">
        <f t="shared" si="10"/>
        <v>3.6203703697538003E-2</v>
      </c>
      <c r="N37" s="13">
        <f t="shared" si="5"/>
        <v>52.133333324454725</v>
      </c>
      <c r="O37" s="13"/>
      <c r="P37" s="13"/>
      <c r="Q37" s="62"/>
      <c r="R37" s="62"/>
      <c r="T37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https://search-rtdc-monitor-bjffxe2xuh6vdkpspy63sjmuny.us-east-1.es.amazonaws.com/_plugin/kibana/#/discover/Steve-Slow-Train-Analysis-(2080s-and-2083s)?_g=(refreshInterval:(display:Off,section:0,value:0),time:(from:'2016-05-18 08:26:32-0600',mode:absolute,to:'2016-05-18 09:22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U37" s="74" t="str">
        <f t="shared" si="12"/>
        <v>N</v>
      </c>
      <c r="V37" s="74">
        <f t="shared" si="13"/>
        <v>1</v>
      </c>
      <c r="W37" s="74">
        <f t="shared" si="14"/>
        <v>23.301500000000001</v>
      </c>
      <c r="X37" s="74">
        <f t="shared" si="15"/>
        <v>1.4999999999999999E-2</v>
      </c>
      <c r="Y37" s="74">
        <f t="shared" si="16"/>
        <v>23.2865</v>
      </c>
      <c r="Z37" s="75">
        <f>VLOOKUP(A37,Enforcements!$C$3:$J$48,8,0)</f>
        <v>30562</v>
      </c>
      <c r="AA37" s="75" t="str">
        <f>VLOOKUP(A37,Enforcements!$C$3:$J$48,3,0)</f>
        <v>PERMANENT SPEED RESTRICTION</v>
      </c>
    </row>
    <row r="38" spans="1:27" s="2" customFormat="1" x14ac:dyDescent="0.25">
      <c r="A38" s="61" t="s">
        <v>311</v>
      </c>
      <c r="B38" s="61">
        <v>4024</v>
      </c>
      <c r="C38" s="61" t="s">
        <v>66</v>
      </c>
      <c r="D38" s="61" t="s">
        <v>117</v>
      </c>
      <c r="E38" s="30">
        <v>42508.327777777777</v>
      </c>
      <c r="F38" s="30">
        <v>42508.329050925924</v>
      </c>
      <c r="G38" s="38">
        <v>1</v>
      </c>
      <c r="H38" s="30" t="s">
        <v>73</v>
      </c>
      <c r="I38" s="30">
        <v>42508.358275462961</v>
      </c>
      <c r="J38" s="61">
        <v>0</v>
      </c>
      <c r="K38" s="61" t="str">
        <f t="shared" si="9"/>
        <v>4023/4024</v>
      </c>
      <c r="L38" s="61" t="str">
        <f>VLOOKUP(A38,'Trips&amp;Operators'!$C$1:$E$9999,3,FALSE)</f>
        <v>STRICKLAND</v>
      </c>
      <c r="M38" s="12">
        <f t="shared" si="10"/>
        <v>2.9224537036498077E-2</v>
      </c>
      <c r="N38" s="13">
        <f t="shared" si="5"/>
        <v>42.083333332557231</v>
      </c>
      <c r="O38" s="13"/>
      <c r="P38" s="13"/>
      <c r="Q38" s="62"/>
      <c r="R38" s="62"/>
      <c r="T38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https://search-rtdc-monitor-bjffxe2xuh6vdkpspy63sjmuny.us-east-1.es.amazonaws.com/_plugin/kibana/#/discover/Steve-Slow-Train-Analysis-(2080s-and-2083s)?_g=(refreshInterval:(display:Off,section:0,value:0),time:(from:'2016-05-18 07:51:00-0600',mode:absolute,to:'2016-05-18 08:36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38" s="74" t="str">
        <f t="shared" si="12"/>
        <v>N</v>
      </c>
      <c r="V38" s="74">
        <f t="shared" si="13"/>
        <v>1</v>
      </c>
      <c r="W38" s="74">
        <f t="shared" si="14"/>
        <v>4.58E-2</v>
      </c>
      <c r="X38" s="74">
        <f t="shared" si="15"/>
        <v>23.330300000000001</v>
      </c>
      <c r="Y38" s="74">
        <f t="shared" si="16"/>
        <v>23.284500000000001</v>
      </c>
      <c r="Z38" s="75" t="e">
        <f>VLOOKUP(A38,Enforcements!$C$3:$J$48,8,0)</f>
        <v>#N/A</v>
      </c>
      <c r="AA38" s="75" t="e">
        <f>VLOOKUP(A38,Enforcements!$C$3:$J$48,3,0)</f>
        <v>#N/A</v>
      </c>
    </row>
    <row r="39" spans="1:27" s="2" customFormat="1" x14ac:dyDescent="0.25">
      <c r="A39" s="61" t="s">
        <v>312</v>
      </c>
      <c r="B39" s="61">
        <v>4023</v>
      </c>
      <c r="C39" s="61" t="s">
        <v>66</v>
      </c>
      <c r="D39" s="61" t="s">
        <v>114</v>
      </c>
      <c r="E39" s="30">
        <v>42508.364155092589</v>
      </c>
      <c r="F39" s="30">
        <v>42508.365347222221</v>
      </c>
      <c r="G39" s="38">
        <v>1</v>
      </c>
      <c r="H39" s="30" t="s">
        <v>75</v>
      </c>
      <c r="I39" s="30">
        <v>42508.400289351855</v>
      </c>
      <c r="J39" s="61">
        <v>0</v>
      </c>
      <c r="K39" s="61" t="str">
        <f t="shared" si="9"/>
        <v>4023/4024</v>
      </c>
      <c r="L39" s="61" t="str">
        <f>VLOOKUP(A39,'Trips&amp;Operators'!$C$1:$E$9999,3,FALSE)</f>
        <v>STRICKLAND</v>
      </c>
      <c r="M39" s="12">
        <f t="shared" si="10"/>
        <v>3.4942129634146113E-2</v>
      </c>
      <c r="N39" s="13">
        <f t="shared" si="5"/>
        <v>50.316666673170403</v>
      </c>
      <c r="O39" s="13"/>
      <c r="P39" s="13"/>
      <c r="Q39" s="62"/>
      <c r="R39" s="62"/>
      <c r="T39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https://search-rtdc-monitor-bjffxe2xuh6vdkpspy63sjmuny.us-east-1.es.amazonaws.com/_plugin/kibana/#/discover/Steve-Slow-Train-Analysis-(2080s-and-2083s)?_g=(refreshInterval:(display:Off,section:0,value:0),time:(from:'2016-05-18 08:43:23-0600',mode:absolute,to:'2016-05-18 09:37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39" s="74" t="str">
        <f t="shared" si="12"/>
        <v>N</v>
      </c>
      <c r="V39" s="74">
        <f t="shared" si="13"/>
        <v>1</v>
      </c>
      <c r="W39" s="74">
        <f t="shared" si="14"/>
        <v>23.298400000000001</v>
      </c>
      <c r="X39" s="74">
        <f t="shared" si="15"/>
        <v>1.54E-2</v>
      </c>
      <c r="Y39" s="74">
        <f t="shared" si="16"/>
        <v>23.283000000000001</v>
      </c>
      <c r="Z39" s="75" t="e">
        <f>VLOOKUP(A39,Enforcements!$C$3:$J$48,8,0)</f>
        <v>#N/A</v>
      </c>
      <c r="AA39" s="75" t="e">
        <f>VLOOKUP(A39,Enforcements!$C$3:$J$48,3,0)</f>
        <v>#N/A</v>
      </c>
    </row>
    <row r="40" spans="1:27" s="2" customFormat="1" x14ac:dyDescent="0.25">
      <c r="A40" s="61" t="s">
        <v>313</v>
      </c>
      <c r="B40" s="61">
        <v>4025</v>
      </c>
      <c r="C40" s="61" t="s">
        <v>66</v>
      </c>
      <c r="D40" s="61" t="s">
        <v>314</v>
      </c>
      <c r="E40" s="30">
        <v>42508.338067129633</v>
      </c>
      <c r="F40" s="30">
        <v>42508.339224537034</v>
      </c>
      <c r="G40" s="38">
        <v>1</v>
      </c>
      <c r="H40" s="30" t="s">
        <v>315</v>
      </c>
      <c r="I40" s="30">
        <v>42508.36891203704</v>
      </c>
      <c r="J40" s="61">
        <v>0</v>
      </c>
      <c r="K40" s="61" t="str">
        <f t="shared" si="9"/>
        <v>4025/4026</v>
      </c>
      <c r="L40" s="61" t="str">
        <f>VLOOKUP(A40,'Trips&amp;Operators'!$C$1:$E$9999,3,FALSE)</f>
        <v>ACKERMAN</v>
      </c>
      <c r="M40" s="12">
        <f t="shared" si="10"/>
        <v>2.9687500005820766E-2</v>
      </c>
      <c r="N40" s="13">
        <f t="shared" si="5"/>
        <v>42.750000008381903</v>
      </c>
      <c r="O40" s="13"/>
      <c r="P40" s="13"/>
      <c r="Q40" s="62"/>
      <c r="R40" s="62"/>
      <c r="T40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https://search-rtdc-monitor-bjffxe2xuh6vdkpspy63sjmuny.us-east-1.es.amazonaws.com/_plugin/kibana/#/discover/Steve-Slow-Train-Analysis-(2080s-and-2083s)?_g=(refreshInterval:(display:Off,section:0,value:0),time:(from:'2016-05-18 08:05:49-0600',mode:absolute,to:'2016-05-18 08:52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U40" s="74" t="str">
        <f t="shared" si="12"/>
        <v>N</v>
      </c>
      <c r="V40" s="74">
        <f t="shared" si="13"/>
        <v>1</v>
      </c>
      <c r="W40" s="74">
        <f t="shared" si="14"/>
        <v>4.2900000000000001E-2</v>
      </c>
      <c r="X40" s="74">
        <f t="shared" si="15"/>
        <v>23.336099999999998</v>
      </c>
      <c r="Y40" s="74">
        <f t="shared" si="16"/>
        <v>23.293199999999999</v>
      </c>
      <c r="Z40" s="75" t="e">
        <f>VLOOKUP(A40,Enforcements!$C$3:$J$48,8,0)</f>
        <v>#N/A</v>
      </c>
      <c r="AA40" s="75" t="e">
        <f>VLOOKUP(A40,Enforcements!$C$3:$J$48,3,0)</f>
        <v>#N/A</v>
      </c>
    </row>
    <row r="41" spans="1:27" s="2" customFormat="1" x14ac:dyDescent="0.25">
      <c r="A41" s="61" t="s">
        <v>316</v>
      </c>
      <c r="B41" s="61">
        <v>4026</v>
      </c>
      <c r="C41" s="61" t="s">
        <v>66</v>
      </c>
      <c r="D41" s="61" t="s">
        <v>89</v>
      </c>
      <c r="E41" s="30">
        <v>42508.376793981479</v>
      </c>
      <c r="F41" s="30">
        <v>42508.377638888887</v>
      </c>
      <c r="G41" s="38">
        <v>1</v>
      </c>
      <c r="H41" s="30" t="s">
        <v>99</v>
      </c>
      <c r="I41" s="30">
        <v>42508.41002314815</v>
      </c>
      <c r="J41" s="61">
        <v>0</v>
      </c>
      <c r="K41" s="61" t="str">
        <f t="shared" si="9"/>
        <v>4025/4026</v>
      </c>
      <c r="L41" s="61" t="str">
        <f>VLOOKUP(A41,'Trips&amp;Operators'!$C$1:$E$9999,3,FALSE)</f>
        <v>ACKERMAN</v>
      </c>
      <c r="M41" s="12">
        <f t="shared" si="10"/>
        <v>3.238425926247146E-2</v>
      </c>
      <c r="N41" s="13">
        <f t="shared" si="5"/>
        <v>46.633333337958902</v>
      </c>
      <c r="O41" s="13"/>
      <c r="P41" s="13"/>
      <c r="Q41" s="62"/>
      <c r="R41" s="62"/>
      <c r="T41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https://search-rtdc-monitor-bjffxe2xuh6vdkpspy63sjmuny.us-east-1.es.amazonaws.com/_plugin/kibana/#/discover/Steve-Slow-Train-Analysis-(2080s-and-2083s)?_g=(refreshInterval:(display:Off,section:0,value:0),time:(from:'2016-05-18 09:01:35-0600',mode:absolute,to:'2016-05-18 09:51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U41" s="74" t="str">
        <f t="shared" si="12"/>
        <v>N</v>
      </c>
      <c r="V41" s="74">
        <f t="shared" si="13"/>
        <v>1</v>
      </c>
      <c r="W41" s="74">
        <f t="shared" si="14"/>
        <v>23.299399999999999</v>
      </c>
      <c r="X41" s="74">
        <f t="shared" si="15"/>
        <v>1.41E-2</v>
      </c>
      <c r="Y41" s="74">
        <f t="shared" si="16"/>
        <v>23.285299999999999</v>
      </c>
      <c r="Z41" s="75" t="e">
        <f>VLOOKUP(A41,Enforcements!$C$3:$J$48,8,0)</f>
        <v>#N/A</v>
      </c>
      <c r="AA41" s="75" t="e">
        <f>VLOOKUP(A41,Enforcements!$C$3:$J$48,3,0)</f>
        <v>#N/A</v>
      </c>
    </row>
    <row r="42" spans="1:27" s="2" customFormat="1" x14ac:dyDescent="0.25">
      <c r="A42" s="61" t="s">
        <v>317</v>
      </c>
      <c r="B42" s="61">
        <v>4042</v>
      </c>
      <c r="C42" s="61" t="s">
        <v>66</v>
      </c>
      <c r="D42" s="61" t="s">
        <v>318</v>
      </c>
      <c r="E42" s="30">
        <v>42508.353634259256</v>
      </c>
      <c r="F42" s="30">
        <v>42508.354537037034</v>
      </c>
      <c r="G42" s="38">
        <v>1</v>
      </c>
      <c r="H42" s="30" t="s">
        <v>204</v>
      </c>
      <c r="I42" s="30">
        <v>42508.381932870368</v>
      </c>
      <c r="J42" s="61">
        <v>0</v>
      </c>
      <c r="K42" s="61" t="str">
        <f t="shared" si="9"/>
        <v>4041/4042</v>
      </c>
      <c r="L42" s="61" t="str">
        <f>VLOOKUP(A42,'Trips&amp;Operators'!$C$1:$E$9999,3,FALSE)</f>
        <v>BRUDER</v>
      </c>
      <c r="M42" s="12">
        <f t="shared" si="10"/>
        <v>2.7395833334594499E-2</v>
      </c>
      <c r="N42" s="13">
        <f t="shared" si="5"/>
        <v>39.450000001816079</v>
      </c>
      <c r="O42" s="13"/>
      <c r="P42" s="13"/>
      <c r="Q42" s="62"/>
      <c r="R42" s="62"/>
      <c r="T42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https://search-rtdc-monitor-bjffxe2xuh6vdkpspy63sjmuny.us-east-1.es.amazonaws.com/_plugin/kibana/#/discover/Steve-Slow-Train-Analysis-(2080s-and-2083s)?_g=(refreshInterval:(display:Off,section:0,value:0),time:(from:'2016-05-18 08:28:14-0600',mode:absolute,to:'2016-05-18 09:10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U42" s="74" t="str">
        <f t="shared" si="12"/>
        <v>N</v>
      </c>
      <c r="V42" s="74">
        <f t="shared" si="13"/>
        <v>1</v>
      </c>
      <c r="W42" s="74">
        <f t="shared" si="14"/>
        <v>0.1158</v>
      </c>
      <c r="X42" s="74">
        <f t="shared" si="15"/>
        <v>23.328800000000001</v>
      </c>
      <c r="Y42" s="74">
        <f t="shared" si="16"/>
        <v>23.213000000000001</v>
      </c>
      <c r="Z42" s="75" t="e">
        <f>VLOOKUP(A42,Enforcements!$C$3:$J$48,8,0)</f>
        <v>#N/A</v>
      </c>
      <c r="AA42" s="75" t="e">
        <f>VLOOKUP(A42,Enforcements!$C$3:$J$48,3,0)</f>
        <v>#N/A</v>
      </c>
    </row>
    <row r="43" spans="1:27" s="2" customFormat="1" x14ac:dyDescent="0.25">
      <c r="A43" s="61" t="s">
        <v>319</v>
      </c>
      <c r="B43" s="61">
        <v>4041</v>
      </c>
      <c r="C43" s="61" t="s">
        <v>66</v>
      </c>
      <c r="D43" s="61" t="s">
        <v>108</v>
      </c>
      <c r="E43" s="30">
        <v>42508.388229166667</v>
      </c>
      <c r="F43" s="30">
        <v>42508.389444444445</v>
      </c>
      <c r="G43" s="38">
        <v>1</v>
      </c>
      <c r="H43" s="30" t="s">
        <v>320</v>
      </c>
      <c r="I43" s="30">
        <v>42508.419479166667</v>
      </c>
      <c r="J43" s="61">
        <v>0</v>
      </c>
      <c r="K43" s="61" t="str">
        <f t="shared" si="9"/>
        <v>4041/4042</v>
      </c>
      <c r="L43" s="61" t="str">
        <f>VLOOKUP(A43,'Trips&amp;Operators'!$C$1:$E$9999,3,FALSE)</f>
        <v>BRUDER</v>
      </c>
      <c r="M43" s="12">
        <f t="shared" si="10"/>
        <v>3.0034722221898846E-2</v>
      </c>
      <c r="N43" s="13">
        <f t="shared" si="5"/>
        <v>43.249999999534339</v>
      </c>
      <c r="O43" s="13"/>
      <c r="P43" s="13"/>
      <c r="Q43" s="62"/>
      <c r="R43" s="62"/>
      <c r="T43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https://search-rtdc-monitor-bjffxe2xuh6vdkpspy63sjmuny.us-east-1.es.amazonaws.com/_plugin/kibana/#/discover/Steve-Slow-Train-Analysis-(2080s-and-2083s)?_g=(refreshInterval:(display:Off,section:0,value:0),time:(from:'2016-05-18 09:18:03-0600',mode:absolute,to:'2016-05-18 10:05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U43" s="74" t="str">
        <f t="shared" si="12"/>
        <v>N</v>
      </c>
      <c r="V43" s="74">
        <f t="shared" si="13"/>
        <v>1</v>
      </c>
      <c r="W43" s="74">
        <f t="shared" si="14"/>
        <v>23.2986</v>
      </c>
      <c r="X43" s="74">
        <f t="shared" si="15"/>
        <v>1.34E-2</v>
      </c>
      <c r="Y43" s="74">
        <f t="shared" si="16"/>
        <v>23.2852</v>
      </c>
      <c r="Z43" s="75" t="e">
        <f>VLOOKUP(A43,Enforcements!$C$3:$J$48,8,0)</f>
        <v>#N/A</v>
      </c>
      <c r="AA43" s="75" t="e">
        <f>VLOOKUP(A43,Enforcements!$C$3:$J$48,3,0)</f>
        <v>#N/A</v>
      </c>
    </row>
    <row r="44" spans="1:27" s="2" customFormat="1" x14ac:dyDescent="0.25">
      <c r="A44" s="61" t="s">
        <v>321</v>
      </c>
      <c r="B44" s="61">
        <v>4018</v>
      </c>
      <c r="C44" s="61" t="s">
        <v>66</v>
      </c>
      <c r="D44" s="61" t="s">
        <v>118</v>
      </c>
      <c r="E44" s="30">
        <v>42508.358495370368</v>
      </c>
      <c r="F44" s="30">
        <v>42508.359606481485</v>
      </c>
      <c r="G44" s="38">
        <v>1</v>
      </c>
      <c r="H44" s="30" t="s">
        <v>128</v>
      </c>
      <c r="I44" s="30">
        <v>42508.392488425925</v>
      </c>
      <c r="J44" s="61">
        <v>0</v>
      </c>
      <c r="K44" s="61" t="str">
        <f t="shared" si="9"/>
        <v>4017/4018</v>
      </c>
      <c r="L44" s="61" t="str">
        <f>VLOOKUP(A44,'Trips&amp;Operators'!$C$1:$E$9999,3,FALSE)</f>
        <v>REBOLETTI</v>
      </c>
      <c r="M44" s="12">
        <f t="shared" si="10"/>
        <v>3.2881944440305233E-2</v>
      </c>
      <c r="N44" s="13">
        <f t="shared" si="5"/>
        <v>47.349999994039536</v>
      </c>
      <c r="O44" s="13"/>
      <c r="P44" s="13"/>
      <c r="Q44" s="62"/>
      <c r="R44" s="62"/>
      <c r="T44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https://search-rtdc-monitor-bjffxe2xuh6vdkpspy63sjmuny.us-east-1.es.amazonaws.com/_plugin/kibana/#/discover/Steve-Slow-Train-Analysis-(2080s-and-2083s)?_g=(refreshInterval:(display:Off,section:0,value:0),time:(from:'2016-05-18 08:35:14-0600',mode:absolute,to:'2016-05-18 09:26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U44" s="74" t="str">
        <f t="shared" si="12"/>
        <v>N</v>
      </c>
      <c r="V44" s="74">
        <f t="shared" si="13"/>
        <v>1</v>
      </c>
      <c r="W44" s="74">
        <f t="shared" si="14"/>
        <v>4.6899999999999997E-2</v>
      </c>
      <c r="X44" s="74">
        <f t="shared" si="15"/>
        <v>23.3306</v>
      </c>
      <c r="Y44" s="74">
        <f t="shared" si="16"/>
        <v>23.2837</v>
      </c>
      <c r="Z44" s="75" t="e">
        <f>VLOOKUP(A44,Enforcements!$C$3:$J$48,8,0)</f>
        <v>#N/A</v>
      </c>
      <c r="AA44" s="75" t="e">
        <f>VLOOKUP(A44,Enforcements!$C$3:$J$48,3,0)</f>
        <v>#N/A</v>
      </c>
    </row>
    <row r="45" spans="1:27" s="2" customFormat="1" x14ac:dyDescent="0.25">
      <c r="A45" s="61" t="s">
        <v>322</v>
      </c>
      <c r="B45" s="61">
        <v>4017</v>
      </c>
      <c r="C45" s="61" t="s">
        <v>66</v>
      </c>
      <c r="D45" s="61" t="s">
        <v>76</v>
      </c>
      <c r="E45" s="30">
        <v>42508.400092592594</v>
      </c>
      <c r="F45" s="30">
        <v>42508.401030092595</v>
      </c>
      <c r="G45" s="38">
        <v>1</v>
      </c>
      <c r="H45" s="30" t="s">
        <v>72</v>
      </c>
      <c r="I45" s="30">
        <v>42508.429571759261</v>
      </c>
      <c r="J45" s="61">
        <v>2</v>
      </c>
      <c r="K45" s="61" t="str">
        <f t="shared" si="9"/>
        <v>4017/4018</v>
      </c>
      <c r="L45" s="61" t="str">
        <f>VLOOKUP(A45,'Trips&amp;Operators'!$C$1:$E$9999,3,FALSE)</f>
        <v>REBOLETTI</v>
      </c>
      <c r="M45" s="12">
        <f t="shared" si="10"/>
        <v>2.8541666666569654E-2</v>
      </c>
      <c r="N45" s="13">
        <f t="shared" si="5"/>
        <v>41.099999999860302</v>
      </c>
      <c r="O45" s="13"/>
      <c r="P45" s="13"/>
      <c r="Q45" s="62"/>
      <c r="R45" s="62"/>
      <c r="T45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https://search-rtdc-monitor-bjffxe2xuh6vdkpspy63sjmuny.us-east-1.es.amazonaws.com/_plugin/kibana/#/discover/Steve-Slow-Train-Analysis-(2080s-and-2083s)?_g=(refreshInterval:(display:Off,section:0,value:0),time:(from:'2016-05-18 09:35:08-0600',mode:absolute,to:'2016-05-18 10:19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U45" s="74" t="str">
        <f t="shared" si="12"/>
        <v>N</v>
      </c>
      <c r="V45" s="74">
        <f t="shared" si="13"/>
        <v>1</v>
      </c>
      <c r="W45" s="74">
        <f t="shared" si="14"/>
        <v>23.2989</v>
      </c>
      <c r="X45" s="74">
        <f t="shared" si="15"/>
        <v>1.49E-2</v>
      </c>
      <c r="Y45" s="74">
        <f t="shared" si="16"/>
        <v>23.283999999999999</v>
      </c>
      <c r="Z45" s="75">
        <f>VLOOKUP(A45,Enforcements!$C$3:$J$48,8,0)</f>
        <v>191108</v>
      </c>
      <c r="AA45" s="75" t="str">
        <f>VLOOKUP(A45,Enforcements!$C$3:$J$48,3,0)</f>
        <v>PERMANENT SPEED RESTRICTION</v>
      </c>
    </row>
    <row r="46" spans="1:27" s="2" customFormat="1" x14ac:dyDescent="0.25">
      <c r="A46" s="61" t="s">
        <v>323</v>
      </c>
      <c r="B46" s="61">
        <v>4020</v>
      </c>
      <c r="C46" s="61" t="s">
        <v>66</v>
      </c>
      <c r="D46" s="61" t="s">
        <v>206</v>
      </c>
      <c r="E46" s="30">
        <v>42508.369872685187</v>
      </c>
      <c r="F46" s="30">
        <v>42508.370891203704</v>
      </c>
      <c r="G46" s="38">
        <v>1</v>
      </c>
      <c r="H46" s="30" t="s">
        <v>324</v>
      </c>
      <c r="I46" s="30">
        <v>42508.400393518517</v>
      </c>
      <c r="J46" s="61">
        <v>0</v>
      </c>
      <c r="K46" s="61" t="str">
        <f t="shared" si="9"/>
        <v>4019/4020</v>
      </c>
      <c r="L46" s="61" t="str">
        <f>VLOOKUP(A46,'Trips&amp;Operators'!$C$1:$E$9999,3,FALSE)</f>
        <v>CHANDLER</v>
      </c>
      <c r="M46" s="12">
        <f t="shared" si="10"/>
        <v>2.9502314813726116E-2</v>
      </c>
      <c r="N46" s="13">
        <f t="shared" si="5"/>
        <v>42.483333331765607</v>
      </c>
      <c r="O46" s="13"/>
      <c r="P46" s="13"/>
      <c r="Q46" s="62"/>
      <c r="R46" s="62"/>
      <c r="T46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https://search-rtdc-monitor-bjffxe2xuh6vdkpspy63sjmuny.us-east-1.es.amazonaws.com/_plugin/kibana/#/discover/Steve-Slow-Train-Analysis-(2080s-and-2083s)?_g=(refreshInterval:(display:Off,section:0,value:0),time:(from:'2016-05-18 08:51:37-0600',mode:absolute,to:'2016-05-18 09:37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46" s="74" t="str">
        <f t="shared" si="12"/>
        <v>N</v>
      </c>
      <c r="V46" s="74">
        <f t="shared" si="13"/>
        <v>1</v>
      </c>
      <c r="W46" s="74">
        <f t="shared" si="14"/>
        <v>4.7699999999999999E-2</v>
      </c>
      <c r="X46" s="74">
        <f t="shared" si="15"/>
        <v>23.328199999999999</v>
      </c>
      <c r="Y46" s="74">
        <f t="shared" si="16"/>
        <v>23.2805</v>
      </c>
      <c r="Z46" s="75" t="e">
        <f>VLOOKUP(A46,Enforcements!$C$3:$J$48,8,0)</f>
        <v>#N/A</v>
      </c>
      <c r="AA46" s="75" t="e">
        <f>VLOOKUP(A46,Enforcements!$C$3:$J$48,3,0)</f>
        <v>#N/A</v>
      </c>
    </row>
    <row r="47" spans="1:27" s="2" customFormat="1" x14ac:dyDescent="0.25">
      <c r="A47" s="61" t="s">
        <v>325</v>
      </c>
      <c r="B47" s="61">
        <v>4019</v>
      </c>
      <c r="C47" s="61" t="s">
        <v>66</v>
      </c>
      <c r="D47" s="61" t="s">
        <v>326</v>
      </c>
      <c r="E47" s="30">
        <v>42508.506909722222</v>
      </c>
      <c r="F47" s="30">
        <v>42508.508020833331</v>
      </c>
      <c r="G47" s="38">
        <v>1</v>
      </c>
      <c r="H47" s="30" t="s">
        <v>327</v>
      </c>
      <c r="I47" s="30">
        <v>42508.533310185187</v>
      </c>
      <c r="J47" s="61">
        <v>0</v>
      </c>
      <c r="K47" s="61" t="str">
        <f t="shared" si="9"/>
        <v>4019/4020</v>
      </c>
      <c r="L47" s="61" t="str">
        <f>VLOOKUP(A47,'Trips&amp;Operators'!$C$1:$E$9999,3,FALSE)</f>
        <v>CHANDLER</v>
      </c>
      <c r="M47" s="12">
        <f t="shared" si="10"/>
        <v>2.5289351855462883E-2</v>
      </c>
      <c r="N47" s="13"/>
      <c r="O47" s="13"/>
      <c r="P47" s="13">
        <f>24*60*SUM($M47:$M47)</f>
        <v>36.416666671866551</v>
      </c>
      <c r="Q47" s="62" t="s">
        <v>274</v>
      </c>
      <c r="R47" s="62" t="s">
        <v>517</v>
      </c>
      <c r="T47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https://search-rtdc-monitor-bjffxe2xuh6vdkpspy63sjmuny.us-east-1.es.amazonaws.com/_plugin/kibana/#/discover/Steve-Slow-Train-Analysis-(2080s-and-2083s)?_g=(refreshInterval:(display:Off,section:0,value:0),time:(from:'2016-05-18 12:08:57-0600',mode:absolute,to:'2016-05-18 12:48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47" s="74" t="str">
        <f t="shared" si="12"/>
        <v>Y</v>
      </c>
      <c r="V47" s="74">
        <f t="shared" si="13"/>
        <v>1</v>
      </c>
      <c r="W47" s="74">
        <f t="shared" si="14"/>
        <v>23.294599999999999</v>
      </c>
      <c r="X47" s="74">
        <f t="shared" si="15"/>
        <v>6.4157000000000002</v>
      </c>
      <c r="Y47" s="74">
        <f t="shared" si="16"/>
        <v>16.878899999999998</v>
      </c>
      <c r="Z47" s="75" t="e">
        <f>VLOOKUP(A47,Enforcements!$C$3:$J$48,8,0)</f>
        <v>#N/A</v>
      </c>
      <c r="AA47" s="75" t="e">
        <f>VLOOKUP(A47,Enforcements!$C$3:$J$48,3,0)</f>
        <v>#N/A</v>
      </c>
    </row>
    <row r="48" spans="1:27" s="2" customFormat="1" x14ac:dyDescent="0.25">
      <c r="A48" s="61" t="s">
        <v>325</v>
      </c>
      <c r="B48" s="61">
        <v>4019</v>
      </c>
      <c r="C48" s="61" t="s">
        <v>66</v>
      </c>
      <c r="D48" s="61" t="s">
        <v>208</v>
      </c>
      <c r="E48" s="30">
        <v>42508.410046296296</v>
      </c>
      <c r="F48" s="30">
        <v>42508.411122685182</v>
      </c>
      <c r="G48" s="38">
        <v>1</v>
      </c>
      <c r="H48" s="30" t="s">
        <v>194</v>
      </c>
      <c r="I48" s="30">
        <v>42508.448773148149</v>
      </c>
      <c r="J48" s="61">
        <v>0</v>
      </c>
      <c r="K48" s="61" t="str">
        <f t="shared" si="9"/>
        <v>4019/4020</v>
      </c>
      <c r="L48" s="61" t="str">
        <f>VLOOKUP(A48,'Trips&amp;Operators'!$C$1:$E$9999,3,FALSE)</f>
        <v>CHANDLER</v>
      </c>
      <c r="M48" s="12">
        <f t="shared" si="10"/>
        <v>3.7650462967576459E-2</v>
      </c>
      <c r="N48" s="13">
        <f>24*60*SUM($M48:$M48)</f>
        <v>54.216666673310101</v>
      </c>
      <c r="O48" s="13"/>
      <c r="P48" s="13"/>
      <c r="Q48" s="62"/>
      <c r="R48" s="62" t="s">
        <v>495</v>
      </c>
      <c r="T48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https://search-rtdc-monitor-bjffxe2xuh6vdkpspy63sjmuny.us-east-1.es.amazonaws.com/_plugin/kibana/#/discover/Steve-Slow-Train-Analysis-(2080s-and-2083s)?_g=(refreshInterval:(display:Off,section:0,value:0),time:(from:'2016-05-18 09:49:28-0600',mode:absolute,to:'2016-05-18 10:47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48" s="74" t="str">
        <f t="shared" si="12"/>
        <v>N</v>
      </c>
      <c r="V48" s="74">
        <f t="shared" si="13"/>
        <v>0</v>
      </c>
      <c r="W48" s="74">
        <f t="shared" si="14"/>
        <v>23.297699999999999</v>
      </c>
      <c r="X48" s="74">
        <f t="shared" si="15"/>
        <v>1.6299999999999999E-2</v>
      </c>
      <c r="Y48" s="74">
        <f t="shared" si="16"/>
        <v>23.281399999999998</v>
      </c>
      <c r="Z48" s="75" t="e">
        <f>VLOOKUP(A48,Enforcements!$C$3:$J$48,8,0)</f>
        <v>#N/A</v>
      </c>
      <c r="AA48" s="75" t="e">
        <f>VLOOKUP(A48,Enforcements!$C$3:$J$48,3,0)</f>
        <v>#N/A</v>
      </c>
    </row>
    <row r="49" spans="1:27" s="2" customFormat="1" x14ac:dyDescent="0.25">
      <c r="A49" s="61" t="s">
        <v>328</v>
      </c>
      <c r="B49" s="61">
        <v>4007</v>
      </c>
      <c r="C49" s="61" t="s">
        <v>66</v>
      </c>
      <c r="D49" s="61" t="s">
        <v>329</v>
      </c>
      <c r="E49" s="30">
        <v>42508.38244212963</v>
      </c>
      <c r="F49" s="30">
        <v>42508.383414351854</v>
      </c>
      <c r="G49" s="38">
        <v>1</v>
      </c>
      <c r="H49" s="30" t="s">
        <v>277</v>
      </c>
      <c r="I49" s="30">
        <v>42508.410902777781</v>
      </c>
      <c r="J49" s="61">
        <v>0</v>
      </c>
      <c r="K49" s="61" t="str">
        <f t="shared" si="9"/>
        <v>4007/4008</v>
      </c>
      <c r="L49" s="61" t="str">
        <f>VLOOKUP(A49,'Trips&amp;Operators'!$C$1:$E$9999,3,FALSE)</f>
        <v>STARKS</v>
      </c>
      <c r="M49" s="12">
        <f t="shared" si="10"/>
        <v>2.7488425927003846E-2</v>
      </c>
      <c r="N49" s="13">
        <f t="shared" si="5"/>
        <v>39.583333334885538</v>
      </c>
      <c r="O49" s="13"/>
      <c r="P49" s="13"/>
      <c r="Q49" s="62"/>
      <c r="R49" s="62"/>
      <c r="T49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https://search-rtdc-monitor-bjffxe2xuh6vdkpspy63sjmuny.us-east-1.es.amazonaws.com/_plugin/kibana/#/discover/Steve-Slow-Train-Analysis-(2080s-and-2083s)?_g=(refreshInterval:(display:Off,section:0,value:0),time:(from:'2016-05-18 09:09:43-0600',mode:absolute,to:'2016-05-18 09:52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49" s="74" t="str">
        <f t="shared" si="12"/>
        <v>N</v>
      </c>
      <c r="V49" s="74">
        <f t="shared" si="13"/>
        <v>1</v>
      </c>
      <c r="W49" s="74">
        <f t="shared" si="14"/>
        <v>4.2000000000000003E-2</v>
      </c>
      <c r="X49" s="74">
        <f t="shared" si="15"/>
        <v>23.3355</v>
      </c>
      <c r="Y49" s="74">
        <f t="shared" si="16"/>
        <v>23.293499999999998</v>
      </c>
      <c r="Z49" s="75" t="e">
        <f>VLOOKUP(A49,Enforcements!$C$3:$J$48,8,0)</f>
        <v>#N/A</v>
      </c>
      <c r="AA49" s="75" t="e">
        <f>VLOOKUP(A49,Enforcements!$C$3:$J$48,3,0)</f>
        <v>#N/A</v>
      </c>
    </row>
    <row r="50" spans="1:27" s="2" customFormat="1" x14ac:dyDescent="0.25">
      <c r="A50" s="61" t="s">
        <v>330</v>
      </c>
      <c r="B50" s="61">
        <v>4008</v>
      </c>
      <c r="C50" s="61" t="s">
        <v>66</v>
      </c>
      <c r="D50" s="61" t="s">
        <v>331</v>
      </c>
      <c r="E50" s="30">
        <v>42508.422418981485</v>
      </c>
      <c r="F50" s="30">
        <v>42508.423321759263</v>
      </c>
      <c r="G50" s="38">
        <v>1</v>
      </c>
      <c r="H50" s="30" t="s">
        <v>332</v>
      </c>
      <c r="I50" s="30">
        <v>42508.46266203704</v>
      </c>
      <c r="J50" s="61">
        <v>1</v>
      </c>
      <c r="K50" s="61" t="str">
        <f t="shared" si="9"/>
        <v>4007/4008</v>
      </c>
      <c r="L50" s="61" t="str">
        <f>VLOOKUP(A50,'Trips&amp;Operators'!$C$1:$E$9999,3,FALSE)</f>
        <v>STARKS</v>
      </c>
      <c r="M50" s="12">
        <f t="shared" si="10"/>
        <v>3.9340277777228039E-2</v>
      </c>
      <c r="N50" s="13">
        <f t="shared" si="5"/>
        <v>56.649999999208376</v>
      </c>
      <c r="O50" s="13"/>
      <c r="P50" s="13"/>
      <c r="Q50" s="62"/>
      <c r="R50" s="62"/>
      <c r="T50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https://search-rtdc-monitor-bjffxe2xuh6vdkpspy63sjmuny.us-east-1.es.amazonaws.com/_plugin/kibana/#/discover/Steve-Slow-Train-Analysis-(2080s-and-2083s)?_g=(refreshInterval:(display:Off,section:0,value:0),time:(from:'2016-05-18 10:07:17-0600',mode:absolute,to:'2016-05-18 11:07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50" s="74" t="str">
        <f t="shared" si="12"/>
        <v>N</v>
      </c>
      <c r="V50" s="74">
        <f t="shared" si="13"/>
        <v>1</v>
      </c>
      <c r="W50" s="74">
        <f t="shared" si="14"/>
        <v>23.305499999999999</v>
      </c>
      <c r="X50" s="74">
        <f t="shared" si="15"/>
        <v>3.27E-2</v>
      </c>
      <c r="Y50" s="74">
        <f t="shared" si="16"/>
        <v>23.2728</v>
      </c>
      <c r="Z50" s="75">
        <f>VLOOKUP(A50,Enforcements!$C$3:$J$48,8,0)</f>
        <v>1</v>
      </c>
      <c r="AA50" s="75" t="str">
        <f>VLOOKUP(A50,Enforcements!$C$3:$J$48,3,0)</f>
        <v>TRACK WARRANT AUTHORITY</v>
      </c>
    </row>
    <row r="51" spans="1:27" s="2" customFormat="1" x14ac:dyDescent="0.25">
      <c r="A51" s="61" t="s">
        <v>333</v>
      </c>
      <c r="B51" s="61">
        <v>4038</v>
      </c>
      <c r="C51" s="61" t="s">
        <v>66</v>
      </c>
      <c r="D51" s="61" t="s">
        <v>81</v>
      </c>
      <c r="E51" s="30">
        <v>42508.391851851855</v>
      </c>
      <c r="F51" s="30">
        <v>42508.393518518518</v>
      </c>
      <c r="G51" s="38">
        <v>2</v>
      </c>
      <c r="H51" s="30" t="s">
        <v>122</v>
      </c>
      <c r="I51" s="30">
        <v>42508.42046296296</v>
      </c>
      <c r="J51" s="61">
        <v>0</v>
      </c>
      <c r="K51" s="61" t="str">
        <f t="shared" si="9"/>
        <v>4037/4038</v>
      </c>
      <c r="L51" s="61" t="str">
        <f>VLOOKUP(A51,'Trips&amp;Operators'!$C$1:$E$9999,3,FALSE)</f>
        <v>STORY</v>
      </c>
      <c r="M51" s="12">
        <f t="shared" si="10"/>
        <v>2.6944444442051463E-2</v>
      </c>
      <c r="N51" s="13">
        <f t="shared" si="5"/>
        <v>38.799999996554106</v>
      </c>
      <c r="O51" s="13"/>
      <c r="P51" s="13"/>
      <c r="Q51" s="62"/>
      <c r="R51" s="62"/>
      <c r="T51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https://search-rtdc-monitor-bjffxe2xuh6vdkpspy63sjmuny.us-east-1.es.amazonaws.com/_plugin/kibana/#/discover/Steve-Slow-Train-Analysis-(2080s-and-2083s)?_g=(refreshInterval:(display:Off,section:0,value:0),time:(from:'2016-05-18 09:23:16-0600',mode:absolute,to:'2016-05-18 10:06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U51" s="74" t="str">
        <f t="shared" si="12"/>
        <v>N</v>
      </c>
      <c r="V51" s="74">
        <f t="shared" si="13"/>
        <v>1</v>
      </c>
      <c r="W51" s="74">
        <f t="shared" si="14"/>
        <v>4.5499999999999999E-2</v>
      </c>
      <c r="X51" s="74">
        <f t="shared" si="15"/>
        <v>23.3307</v>
      </c>
      <c r="Y51" s="74">
        <f t="shared" si="16"/>
        <v>23.2852</v>
      </c>
      <c r="Z51" s="75" t="e">
        <f>VLOOKUP(A51,Enforcements!$C$3:$J$48,8,0)</f>
        <v>#N/A</v>
      </c>
      <c r="AA51" s="75" t="e">
        <f>VLOOKUP(A51,Enforcements!$C$3:$J$48,3,0)</f>
        <v>#N/A</v>
      </c>
    </row>
    <row r="52" spans="1:27" s="2" customFormat="1" x14ac:dyDescent="0.25">
      <c r="A52" s="61" t="s">
        <v>334</v>
      </c>
      <c r="B52" s="61">
        <v>4037</v>
      </c>
      <c r="C52" s="61" t="s">
        <v>66</v>
      </c>
      <c r="D52" s="61" t="s">
        <v>69</v>
      </c>
      <c r="E52" s="30">
        <v>42508.430590277778</v>
      </c>
      <c r="F52" s="30">
        <v>42508.431527777779</v>
      </c>
      <c r="G52" s="38">
        <v>1</v>
      </c>
      <c r="H52" s="30" t="s">
        <v>75</v>
      </c>
      <c r="I52" s="30">
        <v>42508.468159722222</v>
      </c>
      <c r="J52" s="61">
        <v>2</v>
      </c>
      <c r="K52" s="61" t="str">
        <f t="shared" si="9"/>
        <v>4037/4038</v>
      </c>
      <c r="L52" s="61" t="str">
        <f>VLOOKUP(A52,'Trips&amp;Operators'!$C$1:$E$9999,3,FALSE)</f>
        <v>RIVERA</v>
      </c>
      <c r="M52" s="12">
        <f t="shared" si="10"/>
        <v>3.6631944443797693E-2</v>
      </c>
      <c r="N52" s="13">
        <f t="shared" si="5"/>
        <v>52.749999999068677</v>
      </c>
      <c r="O52" s="13"/>
      <c r="P52" s="13"/>
      <c r="Q52" s="62"/>
      <c r="R52" s="62"/>
      <c r="T52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https://search-rtdc-monitor-bjffxe2xuh6vdkpspy63sjmuny.us-east-1.es.amazonaws.com/_plugin/kibana/#/discover/Steve-Slow-Train-Analysis-(2080s-and-2083s)?_g=(refreshInterval:(display:Off,section:0,value:0),time:(from:'2016-05-18 10:19:03-0600',mode:absolute,to:'2016-05-18 11:15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U52" s="74" t="str">
        <f t="shared" si="12"/>
        <v>N</v>
      </c>
      <c r="V52" s="74">
        <f t="shared" si="13"/>
        <v>1</v>
      </c>
      <c r="W52" s="74">
        <f t="shared" si="14"/>
        <v>23.297799999999999</v>
      </c>
      <c r="X52" s="74">
        <f t="shared" si="15"/>
        <v>1.54E-2</v>
      </c>
      <c r="Y52" s="74">
        <f t="shared" si="16"/>
        <v>23.282399999999999</v>
      </c>
      <c r="Z52" s="75">
        <f>VLOOKUP(A52,Enforcements!$C$3:$J$48,8,0)</f>
        <v>58904</v>
      </c>
      <c r="AA52" s="75" t="str">
        <f>VLOOKUP(A52,Enforcements!$C$3:$J$48,3,0)</f>
        <v>GRADE CROSSING</v>
      </c>
    </row>
    <row r="53" spans="1:27" s="2" customFormat="1" x14ac:dyDescent="0.25">
      <c r="A53" s="61" t="s">
        <v>335</v>
      </c>
      <c r="B53" s="61">
        <v>4024</v>
      </c>
      <c r="C53" s="61" t="s">
        <v>66</v>
      </c>
      <c r="D53" s="61" t="s">
        <v>90</v>
      </c>
      <c r="E53" s="30">
        <v>42508.403865740744</v>
      </c>
      <c r="F53" s="30">
        <v>42508.404872685183</v>
      </c>
      <c r="G53" s="38">
        <v>1</v>
      </c>
      <c r="H53" s="30" t="s">
        <v>284</v>
      </c>
      <c r="I53" s="30">
        <v>42508.431446759256</v>
      </c>
      <c r="J53" s="61">
        <v>0</v>
      </c>
      <c r="K53" s="61" t="str">
        <f t="shared" si="9"/>
        <v>4023/4024</v>
      </c>
      <c r="L53" s="61" t="str">
        <f>VLOOKUP(A53,'Trips&amp;Operators'!$C$1:$E$9999,3,FALSE)</f>
        <v>STRICKLAND</v>
      </c>
      <c r="M53" s="12">
        <f t="shared" si="10"/>
        <v>2.6574074072414078E-2</v>
      </c>
      <c r="N53" s="13">
        <f t="shared" si="5"/>
        <v>38.266666664276272</v>
      </c>
      <c r="O53" s="13"/>
      <c r="P53" s="13"/>
      <c r="Q53" s="62"/>
      <c r="R53" s="62"/>
      <c r="T53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https://search-rtdc-monitor-bjffxe2xuh6vdkpspy63sjmuny.us-east-1.es.amazonaws.com/_plugin/kibana/#/discover/Steve-Slow-Train-Analysis-(2080s-and-2083s)?_g=(refreshInterval:(display:Off,section:0,value:0),time:(from:'2016-05-18 09:40:34-0600',mode:absolute,to:'2016-05-18 10:22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53" s="74" t="str">
        <f t="shared" si="12"/>
        <v>N</v>
      </c>
      <c r="V53" s="74">
        <f t="shared" si="13"/>
        <v>1</v>
      </c>
      <c r="W53" s="74">
        <f t="shared" si="14"/>
        <v>4.6399999999999997E-2</v>
      </c>
      <c r="X53" s="74">
        <f t="shared" si="15"/>
        <v>23.3291</v>
      </c>
      <c r="Y53" s="74">
        <f t="shared" si="16"/>
        <v>23.282700000000002</v>
      </c>
      <c r="Z53" s="75" t="e">
        <f>VLOOKUP(A53,Enforcements!$C$3:$J$48,8,0)</f>
        <v>#N/A</v>
      </c>
      <c r="AA53" s="75" t="e">
        <f>VLOOKUP(A53,Enforcements!$C$3:$J$48,3,0)</f>
        <v>#N/A</v>
      </c>
    </row>
    <row r="54" spans="1:27" s="2" customFormat="1" x14ac:dyDescent="0.25">
      <c r="A54" s="61" t="s">
        <v>336</v>
      </c>
      <c r="B54" s="61">
        <v>4023</v>
      </c>
      <c r="C54" s="61" t="s">
        <v>66</v>
      </c>
      <c r="D54" s="61" t="s">
        <v>74</v>
      </c>
      <c r="E54" s="30">
        <v>42508.437384259261</v>
      </c>
      <c r="F54" s="30">
        <v>42508.438437500001</v>
      </c>
      <c r="G54" s="38">
        <v>1</v>
      </c>
      <c r="H54" s="30" t="s">
        <v>337</v>
      </c>
      <c r="I54" s="30">
        <v>42508.464363425926</v>
      </c>
      <c r="J54" s="61">
        <v>3</v>
      </c>
      <c r="K54" s="61" t="str">
        <f t="shared" si="9"/>
        <v>4023/4024</v>
      </c>
      <c r="L54" s="61" t="str">
        <f>VLOOKUP(A54,'Trips&amp;Operators'!$C$1:$E$9999,3,FALSE)</f>
        <v>STRICKLAND</v>
      </c>
      <c r="M54" s="12">
        <f t="shared" si="10"/>
        <v>2.5925925925548654E-2</v>
      </c>
      <c r="N54" s="13"/>
      <c r="O54" s="13"/>
      <c r="P54" s="13">
        <f>24*60*SUM($M54:$M55)</f>
        <v>48.633333334000781</v>
      </c>
      <c r="Q54" s="62" t="s">
        <v>274</v>
      </c>
      <c r="R54" s="62" t="s">
        <v>519</v>
      </c>
      <c r="T54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https://search-rtdc-monitor-bjffxe2xuh6vdkpspy63sjmuny.us-east-1.es.amazonaws.com/_plugin/kibana/#/discover/Steve-Slow-Train-Analysis-(2080s-and-2083s)?_g=(refreshInterval:(display:Off,section:0,value:0),time:(from:'2016-05-18 10:28:50-0600',mode:absolute,to:'2016-05-18 11:09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54" s="74" t="str">
        <f t="shared" si="12"/>
        <v>Y</v>
      </c>
      <c r="V54" s="74">
        <f t="shared" si="13"/>
        <v>1</v>
      </c>
      <c r="W54" s="74">
        <f t="shared" si="14"/>
        <v>23.299099999999999</v>
      </c>
      <c r="X54" s="74">
        <f t="shared" si="15"/>
        <v>6.4031000000000002</v>
      </c>
      <c r="Y54" s="74">
        <f t="shared" si="16"/>
        <v>16.896000000000001</v>
      </c>
      <c r="Z54" s="75">
        <f>VLOOKUP(A54,Enforcements!$C$3:$J$48,8,0)</f>
        <v>64008</v>
      </c>
      <c r="AA54" s="75" t="str">
        <f>VLOOKUP(A54,Enforcements!$C$3:$J$48,3,0)</f>
        <v>SIGNAL</v>
      </c>
    </row>
    <row r="55" spans="1:27" s="2" customFormat="1" x14ac:dyDescent="0.25">
      <c r="A55" s="61" t="s">
        <v>336</v>
      </c>
      <c r="B55" s="61">
        <v>4023</v>
      </c>
      <c r="C55" s="61" t="s">
        <v>66</v>
      </c>
      <c r="D55" s="61" t="s">
        <v>338</v>
      </c>
      <c r="E55" s="30">
        <v>42508.471342592595</v>
      </c>
      <c r="F55" s="30">
        <v>42508.471944444442</v>
      </c>
      <c r="G55" s="38">
        <v>0</v>
      </c>
      <c r="H55" s="30" t="s">
        <v>339</v>
      </c>
      <c r="I55" s="30">
        <v>42508.479791666665</v>
      </c>
      <c r="J55" s="61">
        <v>1</v>
      </c>
      <c r="K55" s="61" t="str">
        <f t="shared" si="9"/>
        <v>4023/4024</v>
      </c>
      <c r="L55" s="61" t="str">
        <f>VLOOKUP(A55,'Trips&amp;Operators'!$C$1:$E$9999,3,FALSE)</f>
        <v>STRICKLAND</v>
      </c>
      <c r="M55" s="12">
        <f t="shared" si="10"/>
        <v>7.8472222230629995E-3</v>
      </c>
      <c r="N55" s="13"/>
      <c r="O55" s="13"/>
      <c r="P55" s="13"/>
      <c r="Q55" s="62"/>
      <c r="R55" s="62"/>
      <c r="T55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https://search-rtdc-monitor-bjffxe2xuh6vdkpspy63sjmuny.us-east-1.es.amazonaws.com/_plugin/kibana/#/discover/Steve-Slow-Train-Analysis-(2080s-and-2083s)?_g=(refreshInterval:(display:Off,section:0,value:0),time:(from:'2016-05-18 11:17:44-0600',mode:absolute,to:'2016-05-18 11:31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55" s="74" t="str">
        <f t="shared" si="12"/>
        <v>Y</v>
      </c>
      <c r="V55" s="74">
        <f t="shared" si="13"/>
        <v>0</v>
      </c>
      <c r="W55" s="74">
        <f t="shared" si="14"/>
        <v>3.6781999999999999</v>
      </c>
      <c r="X55" s="74">
        <f t="shared" si="15"/>
        <v>3.49E-2</v>
      </c>
      <c r="Y55" s="74">
        <f t="shared" si="16"/>
        <v>3.6433</v>
      </c>
      <c r="Z55" s="75">
        <f>VLOOKUP(A55,Enforcements!$C$3:$J$48,8,0)</f>
        <v>64008</v>
      </c>
      <c r="AA55" s="75" t="str">
        <f>VLOOKUP(A55,Enforcements!$C$3:$J$48,3,0)</f>
        <v>SIGNAL</v>
      </c>
    </row>
    <row r="56" spans="1:27" s="2" customFormat="1" x14ac:dyDescent="0.25">
      <c r="A56" s="61" t="s">
        <v>340</v>
      </c>
      <c r="B56" s="61">
        <v>4025</v>
      </c>
      <c r="C56" s="61" t="s">
        <v>66</v>
      </c>
      <c r="D56" s="61" t="s">
        <v>152</v>
      </c>
      <c r="E56" s="30">
        <v>42508.412453703706</v>
      </c>
      <c r="F56" s="30">
        <v>42508.413275462961</v>
      </c>
      <c r="G56" s="38">
        <v>1</v>
      </c>
      <c r="H56" s="30" t="s">
        <v>201</v>
      </c>
      <c r="I56" s="30">
        <v>42508.450057870374</v>
      </c>
      <c r="J56" s="61">
        <v>0</v>
      </c>
      <c r="K56" s="61" t="str">
        <f t="shared" si="9"/>
        <v>4025/4026</v>
      </c>
      <c r="L56" s="61" t="str">
        <f>VLOOKUP(A56,'Trips&amp;Operators'!$C$1:$E$9999,3,FALSE)</f>
        <v>ACKERMAN</v>
      </c>
      <c r="M56" s="12">
        <f t="shared" si="10"/>
        <v>3.6782407412829343E-2</v>
      </c>
      <c r="N56" s="13">
        <f t="shared" si="5"/>
        <v>52.966666674474254</v>
      </c>
      <c r="O56" s="13"/>
      <c r="P56" s="13"/>
      <c r="Q56" s="62"/>
      <c r="R56" s="62"/>
      <c r="T56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https://search-rtdc-monitor-bjffxe2xuh6vdkpspy63sjmuny.us-east-1.es.amazonaws.com/_plugin/kibana/#/discover/Steve-Slow-Train-Analysis-(2080s-and-2083s)?_g=(refreshInterval:(display:Off,section:0,value:0),time:(from:'2016-05-18 09:52:56-0600',mode:absolute,to:'2016-05-18 10:49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U56" s="74" t="str">
        <f t="shared" si="12"/>
        <v>N</v>
      </c>
      <c r="V56" s="74">
        <f t="shared" si="13"/>
        <v>1</v>
      </c>
      <c r="W56" s="74">
        <f t="shared" si="14"/>
        <v>4.3499999999999997E-2</v>
      </c>
      <c r="X56" s="74">
        <f t="shared" si="15"/>
        <v>23.3278</v>
      </c>
      <c r="Y56" s="74">
        <f t="shared" si="16"/>
        <v>23.284299999999998</v>
      </c>
      <c r="Z56" s="75" t="e">
        <f>VLOOKUP(A56,Enforcements!$C$3:$J$48,8,0)</f>
        <v>#N/A</v>
      </c>
      <c r="AA56" s="75" t="e">
        <f>VLOOKUP(A56,Enforcements!$C$3:$J$48,3,0)</f>
        <v>#N/A</v>
      </c>
    </row>
    <row r="57" spans="1:27" s="2" customFormat="1" x14ac:dyDescent="0.25">
      <c r="A57" s="61" t="s">
        <v>341</v>
      </c>
      <c r="B57" s="61">
        <v>4026</v>
      </c>
      <c r="C57" s="61" t="s">
        <v>66</v>
      </c>
      <c r="D57" s="61" t="s">
        <v>342</v>
      </c>
      <c r="E57" s="30">
        <v>42508.480393518519</v>
      </c>
      <c r="F57" s="30">
        <v>42508.482071759259</v>
      </c>
      <c r="G57" s="38">
        <v>2</v>
      </c>
      <c r="H57" s="30" t="s">
        <v>77</v>
      </c>
      <c r="I57" s="30">
        <v>42508.486967592595</v>
      </c>
      <c r="J57" s="61">
        <v>0</v>
      </c>
      <c r="K57" s="61" t="str">
        <f t="shared" si="9"/>
        <v>4025/4026</v>
      </c>
      <c r="L57" s="61" t="str">
        <f>VLOOKUP(A57,'Trips&amp;Operators'!$C$1:$E$9999,3,FALSE)</f>
        <v>ACKERMAN</v>
      </c>
      <c r="M57" s="12">
        <f t="shared" si="10"/>
        <v>4.8958333354676142E-3</v>
      </c>
      <c r="N57" s="13"/>
      <c r="O57" s="13"/>
      <c r="P57" s="13">
        <f>24*60*SUM($M57:$M58)</f>
        <v>37.350000003352761</v>
      </c>
      <c r="Q57" s="62" t="s">
        <v>274</v>
      </c>
      <c r="R57" s="62" t="s">
        <v>520</v>
      </c>
      <c r="T57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https://search-rtdc-monitor-bjffxe2xuh6vdkpspy63sjmuny.us-east-1.es.amazonaws.com/_plugin/kibana/#/discover/Steve-Slow-Train-Analysis-(2080s-and-2083s)?_g=(refreshInterval:(display:Off,section:0,value:0),time:(from:'2016-05-18 11:30:46-0600',mode:absolute,to:'2016-05-18 11:42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U57" s="74" t="str">
        <f t="shared" si="12"/>
        <v>Y</v>
      </c>
      <c r="V57" s="74">
        <f t="shared" si="13"/>
        <v>1</v>
      </c>
      <c r="W57" s="74">
        <f t="shared" si="14"/>
        <v>1.8935999999999999</v>
      </c>
      <c r="X57" s="74">
        <f t="shared" si="15"/>
        <v>1.4500000000000001E-2</v>
      </c>
      <c r="Y57" s="74">
        <f t="shared" si="16"/>
        <v>1.8791</v>
      </c>
      <c r="Z57" s="75">
        <f>VLOOKUP(A57,Enforcements!$C$3:$J$48,8,0)</f>
        <v>64008</v>
      </c>
      <c r="AA57" s="75" t="str">
        <f>VLOOKUP(A57,Enforcements!$C$3:$J$48,3,0)</f>
        <v>SIGNAL</v>
      </c>
    </row>
    <row r="58" spans="1:27" s="2" customFormat="1" x14ac:dyDescent="0.25">
      <c r="A58" s="61" t="s">
        <v>341</v>
      </c>
      <c r="B58" s="61">
        <v>4026</v>
      </c>
      <c r="C58" s="61" t="s">
        <v>66</v>
      </c>
      <c r="D58" s="61" t="s">
        <v>343</v>
      </c>
      <c r="E58" s="30">
        <v>42508.452291666668</v>
      </c>
      <c r="F58" s="30">
        <v>42508.453206018516</v>
      </c>
      <c r="G58" s="38">
        <v>1</v>
      </c>
      <c r="H58" s="30" t="s">
        <v>344</v>
      </c>
      <c r="I58" s="30">
        <v>42508.474247685182</v>
      </c>
      <c r="J58" s="61">
        <v>1</v>
      </c>
      <c r="K58" s="61" t="str">
        <f t="shared" si="9"/>
        <v>4025/4026</v>
      </c>
      <c r="L58" s="61" t="str">
        <f>VLOOKUP(A58,'Trips&amp;Operators'!$C$1:$E$9999,3,FALSE)</f>
        <v>ACKERMAN</v>
      </c>
      <c r="M58" s="12">
        <f t="shared" si="10"/>
        <v>2.1041666666860692E-2</v>
      </c>
      <c r="N58" s="13"/>
      <c r="O58" s="13"/>
      <c r="P58" s="13"/>
      <c r="Q58" s="62"/>
      <c r="R58" s="62"/>
      <c r="T58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https://search-rtdc-monitor-bjffxe2xuh6vdkpspy63sjmuny.us-east-1.es.amazonaws.com/_plugin/kibana/#/discover/Steve-Slow-Train-Analysis-(2080s-and-2083s)?_g=(refreshInterval:(display:Off,section:0,value:0),time:(from:'2016-05-18 10:50:18-0600',mode:absolute,to:'2016-05-18 11:23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U58" s="74" t="str">
        <f t="shared" si="12"/>
        <v>Y</v>
      </c>
      <c r="V58" s="74">
        <f t="shared" si="13"/>
        <v>0</v>
      </c>
      <c r="W58" s="74">
        <f t="shared" si="14"/>
        <v>23.2959</v>
      </c>
      <c r="X58" s="74">
        <f t="shared" si="15"/>
        <v>6.4063999999999997</v>
      </c>
      <c r="Y58" s="74">
        <f t="shared" si="16"/>
        <v>16.889499999999998</v>
      </c>
      <c r="Z58" s="75">
        <f>VLOOKUP(A58,Enforcements!$C$3:$J$48,8,0)</f>
        <v>64008</v>
      </c>
      <c r="AA58" s="75" t="str">
        <f>VLOOKUP(A58,Enforcements!$C$3:$J$48,3,0)</f>
        <v>SIGNAL</v>
      </c>
    </row>
    <row r="59" spans="1:27" s="2" customFormat="1" x14ac:dyDescent="0.25">
      <c r="A59" s="61" t="s">
        <v>345</v>
      </c>
      <c r="B59" s="61">
        <v>4042</v>
      </c>
      <c r="C59" s="61" t="s">
        <v>66</v>
      </c>
      <c r="D59" s="61" t="s">
        <v>115</v>
      </c>
      <c r="E59" s="30">
        <v>42508.429166666669</v>
      </c>
      <c r="F59" s="30">
        <v>42508.430092592593</v>
      </c>
      <c r="G59" s="38">
        <v>1</v>
      </c>
      <c r="H59" s="30" t="s">
        <v>346</v>
      </c>
      <c r="I59" s="30">
        <v>42508.437395833331</v>
      </c>
      <c r="J59" s="61">
        <v>0</v>
      </c>
      <c r="K59" s="61" t="str">
        <f t="shared" si="9"/>
        <v>4041/4042</v>
      </c>
      <c r="L59" s="61" t="str">
        <f>VLOOKUP(A59,'Trips&amp;Operators'!$C$1:$E$9999,3,FALSE)</f>
        <v>SPECTOR</v>
      </c>
      <c r="M59" s="12">
        <f t="shared" si="10"/>
        <v>7.3032407381106168E-3</v>
      </c>
      <c r="N59" s="13"/>
      <c r="O59" s="13"/>
      <c r="P59" s="13">
        <f t="shared" si="5"/>
        <v>10.516666662879288</v>
      </c>
      <c r="Q59" s="62" t="s">
        <v>274</v>
      </c>
      <c r="R59" s="62" t="s">
        <v>518</v>
      </c>
      <c r="T59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https://search-rtdc-monitor-bjffxe2xuh6vdkpspy63sjmuny.us-east-1.es.amazonaws.com/_plugin/kibana/#/discover/Steve-Slow-Train-Analysis-(2080s-and-2083s)?_g=(refreshInterval:(display:Off,section:0,value:0),time:(from:'2016-05-18 10:17:00-0600',mode:absolute,to:'2016-05-18 10:30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U59" s="74" t="str">
        <f t="shared" si="12"/>
        <v>Y</v>
      </c>
      <c r="V59" s="74">
        <f t="shared" si="13"/>
        <v>1</v>
      </c>
      <c r="W59" s="74">
        <f t="shared" si="14"/>
        <v>4.6699999999999998E-2</v>
      </c>
      <c r="X59" s="74">
        <f t="shared" si="15"/>
        <v>0.58930000000000005</v>
      </c>
      <c r="Y59" s="74">
        <f t="shared" si="16"/>
        <v>0.54260000000000008</v>
      </c>
      <c r="Z59" s="75" t="e">
        <f>VLOOKUP(A59,Enforcements!$C$3:$J$48,8,0)</f>
        <v>#N/A</v>
      </c>
      <c r="AA59" s="75" t="e">
        <f>VLOOKUP(A59,Enforcements!$C$3:$J$48,3,0)</f>
        <v>#N/A</v>
      </c>
    </row>
    <row r="60" spans="1:27" s="2" customFormat="1" x14ac:dyDescent="0.25">
      <c r="A60" s="61" t="s">
        <v>347</v>
      </c>
      <c r="B60" s="61">
        <v>4018</v>
      </c>
      <c r="C60" s="61" t="s">
        <v>66</v>
      </c>
      <c r="D60" s="61" t="s">
        <v>106</v>
      </c>
      <c r="E60" s="30">
        <v>42508.434560185182</v>
      </c>
      <c r="F60" s="30">
        <v>42508.436122685183</v>
      </c>
      <c r="G60" s="38">
        <v>2</v>
      </c>
      <c r="H60" s="30" t="s">
        <v>67</v>
      </c>
      <c r="I60" s="30">
        <v>42508.480196759258</v>
      </c>
      <c r="J60" s="61">
        <v>1</v>
      </c>
      <c r="K60" s="61" t="str">
        <f t="shared" si="9"/>
        <v>4017/4018</v>
      </c>
      <c r="L60" s="61" t="str">
        <f>VLOOKUP(A60,'Trips&amp;Operators'!$C$1:$E$9999,3,FALSE)</f>
        <v>BRUDER</v>
      </c>
      <c r="M60" s="12">
        <f t="shared" si="10"/>
        <v>4.4074074074160308E-2</v>
      </c>
      <c r="N60" s="13">
        <f t="shared" si="5"/>
        <v>63.466666666790843</v>
      </c>
      <c r="O60" s="13"/>
      <c r="P60" s="13"/>
      <c r="Q60" s="62"/>
      <c r="R60" s="62"/>
      <c r="T60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https://search-rtdc-monitor-bjffxe2xuh6vdkpspy63sjmuny.us-east-1.es.amazonaws.com/_plugin/kibana/#/discover/Steve-Slow-Train-Analysis-(2080s-and-2083s)?_g=(refreshInterval:(display:Off,section:0,value:0),time:(from:'2016-05-18 10:24:46-0600',mode:absolute,to:'2016-05-18 11:32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U60" s="74" t="str">
        <f t="shared" si="12"/>
        <v>N</v>
      </c>
      <c r="V60" s="74">
        <f t="shared" si="13"/>
        <v>2</v>
      </c>
      <c r="W60" s="74">
        <f t="shared" si="14"/>
        <v>4.8000000000000001E-2</v>
      </c>
      <c r="X60" s="74">
        <f t="shared" si="15"/>
        <v>23.331</v>
      </c>
      <c r="Y60" s="74">
        <f t="shared" si="16"/>
        <v>23.283000000000001</v>
      </c>
      <c r="Z60" s="75">
        <f>VLOOKUP(A60,Enforcements!$C$3:$J$48,8,0)</f>
        <v>233491</v>
      </c>
      <c r="AA60" s="75" t="str">
        <f>VLOOKUP(A60,Enforcements!$C$3:$J$48,3,0)</f>
        <v>TRACK WARRANT AUTHORITY</v>
      </c>
    </row>
    <row r="61" spans="1:27" s="2" customFormat="1" x14ac:dyDescent="0.25">
      <c r="A61" s="61" t="s">
        <v>348</v>
      </c>
      <c r="B61" s="61">
        <v>4044</v>
      </c>
      <c r="C61" s="61" t="s">
        <v>66</v>
      </c>
      <c r="D61" s="61" t="s">
        <v>349</v>
      </c>
      <c r="E61" s="30">
        <v>42508.455231481479</v>
      </c>
      <c r="F61" s="30">
        <v>42508.456203703703</v>
      </c>
      <c r="G61" s="38">
        <v>1</v>
      </c>
      <c r="H61" s="30" t="s">
        <v>304</v>
      </c>
      <c r="I61" s="30">
        <v>42508.492060185185</v>
      </c>
      <c r="J61" s="61">
        <v>0</v>
      </c>
      <c r="K61" s="61" t="str">
        <f t="shared" si="9"/>
        <v>4043/4044</v>
      </c>
      <c r="L61" s="61" t="str">
        <f>VLOOKUP(A61,'Trips&amp;Operators'!$C$1:$E$9999,3,FALSE)</f>
        <v>SPECTOR</v>
      </c>
      <c r="M61" s="12">
        <f t="shared" si="10"/>
        <v>3.5856481481459923E-2</v>
      </c>
      <c r="N61" s="13">
        <f t="shared" si="5"/>
        <v>51.633333333302289</v>
      </c>
      <c r="O61" s="13"/>
      <c r="P61" s="13"/>
      <c r="Q61" s="62"/>
      <c r="R61" s="62"/>
      <c r="T61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https://search-rtdc-monitor-bjffxe2xuh6vdkpspy63sjmuny.us-east-1.es.amazonaws.com/_plugin/kibana/#/discover/Steve-Slow-Train-Analysis-(2080s-and-2083s)?_g=(refreshInterval:(display:Off,section:0,value:0),time:(from:'2016-05-18 10:54:32-0600',mode:absolute,to:'2016-05-18 11:49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61" s="74" t="str">
        <f t="shared" si="12"/>
        <v>N</v>
      </c>
      <c r="V61" s="74">
        <f t="shared" si="13"/>
        <v>2</v>
      </c>
      <c r="W61" s="74">
        <f t="shared" si="14"/>
        <v>0.1232</v>
      </c>
      <c r="X61" s="74">
        <f t="shared" si="15"/>
        <v>23.332000000000001</v>
      </c>
      <c r="Y61" s="74">
        <f t="shared" si="16"/>
        <v>23.2088</v>
      </c>
      <c r="Z61" s="75" t="e">
        <f>VLOOKUP(A61,Enforcements!$C$3:$J$48,8,0)</f>
        <v>#N/A</v>
      </c>
      <c r="AA61" s="75" t="e">
        <f>VLOOKUP(A61,Enforcements!$C$3:$J$48,3,0)</f>
        <v>#N/A</v>
      </c>
    </row>
    <row r="62" spans="1:27" s="2" customFormat="1" x14ac:dyDescent="0.25">
      <c r="A62" s="61" t="s">
        <v>350</v>
      </c>
      <c r="B62" s="61">
        <v>4017</v>
      </c>
      <c r="C62" s="61" t="s">
        <v>66</v>
      </c>
      <c r="D62" s="61" t="s">
        <v>197</v>
      </c>
      <c r="E62" s="30">
        <v>42508.485069444447</v>
      </c>
      <c r="F62" s="30">
        <v>42508.486180555556</v>
      </c>
      <c r="G62" s="30">
        <v>1</v>
      </c>
      <c r="H62" s="30" t="s">
        <v>351</v>
      </c>
      <c r="I62" s="30">
        <v>42508.51730324074</v>
      </c>
      <c r="J62" s="61">
        <v>0</v>
      </c>
      <c r="K62" s="61" t="str">
        <f t="shared" si="9"/>
        <v>4017/4018</v>
      </c>
      <c r="L62" s="61" t="str">
        <f>VLOOKUP(A62,'Trips&amp;Operators'!$C$1:$E$9999,3,FALSE)</f>
        <v>BRUDER</v>
      </c>
      <c r="M62" s="12">
        <f t="shared" si="10"/>
        <v>3.1122685184527654E-2</v>
      </c>
      <c r="N62" s="13">
        <f t="shared" si="5"/>
        <v>44.816666665719822</v>
      </c>
      <c r="O62" s="13"/>
      <c r="P62" s="13"/>
      <c r="Q62" s="62"/>
      <c r="R62" s="62"/>
      <c r="T62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https://search-rtdc-monitor-bjffxe2xuh6vdkpspy63sjmuny.us-east-1.es.amazonaws.com/_plugin/kibana/#/discover/Steve-Slow-Train-Analysis-(2080s-and-2083s)?_g=(refreshInterval:(display:Off,section:0,value:0),time:(from:'2016-05-18 11:37:30-0600',mode:absolute,to:'2016-05-18 12:25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U62" s="74" t="str">
        <f t="shared" si="12"/>
        <v>N</v>
      </c>
      <c r="V62" s="74">
        <f t="shared" si="13"/>
        <v>1</v>
      </c>
      <c r="W62" s="74">
        <f t="shared" si="14"/>
        <v>23.299299999999999</v>
      </c>
      <c r="X62" s="74">
        <f t="shared" si="15"/>
        <v>3.4700000000000002E-2</v>
      </c>
      <c r="Y62" s="74">
        <f t="shared" si="16"/>
        <v>23.264599999999998</v>
      </c>
      <c r="Z62" s="75" t="e">
        <f>VLOOKUP(A62,Enforcements!$C$3:$J$48,8,0)</f>
        <v>#N/A</v>
      </c>
      <c r="AA62" s="75" t="e">
        <f>VLOOKUP(A62,Enforcements!$C$3:$J$48,3,0)</f>
        <v>#N/A</v>
      </c>
    </row>
    <row r="63" spans="1:27" s="2" customFormat="1" x14ac:dyDescent="0.25">
      <c r="A63" s="61" t="s">
        <v>352</v>
      </c>
      <c r="B63" s="61">
        <v>4020</v>
      </c>
      <c r="C63" s="61" t="s">
        <v>66</v>
      </c>
      <c r="D63" s="61" t="s">
        <v>118</v>
      </c>
      <c r="E63" s="30">
        <v>42508.455925925926</v>
      </c>
      <c r="F63" s="30">
        <v>42508.456909722219</v>
      </c>
      <c r="G63" s="38">
        <v>1</v>
      </c>
      <c r="H63" s="30" t="s">
        <v>353</v>
      </c>
      <c r="I63" s="30">
        <v>42508.50372685185</v>
      </c>
      <c r="J63" s="61">
        <v>1</v>
      </c>
      <c r="K63" s="61" t="str">
        <f t="shared" si="9"/>
        <v>4019/4020</v>
      </c>
      <c r="L63" s="61" t="str">
        <f>VLOOKUP(A63,'Trips&amp;Operators'!$C$1:$E$9999,3,FALSE)</f>
        <v>CHANDLER</v>
      </c>
      <c r="M63" s="12">
        <f t="shared" si="10"/>
        <v>4.6817129630653653E-2</v>
      </c>
      <c r="N63" s="13">
        <f t="shared" si="5"/>
        <v>67.416666668141261</v>
      </c>
      <c r="O63" s="13"/>
      <c r="P63" s="13"/>
      <c r="Q63" s="62"/>
      <c r="R63" s="62"/>
      <c r="T63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https://search-rtdc-monitor-bjffxe2xuh6vdkpspy63sjmuny.us-east-1.es.amazonaws.com/_plugin/kibana/#/discover/Steve-Slow-Train-Analysis-(2080s-and-2083s)?_g=(refreshInterval:(display:Off,section:0,value:0),time:(from:'2016-05-18 10:55:32-0600',mode:absolute,to:'2016-05-18 12:06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63" s="74" t="str">
        <f t="shared" si="12"/>
        <v>N</v>
      </c>
      <c r="V63" s="74">
        <f t="shared" si="13"/>
        <v>1</v>
      </c>
      <c r="W63" s="74">
        <f t="shared" si="14"/>
        <v>4.6899999999999997E-2</v>
      </c>
      <c r="X63" s="74">
        <f t="shared" si="15"/>
        <v>23.325500000000002</v>
      </c>
      <c r="Y63" s="74">
        <f t="shared" si="16"/>
        <v>23.278600000000001</v>
      </c>
      <c r="Z63" s="75">
        <f>VLOOKUP(A63,Enforcements!$C$3:$J$48,8,0)</f>
        <v>63068</v>
      </c>
      <c r="AA63" s="75" t="str">
        <f>VLOOKUP(A63,Enforcements!$C$3:$J$48,3,0)</f>
        <v>GRADE CROSSING</v>
      </c>
    </row>
    <row r="64" spans="1:27" s="2" customFormat="1" x14ac:dyDescent="0.25">
      <c r="A64" s="61" t="s">
        <v>354</v>
      </c>
      <c r="B64" s="61">
        <v>4043</v>
      </c>
      <c r="C64" s="61" t="s">
        <v>66</v>
      </c>
      <c r="D64" s="61" t="s">
        <v>102</v>
      </c>
      <c r="E64" s="30">
        <v>42508.495081018518</v>
      </c>
      <c r="F64" s="30">
        <v>42508.496354166666</v>
      </c>
      <c r="G64" s="38">
        <v>1</v>
      </c>
      <c r="H64" s="30" t="s">
        <v>355</v>
      </c>
      <c r="I64" s="30">
        <v>42508.520277777781</v>
      </c>
      <c r="J64" s="61">
        <v>0</v>
      </c>
      <c r="K64" s="61" t="str">
        <f t="shared" si="9"/>
        <v>4043/4044</v>
      </c>
      <c r="L64" s="61" t="str">
        <f>VLOOKUP(A64,'Trips&amp;Operators'!$C$1:$E$9999,3,FALSE)</f>
        <v>SPECTOR</v>
      </c>
      <c r="M64" s="12">
        <f t="shared" si="10"/>
        <v>2.3923611115606036E-2</v>
      </c>
      <c r="N64" s="13"/>
      <c r="O64" s="13"/>
      <c r="P64" s="13">
        <f>24*60*SUM($M64:$M65)</f>
        <v>39.950000003445894</v>
      </c>
      <c r="Q64" s="62" t="s">
        <v>274</v>
      </c>
      <c r="R64" s="62" t="s">
        <v>521</v>
      </c>
      <c r="T64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https://search-rtdc-monitor-bjffxe2xuh6vdkpspy63sjmuny.us-east-1.es.amazonaws.com/_plugin/kibana/#/discover/Steve-Slow-Train-Analysis-(2080s-and-2083s)?_g=(refreshInterval:(display:Off,section:0,value:0),time:(from:'2016-05-18 11:51:55-0600',mode:absolute,to:'2016-05-18 12:30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64" s="74" t="str">
        <f t="shared" si="12"/>
        <v>Y</v>
      </c>
      <c r="V64" s="74">
        <f t="shared" si="13"/>
        <v>1</v>
      </c>
      <c r="W64" s="74">
        <f t="shared" si="14"/>
        <v>23.298999999999999</v>
      </c>
      <c r="X64" s="74">
        <f t="shared" si="15"/>
        <v>6.4154999999999998</v>
      </c>
      <c r="Y64" s="74">
        <f t="shared" si="16"/>
        <v>16.883499999999998</v>
      </c>
      <c r="Z64" s="75" t="e">
        <f>VLOOKUP(A64,Enforcements!$C$3:$J$48,8,0)</f>
        <v>#N/A</v>
      </c>
      <c r="AA64" s="75" t="e">
        <f>VLOOKUP(A64,Enforcements!$C$3:$J$48,3,0)</f>
        <v>#N/A</v>
      </c>
    </row>
    <row r="65" spans="1:27" s="2" customFormat="1" x14ac:dyDescent="0.25">
      <c r="A65" s="61" t="s">
        <v>354</v>
      </c>
      <c r="B65" s="61">
        <v>4043</v>
      </c>
      <c r="C65" s="61" t="s">
        <v>66</v>
      </c>
      <c r="D65" s="61" t="s">
        <v>356</v>
      </c>
      <c r="E65" s="30">
        <v>42508.529097222221</v>
      </c>
      <c r="F65" s="30">
        <v>42508.530486111114</v>
      </c>
      <c r="G65" s="38">
        <v>1</v>
      </c>
      <c r="H65" s="30" t="s">
        <v>357</v>
      </c>
      <c r="I65" s="30">
        <v>42508.534305555557</v>
      </c>
      <c r="J65" s="61">
        <v>0</v>
      </c>
      <c r="K65" s="61" t="str">
        <f t="shared" si="9"/>
        <v>4043/4044</v>
      </c>
      <c r="L65" s="61" t="str">
        <f>VLOOKUP(A65,'Trips&amp;Operators'!$C$1:$E$9999,3,FALSE)</f>
        <v>SPECTOR</v>
      </c>
      <c r="M65" s="12">
        <f t="shared" si="10"/>
        <v>3.8194444423425011E-3</v>
      </c>
      <c r="N65" s="13"/>
      <c r="O65" s="13"/>
      <c r="P65" s="13"/>
      <c r="Q65" s="62"/>
      <c r="R65" s="62"/>
      <c r="T65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https://search-rtdc-monitor-bjffxe2xuh6vdkpspy63sjmuny.us-east-1.es.amazonaws.com/_plugin/kibana/#/discover/Steve-Slow-Train-Analysis-(2080s-and-2083s)?_g=(refreshInterval:(display:Off,section:0,value:0),time:(from:'2016-05-18 12:40:54-0600',mode:absolute,to:'2016-05-18 12:50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65" s="74" t="str">
        <f t="shared" si="12"/>
        <v>Y</v>
      </c>
      <c r="V65" s="74">
        <f t="shared" si="13"/>
        <v>0</v>
      </c>
      <c r="W65" s="74">
        <f t="shared" si="14"/>
        <v>3.6766999999999999</v>
      </c>
      <c r="X65" s="74">
        <f t="shared" si="15"/>
        <v>2.0996999999999999</v>
      </c>
      <c r="Y65" s="74">
        <f t="shared" si="16"/>
        <v>1.577</v>
      </c>
      <c r="Z65" s="75" t="e">
        <f>VLOOKUP(A65,Enforcements!$C$3:$J$48,8,0)</f>
        <v>#N/A</v>
      </c>
      <c r="AA65" s="75" t="e">
        <f>VLOOKUP(A65,Enforcements!$C$3:$J$48,3,0)</f>
        <v>#N/A</v>
      </c>
    </row>
    <row r="66" spans="1:27" s="2" customFormat="1" x14ac:dyDescent="0.25">
      <c r="A66" s="61" t="s">
        <v>358</v>
      </c>
      <c r="B66" s="61">
        <v>4007</v>
      </c>
      <c r="C66" s="61" t="s">
        <v>66</v>
      </c>
      <c r="D66" s="61" t="s">
        <v>359</v>
      </c>
      <c r="E66" s="30">
        <v>42508.468912037039</v>
      </c>
      <c r="F66" s="30">
        <v>42508.473587962966</v>
      </c>
      <c r="G66" s="38">
        <v>6</v>
      </c>
      <c r="H66" s="30" t="s">
        <v>104</v>
      </c>
      <c r="I66" s="30">
        <v>42508.506365740737</v>
      </c>
      <c r="J66" s="61">
        <v>0</v>
      </c>
      <c r="K66" s="61" t="str">
        <f t="shared" si="9"/>
        <v>4007/4008</v>
      </c>
      <c r="L66" s="61" t="str">
        <f>VLOOKUP(A66,'Trips&amp;Operators'!$C$1:$E$9999,3,FALSE)</f>
        <v>YORK</v>
      </c>
      <c r="M66" s="12">
        <f t="shared" si="10"/>
        <v>3.2777777771116234E-2</v>
      </c>
      <c r="N66" s="13">
        <f t="shared" si="5"/>
        <v>47.199999990407377</v>
      </c>
      <c r="O66" s="13"/>
      <c r="P66" s="13"/>
      <c r="Q66" s="62"/>
      <c r="R66" s="62"/>
      <c r="T66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https://search-rtdc-monitor-bjffxe2xuh6vdkpspy63sjmuny.us-east-1.es.amazonaws.com/_plugin/kibana/#/discover/Steve-Slow-Train-Analysis-(2080s-and-2083s)?_g=(refreshInterval:(display:Off,section:0,value:0),time:(from:'2016-05-18 11:14:14-0600',mode:absolute,to:'2016-05-18 12:10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66" s="74" t="str">
        <f t="shared" si="12"/>
        <v>N</v>
      </c>
      <c r="V66" s="74">
        <f t="shared" si="13"/>
        <v>1</v>
      </c>
      <c r="W66" s="74">
        <f t="shared" si="14"/>
        <v>6.5699999999999995E-2</v>
      </c>
      <c r="X66" s="74">
        <f t="shared" si="15"/>
        <v>23.331499999999998</v>
      </c>
      <c r="Y66" s="74">
        <f t="shared" si="16"/>
        <v>23.265799999999999</v>
      </c>
      <c r="Z66" s="75" t="e">
        <f>VLOOKUP(A66,Enforcements!$C$3:$J$48,8,0)</f>
        <v>#N/A</v>
      </c>
      <c r="AA66" s="75" t="e">
        <f>VLOOKUP(A66,Enforcements!$C$3:$J$48,3,0)</f>
        <v>#N/A</v>
      </c>
    </row>
    <row r="67" spans="1:27" s="2" customFormat="1" x14ac:dyDescent="0.25">
      <c r="A67" s="61" t="s">
        <v>360</v>
      </c>
      <c r="B67" s="61">
        <v>4038</v>
      </c>
      <c r="C67" s="61" t="s">
        <v>66</v>
      </c>
      <c r="D67" s="61" t="s">
        <v>361</v>
      </c>
      <c r="E67" s="30">
        <v>42508.472222222219</v>
      </c>
      <c r="F67" s="30">
        <v>42508.474988425929</v>
      </c>
      <c r="G67" s="38">
        <v>3</v>
      </c>
      <c r="H67" s="30" t="s">
        <v>362</v>
      </c>
      <c r="I67" s="30">
        <v>42508.518935185188</v>
      </c>
      <c r="J67" s="61">
        <v>0</v>
      </c>
      <c r="K67" s="61" t="str">
        <f t="shared" si="9"/>
        <v>4037/4038</v>
      </c>
      <c r="L67" s="61" t="str">
        <f>VLOOKUP(A67,'Trips&amp;Operators'!$C$1:$E$9999,3,FALSE)</f>
        <v>DE LA ROSA</v>
      </c>
      <c r="M67" s="12">
        <f t="shared" si="10"/>
        <v>4.3946759258687962E-2</v>
      </c>
      <c r="N67" s="13">
        <f t="shared" si="5"/>
        <v>63.283333332510665</v>
      </c>
      <c r="O67" s="13"/>
      <c r="P67" s="13"/>
      <c r="Q67" s="62"/>
      <c r="R67" s="62"/>
      <c r="T67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https://search-rtdc-monitor-bjffxe2xuh6vdkpspy63sjmuny.us-east-1.es.amazonaws.com/_plugin/kibana/#/discover/Steve-Slow-Train-Analysis-(2080s-and-2083s)?_g=(refreshInterval:(display:Off,section:0,value:0),time:(from:'2016-05-18 11:19:00-0600',mode:absolute,to:'2016-05-18 12:28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U67" s="74" t="str">
        <f t="shared" si="12"/>
        <v>N</v>
      </c>
      <c r="V67" s="74">
        <f t="shared" si="13"/>
        <v>2</v>
      </c>
      <c r="W67" s="74">
        <f t="shared" si="14"/>
        <v>4.02E-2</v>
      </c>
      <c r="X67" s="74">
        <f t="shared" si="15"/>
        <v>23.330500000000001</v>
      </c>
      <c r="Y67" s="74">
        <f t="shared" si="16"/>
        <v>23.290300000000002</v>
      </c>
      <c r="Z67" s="75" t="e">
        <f>VLOOKUP(A67,Enforcements!$C$3:$J$48,8,0)</f>
        <v>#N/A</v>
      </c>
      <c r="AA67" s="75" t="e">
        <f>VLOOKUP(A67,Enforcements!$C$3:$J$48,3,0)</f>
        <v>#N/A</v>
      </c>
    </row>
    <row r="68" spans="1:27" s="2" customFormat="1" x14ac:dyDescent="0.25">
      <c r="A68" s="61" t="s">
        <v>363</v>
      </c>
      <c r="B68" s="61">
        <v>4024</v>
      </c>
      <c r="C68" s="61" t="s">
        <v>66</v>
      </c>
      <c r="D68" s="61" t="s">
        <v>364</v>
      </c>
      <c r="E68" s="30">
        <v>42508.48510416667</v>
      </c>
      <c r="F68" s="30">
        <v>42508.489317129628</v>
      </c>
      <c r="G68" s="38">
        <v>6</v>
      </c>
      <c r="H68" s="30" t="s">
        <v>365</v>
      </c>
      <c r="I68" s="30">
        <v>42508.52747685185</v>
      </c>
      <c r="J68" s="61">
        <v>2</v>
      </c>
      <c r="K68" s="61" t="str">
        <f t="shared" si="9"/>
        <v>4023/4024</v>
      </c>
      <c r="L68" s="61" t="str">
        <f>VLOOKUP(A68,'Trips&amp;Operators'!$C$1:$E$9999,3,FALSE)</f>
        <v>HAUSER</v>
      </c>
      <c r="M68" s="12">
        <f t="shared" si="10"/>
        <v>3.8159722222189885E-2</v>
      </c>
      <c r="N68" s="13">
        <f t="shared" si="5"/>
        <v>54.949999999953434</v>
      </c>
      <c r="O68" s="13"/>
      <c r="P68" s="13"/>
      <c r="Q68" s="62"/>
      <c r="R68" s="62"/>
      <c r="T68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https://search-rtdc-monitor-bjffxe2xuh6vdkpspy63sjmuny.us-east-1.es.amazonaws.com/_plugin/kibana/#/discover/Steve-Slow-Train-Analysis-(2080s-and-2083s)?_g=(refreshInterval:(display:Off,section:0,value:0),time:(from:'2016-05-18 11:37:33-0600',mode:absolute,to:'2016-05-18 12:40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68" s="74" t="str">
        <f t="shared" si="12"/>
        <v>N</v>
      </c>
      <c r="V68" s="74">
        <f t="shared" si="13"/>
        <v>2</v>
      </c>
      <c r="W68" s="74">
        <f t="shared" si="14"/>
        <v>6.6400000000000001E-2</v>
      </c>
      <c r="X68" s="74">
        <f t="shared" si="15"/>
        <v>23.3276</v>
      </c>
      <c r="Y68" s="74">
        <f t="shared" si="16"/>
        <v>23.261199999999999</v>
      </c>
      <c r="Z68" s="75">
        <f>VLOOKUP(A68,Enforcements!$C$3:$J$48,8,0)</f>
        <v>228572</v>
      </c>
      <c r="AA68" s="75" t="str">
        <f>VLOOKUP(A68,Enforcements!$C$3:$J$48,3,0)</f>
        <v>SIGNAL</v>
      </c>
    </row>
    <row r="69" spans="1:27" s="2" customFormat="1" x14ac:dyDescent="0.25">
      <c r="A69" s="61" t="s">
        <v>366</v>
      </c>
      <c r="B69" s="61">
        <v>4037</v>
      </c>
      <c r="C69" s="61" t="s">
        <v>66</v>
      </c>
      <c r="D69" s="61" t="s">
        <v>367</v>
      </c>
      <c r="E69" s="30">
        <v>42508.530578703707</v>
      </c>
      <c r="F69" s="30">
        <v>42508.531458333331</v>
      </c>
      <c r="G69" s="38">
        <v>1</v>
      </c>
      <c r="H69" s="30" t="s">
        <v>86</v>
      </c>
      <c r="I69" s="30">
        <v>42508.563437500001</v>
      </c>
      <c r="J69" s="61">
        <v>0</v>
      </c>
      <c r="K69" s="61" t="str">
        <f t="shared" ref="K69:K132" si="17">IF(ISEVEN(B69),(B69-1)&amp;"/"&amp;B69,B69&amp;"/"&amp;(B69+1))</f>
        <v>4037/4038</v>
      </c>
      <c r="L69" s="61" t="str">
        <f>VLOOKUP(A69,'Trips&amp;Operators'!$C$1:$E$9999,3,FALSE)</f>
        <v>DE LA ROSA</v>
      </c>
      <c r="M69" s="12">
        <f t="shared" ref="M69:M132" si="18">I69-F69</f>
        <v>3.1979166669771075E-2</v>
      </c>
      <c r="N69" s="13">
        <f t="shared" si="5"/>
        <v>46.050000004470348</v>
      </c>
      <c r="O69" s="13"/>
      <c r="P69" s="13"/>
      <c r="Q69" s="62"/>
      <c r="R69" s="62"/>
      <c r="T69" s="74" t="str">
        <f t="shared" ref="T69:T132" si="19">"https://search-rtdc-monitor-bjffxe2xuh6vdkpspy63sjmuny.us-east-1.es.amazonaws.com/_plugin/kibana/#/discover/Steve-Slow-Train-Analysis-(2080s-and-2083s)?_g=(refreshInterval:(display:Off,section:0,value:0),time:(from:'"&amp;TEXT(E69-1/24/60,"yyyy-MM-DD hh:mm:ss")&amp;"-0600',mode:absolute,to:'"&amp;TEXT(I69+1/24/60,"yyyy-MM-DD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69&amp;"%22')),sort:!(Time,asc))"</f>
        <v>https://search-rtdc-monitor-bjffxe2xuh6vdkpspy63sjmuny.us-east-1.es.amazonaws.com/_plugin/kibana/#/discover/Steve-Slow-Train-Analysis-(2080s-and-2083s)?_g=(refreshInterval:(display:Off,section:0,value:0),time:(from:'2016-05-18 12:43:02-0600',mode:absolute,to:'2016-05-18 13:32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U69" s="74" t="str">
        <f t="shared" ref="U69:U132" si="20">IF(Y69&lt;23,"Y","N")</f>
        <v>N</v>
      </c>
      <c r="V69" s="74">
        <f t="shared" ref="V69:V132" si="21">VALUE(LEFT(A69,3))-VALUE(LEFT(A68,3))</f>
        <v>1</v>
      </c>
      <c r="W69" s="74">
        <f t="shared" ref="W69:W132" si="22">RIGHT(D69,LEN(D69)-4)/10000</f>
        <v>23.296900000000001</v>
      </c>
      <c r="X69" s="74">
        <f t="shared" ref="X69:X132" si="23">RIGHT(H69,LEN(H69)-4)/10000</f>
        <v>1.52E-2</v>
      </c>
      <c r="Y69" s="74">
        <f t="shared" ref="Y69:Y132" si="24">ABS(X69-W69)</f>
        <v>23.281700000000001</v>
      </c>
      <c r="Z69" s="75" t="e">
        <f>VLOOKUP(A69,Enforcements!$C$3:$J$48,8,0)</f>
        <v>#N/A</v>
      </c>
      <c r="AA69" s="75" t="e">
        <f>VLOOKUP(A69,Enforcements!$C$3:$J$48,3,0)</f>
        <v>#N/A</v>
      </c>
    </row>
    <row r="70" spans="1:27" s="2" customFormat="1" x14ac:dyDescent="0.25">
      <c r="A70" s="61" t="s">
        <v>368</v>
      </c>
      <c r="B70" s="61">
        <v>4025</v>
      </c>
      <c r="C70" s="61" t="s">
        <v>66</v>
      </c>
      <c r="D70" s="61" t="s">
        <v>369</v>
      </c>
      <c r="E70" s="30">
        <v>42508.503553240742</v>
      </c>
      <c r="F70" s="30">
        <v>42508.504976851851</v>
      </c>
      <c r="G70" s="38">
        <v>2</v>
      </c>
      <c r="H70" s="30" t="s">
        <v>216</v>
      </c>
      <c r="I70" s="30">
        <v>42508.536666666667</v>
      </c>
      <c r="J70" s="61">
        <v>0</v>
      </c>
      <c r="K70" s="61" t="str">
        <f t="shared" si="17"/>
        <v>4025/4026</v>
      </c>
      <c r="L70" s="61" t="str">
        <f>VLOOKUP(A70,'Trips&amp;Operators'!$C$1:$E$9999,3,FALSE)</f>
        <v>STEWART</v>
      </c>
      <c r="M70" s="12">
        <f t="shared" si="18"/>
        <v>3.1689814815763384E-2</v>
      </c>
      <c r="N70" s="13">
        <f t="shared" si="5"/>
        <v>45.633333334699273</v>
      </c>
      <c r="O70" s="13"/>
      <c r="P70" s="13"/>
      <c r="Q70" s="62"/>
      <c r="R70" s="62"/>
      <c r="T70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https://search-rtdc-monitor-bjffxe2xuh6vdkpspy63sjmuny.us-east-1.es.amazonaws.com/_plugin/kibana/#/discover/Steve-Slow-Train-Analysis-(2080s-and-2083s)?_g=(refreshInterval:(display:Off,section:0,value:0),time:(from:'2016-05-18 12:04:07-0600',mode:absolute,to:'2016-05-18 12:53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U70" s="74" t="str">
        <f t="shared" si="20"/>
        <v>N</v>
      </c>
      <c r="V70" s="74">
        <f t="shared" si="21"/>
        <v>1</v>
      </c>
      <c r="W70" s="74">
        <f t="shared" si="22"/>
        <v>4.3999999999999997E-2</v>
      </c>
      <c r="X70" s="74">
        <f t="shared" si="23"/>
        <v>23.328399999999998</v>
      </c>
      <c r="Y70" s="74">
        <f t="shared" si="24"/>
        <v>23.284399999999998</v>
      </c>
      <c r="Z70" s="75" t="e">
        <f>VLOOKUP(A70,Enforcements!$C$3:$J$48,8,0)</f>
        <v>#N/A</v>
      </c>
      <c r="AA70" s="75" t="e">
        <f>VLOOKUP(A70,Enforcements!$C$3:$J$48,3,0)</f>
        <v>#N/A</v>
      </c>
    </row>
    <row r="71" spans="1:27" s="2" customFormat="1" x14ac:dyDescent="0.25">
      <c r="A71" s="61" t="s">
        <v>370</v>
      </c>
      <c r="B71" s="61">
        <v>4023</v>
      </c>
      <c r="C71" s="61" t="s">
        <v>66</v>
      </c>
      <c r="D71" s="61" t="s">
        <v>196</v>
      </c>
      <c r="E71" s="30">
        <v>42508.536550925928</v>
      </c>
      <c r="F71" s="30">
        <v>42508.539247685185</v>
      </c>
      <c r="G71" s="38">
        <v>3</v>
      </c>
      <c r="H71" s="30" t="s">
        <v>100</v>
      </c>
      <c r="I71" s="30">
        <v>42508.570509259262</v>
      </c>
      <c r="J71" s="61">
        <v>0</v>
      </c>
      <c r="K71" s="61" t="str">
        <f t="shared" si="17"/>
        <v>4023/4024</v>
      </c>
      <c r="L71" s="61" t="str">
        <f>VLOOKUP(A71,'Trips&amp;Operators'!$C$1:$E$9999,3,FALSE)</f>
        <v>STRICKLAND</v>
      </c>
      <c r="M71" s="12">
        <f t="shared" si="18"/>
        <v>3.1261574076779652E-2</v>
      </c>
      <c r="N71" s="13">
        <f t="shared" si="5"/>
        <v>45.016666670562699</v>
      </c>
      <c r="O71" s="13"/>
      <c r="P71" s="13"/>
      <c r="Q71" s="62"/>
      <c r="R71" s="62"/>
      <c r="T71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https://search-rtdc-monitor-bjffxe2xuh6vdkpspy63sjmuny.us-east-1.es.amazonaws.com/_plugin/kibana/#/discover/Steve-Slow-Train-Analysis-(2080s-and-2083s)?_g=(refreshInterval:(display:Off,section:0,value:0),time:(from:'2016-05-18 12:51:38-0600',mode:absolute,to:'2016-05-18 13:42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71" s="74" t="str">
        <f t="shared" si="20"/>
        <v>N</v>
      </c>
      <c r="V71" s="74">
        <f t="shared" si="21"/>
        <v>1</v>
      </c>
      <c r="W71" s="74">
        <f t="shared" si="22"/>
        <v>23.297899999999998</v>
      </c>
      <c r="X71" s="74">
        <f t="shared" si="23"/>
        <v>1.4999999999999999E-2</v>
      </c>
      <c r="Y71" s="74">
        <f t="shared" si="24"/>
        <v>23.282899999999998</v>
      </c>
      <c r="Z71" s="75" t="e">
        <f>VLOOKUP(A71,Enforcements!$C$3:$J$48,8,0)</f>
        <v>#N/A</v>
      </c>
      <c r="AA71" s="75" t="e">
        <f>VLOOKUP(A71,Enforcements!$C$3:$J$48,3,0)</f>
        <v>#N/A</v>
      </c>
    </row>
    <row r="72" spans="1:27" s="2" customFormat="1" x14ac:dyDescent="0.25">
      <c r="A72" s="61" t="s">
        <v>371</v>
      </c>
      <c r="B72" s="61">
        <v>4026</v>
      </c>
      <c r="C72" s="61" t="s">
        <v>66</v>
      </c>
      <c r="D72" s="61" t="s">
        <v>372</v>
      </c>
      <c r="E72" s="30">
        <v>42508.546712962961</v>
      </c>
      <c r="F72" s="30">
        <v>42508.547685185185</v>
      </c>
      <c r="G72" s="38">
        <v>1</v>
      </c>
      <c r="H72" s="30" t="s">
        <v>75</v>
      </c>
      <c r="I72" s="30">
        <v>42508.578726851854</v>
      </c>
      <c r="J72" s="61">
        <v>0</v>
      </c>
      <c r="K72" s="61" t="str">
        <f t="shared" si="17"/>
        <v>4025/4026</v>
      </c>
      <c r="L72" s="61" t="str">
        <f>VLOOKUP(A72,'Trips&amp;Operators'!$C$1:$E$9999,3,FALSE)</f>
        <v>STEWART</v>
      </c>
      <c r="M72" s="12">
        <f t="shared" si="18"/>
        <v>3.104166666889796E-2</v>
      </c>
      <c r="N72" s="13">
        <f t="shared" si="5"/>
        <v>44.700000003213063</v>
      </c>
      <c r="O72" s="13"/>
      <c r="P72" s="13"/>
      <c r="Q72" s="62"/>
      <c r="R72" s="62"/>
      <c r="T72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https://search-rtdc-monitor-bjffxe2xuh6vdkpspy63sjmuny.us-east-1.es.amazonaws.com/_plugin/kibana/#/discover/Steve-Slow-Train-Analysis-(2080s-and-2083s)?_g=(refreshInterval:(display:Off,section:0,value:0),time:(from:'2016-05-18 13:06:16-0600',mode:absolute,to:'2016-05-18 13:54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U72" s="74" t="str">
        <f t="shared" si="20"/>
        <v>N</v>
      </c>
      <c r="V72" s="74">
        <f t="shared" si="21"/>
        <v>2</v>
      </c>
      <c r="W72" s="74">
        <f t="shared" si="22"/>
        <v>23.2971</v>
      </c>
      <c r="X72" s="74">
        <f t="shared" si="23"/>
        <v>1.54E-2</v>
      </c>
      <c r="Y72" s="74">
        <f t="shared" si="24"/>
        <v>23.281700000000001</v>
      </c>
      <c r="Z72" s="75" t="e">
        <f>VLOOKUP(A72,Enforcements!$C$3:$J$48,8,0)</f>
        <v>#N/A</v>
      </c>
      <c r="AA72" s="75" t="e">
        <f>VLOOKUP(A72,Enforcements!$C$3:$J$48,3,0)</f>
        <v>#N/A</v>
      </c>
    </row>
    <row r="73" spans="1:27" s="2" customFormat="1" x14ac:dyDescent="0.25">
      <c r="A73" s="61" t="s">
        <v>373</v>
      </c>
      <c r="B73" s="61">
        <v>4018</v>
      </c>
      <c r="C73" s="61" t="s">
        <v>66</v>
      </c>
      <c r="D73" s="61" t="s">
        <v>374</v>
      </c>
      <c r="E73" s="30">
        <v>42508.523287037038</v>
      </c>
      <c r="F73" s="30">
        <v>42508.525625000002</v>
      </c>
      <c r="G73" s="38">
        <v>3</v>
      </c>
      <c r="H73" s="30" t="s">
        <v>212</v>
      </c>
      <c r="I73" s="30">
        <v>42508.552233796298</v>
      </c>
      <c r="J73" s="61">
        <v>0</v>
      </c>
      <c r="K73" s="61" t="str">
        <f t="shared" si="17"/>
        <v>4017/4018</v>
      </c>
      <c r="L73" s="61" t="str">
        <f>VLOOKUP(A73,'Trips&amp;Operators'!$C$1:$E$9999,3,FALSE)</f>
        <v>RIVERA</v>
      </c>
      <c r="M73" s="12">
        <f t="shared" si="18"/>
        <v>2.6608796295477077E-2</v>
      </c>
      <c r="N73" s="13">
        <f t="shared" si="5"/>
        <v>38.316666665486991</v>
      </c>
      <c r="O73" s="13"/>
      <c r="P73" s="13"/>
      <c r="Q73" s="62"/>
      <c r="R73" s="62"/>
      <c r="T73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https://search-rtdc-monitor-bjffxe2xuh6vdkpspy63sjmuny.us-east-1.es.amazonaws.com/_plugin/kibana/#/discover/Steve-Slow-Train-Analysis-(2080s-and-2083s)?_g=(refreshInterval:(display:Off,section:0,value:0),time:(from:'2016-05-18 12:32:32-0600',mode:absolute,to:'2016-05-18 13:16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U73" s="74" t="str">
        <f t="shared" si="20"/>
        <v>N</v>
      </c>
      <c r="V73" s="74">
        <f t="shared" si="21"/>
        <v>1</v>
      </c>
      <c r="W73" s="74">
        <f t="shared" si="22"/>
        <v>0.1069</v>
      </c>
      <c r="X73" s="74">
        <f t="shared" si="23"/>
        <v>23.332699999999999</v>
      </c>
      <c r="Y73" s="74">
        <f t="shared" si="24"/>
        <v>23.2258</v>
      </c>
      <c r="Z73" s="75" t="e">
        <f>VLOOKUP(A73,Enforcements!$C$3:$J$48,8,0)</f>
        <v>#N/A</v>
      </c>
      <c r="AA73" s="75" t="e">
        <f>VLOOKUP(A73,Enforcements!$C$3:$J$48,3,0)</f>
        <v>#N/A</v>
      </c>
    </row>
    <row r="74" spans="1:27" s="2" customFormat="1" x14ac:dyDescent="0.25">
      <c r="A74" s="61" t="s">
        <v>375</v>
      </c>
      <c r="B74" s="61">
        <v>4017</v>
      </c>
      <c r="C74" s="61" t="s">
        <v>66</v>
      </c>
      <c r="D74" s="61" t="s">
        <v>76</v>
      </c>
      <c r="E74" s="30">
        <v>42508.555671296293</v>
      </c>
      <c r="F74" s="30">
        <v>42508.55667824074</v>
      </c>
      <c r="G74" s="38">
        <v>1</v>
      </c>
      <c r="H74" s="30" t="s">
        <v>72</v>
      </c>
      <c r="I74" s="30">
        <v>42508.588784722226</v>
      </c>
      <c r="J74" s="61">
        <v>0</v>
      </c>
      <c r="K74" s="61" t="str">
        <f t="shared" si="17"/>
        <v>4017/4018</v>
      </c>
      <c r="L74" s="61" t="str">
        <f>VLOOKUP(A74,'Trips&amp;Operators'!$C$1:$E$9999,3,FALSE)</f>
        <v>RIVERA</v>
      </c>
      <c r="M74" s="12">
        <f t="shared" si="18"/>
        <v>3.2106481485243421E-2</v>
      </c>
      <c r="N74" s="13">
        <f t="shared" si="5"/>
        <v>46.233333338750526</v>
      </c>
      <c r="O74" s="13"/>
      <c r="P74" s="13"/>
      <c r="Q74" s="62"/>
      <c r="R74" s="62"/>
      <c r="T74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https://search-rtdc-monitor-bjffxe2xuh6vdkpspy63sjmuny.us-east-1.es.amazonaws.com/_plugin/kibana/#/discover/Steve-Slow-Train-Analysis-(2080s-and-2083s)?_g=(refreshInterval:(display:Off,section:0,value:0),time:(from:'2016-05-18 13:19:10-0600',mode:absolute,to:'2016-05-18 14:08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U74" s="74" t="str">
        <f t="shared" si="20"/>
        <v>N</v>
      </c>
      <c r="V74" s="74">
        <f t="shared" si="21"/>
        <v>1</v>
      </c>
      <c r="W74" s="74">
        <f t="shared" si="22"/>
        <v>23.2989</v>
      </c>
      <c r="X74" s="74">
        <f t="shared" si="23"/>
        <v>1.49E-2</v>
      </c>
      <c r="Y74" s="74">
        <f t="shared" si="24"/>
        <v>23.283999999999999</v>
      </c>
      <c r="Z74" s="75" t="e">
        <f>VLOOKUP(A74,Enforcements!$C$3:$J$48,8,0)</f>
        <v>#N/A</v>
      </c>
      <c r="AA74" s="75" t="e">
        <f>VLOOKUP(A74,Enforcements!$C$3:$J$48,3,0)</f>
        <v>#N/A</v>
      </c>
    </row>
    <row r="75" spans="1:27" s="2" customFormat="1" x14ac:dyDescent="0.25">
      <c r="A75" s="61" t="s">
        <v>376</v>
      </c>
      <c r="B75" s="61">
        <v>4044</v>
      </c>
      <c r="C75" s="61" t="s">
        <v>66</v>
      </c>
      <c r="D75" s="61" t="s">
        <v>369</v>
      </c>
      <c r="E75" s="30">
        <v>42508.544814814813</v>
      </c>
      <c r="F75" s="30">
        <v>42508.54582175926</v>
      </c>
      <c r="G75" s="38">
        <v>1</v>
      </c>
      <c r="H75" s="30" t="s">
        <v>192</v>
      </c>
      <c r="I75" s="30">
        <v>42508.575879629629</v>
      </c>
      <c r="J75" s="61">
        <v>2</v>
      </c>
      <c r="K75" s="61" t="str">
        <f t="shared" si="17"/>
        <v>4043/4044</v>
      </c>
      <c r="L75" s="61" t="str">
        <f>VLOOKUP(A75,'Trips&amp;Operators'!$C$1:$E$9999,3,FALSE)</f>
        <v>SPECTOR</v>
      </c>
      <c r="M75" s="12">
        <f t="shared" si="18"/>
        <v>3.0057870368182193E-2</v>
      </c>
      <c r="N75" s="13">
        <f t="shared" si="5"/>
        <v>43.283333330182359</v>
      </c>
      <c r="O75" s="13"/>
      <c r="P75" s="13"/>
      <c r="Q75" s="62"/>
      <c r="R75" s="62"/>
      <c r="T75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https://search-rtdc-monitor-bjffxe2xuh6vdkpspy63sjmuny.us-east-1.es.amazonaws.com/_plugin/kibana/#/discover/Steve-Slow-Train-Analysis-(2080s-and-2083s)?_g=(refreshInterval:(display:Off,section:0,value:0),time:(from:'2016-05-18 13:03:32-0600',mode:absolute,to:'2016-05-18 13:50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75" s="74" t="str">
        <f t="shared" si="20"/>
        <v>N</v>
      </c>
      <c r="V75" s="74">
        <f t="shared" si="21"/>
        <v>1</v>
      </c>
      <c r="W75" s="74">
        <f t="shared" si="22"/>
        <v>4.3999999999999997E-2</v>
      </c>
      <c r="X75" s="74">
        <f t="shared" si="23"/>
        <v>23.3293</v>
      </c>
      <c r="Y75" s="74">
        <f t="shared" si="24"/>
        <v>23.285299999999999</v>
      </c>
      <c r="Z75" s="75">
        <f>VLOOKUP(A75,Enforcements!$C$3:$J$48,8,0)</f>
        <v>58783</v>
      </c>
      <c r="AA75" s="75" t="str">
        <f>VLOOKUP(A75,Enforcements!$C$3:$J$48,3,0)</f>
        <v>GRADE CROSSING</v>
      </c>
    </row>
    <row r="76" spans="1:27" s="2" customFormat="1" x14ac:dyDescent="0.25">
      <c r="A76" s="61" t="s">
        <v>377</v>
      </c>
      <c r="B76" s="61">
        <v>4043</v>
      </c>
      <c r="C76" s="61" t="s">
        <v>66</v>
      </c>
      <c r="D76" s="61" t="s">
        <v>83</v>
      </c>
      <c r="E76" s="30">
        <v>42508.582812499997</v>
      </c>
      <c r="F76" s="30">
        <v>42508.583831018521</v>
      </c>
      <c r="G76" s="38">
        <v>1</v>
      </c>
      <c r="H76" s="30" t="s">
        <v>86</v>
      </c>
      <c r="I76" s="30">
        <v>42508.610381944447</v>
      </c>
      <c r="J76" s="61">
        <v>0</v>
      </c>
      <c r="K76" s="61" t="str">
        <f t="shared" si="17"/>
        <v>4043/4044</v>
      </c>
      <c r="L76" s="61" t="str">
        <f>VLOOKUP(A76,'Trips&amp;Operators'!$C$1:$E$9999,3,FALSE)</f>
        <v>SPECTOR</v>
      </c>
      <c r="M76" s="12">
        <f t="shared" si="18"/>
        <v>2.6550925926130731E-2</v>
      </c>
      <c r="N76" s="13">
        <f t="shared" si="5"/>
        <v>38.233333333628252</v>
      </c>
      <c r="O76" s="13"/>
      <c r="P76" s="13"/>
      <c r="Q76" s="62"/>
      <c r="R76" s="62"/>
      <c r="T76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https://search-rtdc-monitor-bjffxe2xuh6vdkpspy63sjmuny.us-east-1.es.amazonaws.com/_plugin/kibana/#/discover/Steve-Slow-Train-Analysis-(2080s-and-2083s)?_g=(refreshInterval:(display:Off,section:0,value:0),time:(from:'2016-05-18 13:58:15-0600',mode:absolute,to:'2016-05-18 14:39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76" s="74" t="str">
        <f t="shared" si="20"/>
        <v>N</v>
      </c>
      <c r="V76" s="74">
        <f t="shared" si="21"/>
        <v>3</v>
      </c>
      <c r="W76" s="74">
        <f t="shared" si="22"/>
        <v>23.3</v>
      </c>
      <c r="X76" s="74">
        <f t="shared" si="23"/>
        <v>1.52E-2</v>
      </c>
      <c r="Y76" s="74">
        <f t="shared" si="24"/>
        <v>23.284800000000001</v>
      </c>
      <c r="Z76" s="75" t="e">
        <f>VLOOKUP(A76,Enforcements!$C$3:$J$48,8,0)</f>
        <v>#N/A</v>
      </c>
      <c r="AA76" s="75" t="e">
        <f>VLOOKUP(A76,Enforcements!$C$3:$J$48,3,0)</f>
        <v>#N/A</v>
      </c>
    </row>
    <row r="77" spans="1:27" s="2" customFormat="1" x14ac:dyDescent="0.25">
      <c r="A77" s="61" t="s">
        <v>378</v>
      </c>
      <c r="B77" s="61">
        <v>4020</v>
      </c>
      <c r="C77" s="61" t="s">
        <v>66</v>
      </c>
      <c r="D77" s="61" t="s">
        <v>379</v>
      </c>
      <c r="E77" s="30">
        <v>42508.552106481482</v>
      </c>
      <c r="F77" s="30">
        <v>42508.553506944445</v>
      </c>
      <c r="G77" s="38">
        <v>2</v>
      </c>
      <c r="H77" s="30" t="s">
        <v>73</v>
      </c>
      <c r="I77" s="30">
        <v>42508.585300925923</v>
      </c>
      <c r="J77" s="61">
        <v>0</v>
      </c>
      <c r="K77" s="61" t="str">
        <f t="shared" si="17"/>
        <v>4019/4020</v>
      </c>
      <c r="L77" s="61" t="str">
        <f>VLOOKUP(A77,'Trips&amp;Operators'!$C$1:$E$9999,3,FALSE)</f>
        <v>YOUNG</v>
      </c>
      <c r="M77" s="12">
        <f t="shared" si="18"/>
        <v>3.1793981477676425E-2</v>
      </c>
      <c r="N77" s="13">
        <f t="shared" si="5"/>
        <v>45.783333327854052</v>
      </c>
      <c r="O77" s="13"/>
      <c r="P77" s="13"/>
      <c r="Q77" s="62"/>
      <c r="R77" s="62"/>
      <c r="T77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https://search-rtdc-monitor-bjffxe2xuh6vdkpspy63sjmuny.us-east-1.es.amazonaws.com/_plugin/kibana/#/discover/Steve-Slow-Train-Analysis-(2080s-and-2083s)?_g=(refreshInterval:(display:Off,section:0,value:0),time:(from:'2016-05-18 13:14:02-0600',mode:absolute,to:'2016-05-18 14:03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77" s="74" t="str">
        <f t="shared" si="20"/>
        <v>N</v>
      </c>
      <c r="V77" s="74">
        <f t="shared" si="21"/>
        <v>1</v>
      </c>
      <c r="W77" s="74">
        <f t="shared" si="22"/>
        <v>6.4799999999999996E-2</v>
      </c>
      <c r="X77" s="74">
        <f t="shared" si="23"/>
        <v>23.330300000000001</v>
      </c>
      <c r="Y77" s="74">
        <f t="shared" si="24"/>
        <v>23.265499999999999</v>
      </c>
      <c r="Z77" s="75" t="e">
        <f>VLOOKUP(A77,Enforcements!$C$3:$J$48,8,0)</f>
        <v>#N/A</v>
      </c>
      <c r="AA77" s="75" t="e">
        <f>VLOOKUP(A77,Enforcements!$C$3:$J$48,3,0)</f>
        <v>#N/A</v>
      </c>
    </row>
    <row r="78" spans="1:27" s="2" customFormat="1" x14ac:dyDescent="0.25">
      <c r="A78" s="61" t="s">
        <v>380</v>
      </c>
      <c r="B78" s="61">
        <v>4019</v>
      </c>
      <c r="C78" s="61" t="s">
        <v>66</v>
      </c>
      <c r="D78" s="61" t="s">
        <v>372</v>
      </c>
      <c r="E78" s="30">
        <v>42508.588159722225</v>
      </c>
      <c r="F78" s="30">
        <v>42508.590509259258</v>
      </c>
      <c r="G78" s="38">
        <v>3</v>
      </c>
      <c r="H78" s="30" t="s">
        <v>127</v>
      </c>
      <c r="I78" s="30">
        <v>42508.619259259256</v>
      </c>
      <c r="J78" s="61">
        <v>1</v>
      </c>
      <c r="K78" s="61" t="str">
        <f t="shared" si="17"/>
        <v>4019/4020</v>
      </c>
      <c r="L78" s="61" t="str">
        <f>VLOOKUP(A78,'Trips&amp;Operators'!$C$1:$E$9999,3,FALSE)</f>
        <v>YOUNG</v>
      </c>
      <c r="M78" s="12">
        <f t="shared" si="18"/>
        <v>2.8749999997671694E-2</v>
      </c>
      <c r="N78" s="13">
        <f t="shared" si="5"/>
        <v>41.399999996647239</v>
      </c>
      <c r="O78" s="13"/>
      <c r="P78" s="13"/>
      <c r="Q78" s="62"/>
      <c r="R78" s="62"/>
      <c r="T78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https://search-rtdc-monitor-bjffxe2xuh6vdkpspy63sjmuny.us-east-1.es.amazonaws.com/_plugin/kibana/#/discover/Steve-Slow-Train-Analysis-(2080s-and-2083s)?_g=(refreshInterval:(display:Off,section:0,value:0),time:(from:'2016-05-18 14:05:57-0600',mode:absolute,to:'2016-05-18 14:52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78" s="74" t="str">
        <f t="shared" si="20"/>
        <v>N</v>
      </c>
      <c r="V78" s="74">
        <f t="shared" si="21"/>
        <v>1</v>
      </c>
      <c r="W78" s="74">
        <f t="shared" si="22"/>
        <v>23.2971</v>
      </c>
      <c r="X78" s="74">
        <f t="shared" si="23"/>
        <v>1.3899999999999999E-2</v>
      </c>
      <c r="Y78" s="74">
        <f t="shared" si="24"/>
        <v>23.283200000000001</v>
      </c>
      <c r="Z78" s="75">
        <f>VLOOKUP(A78,Enforcements!$C$3:$J$48,8,0)</f>
        <v>63309</v>
      </c>
      <c r="AA78" s="75" t="str">
        <f>VLOOKUP(A78,Enforcements!$C$3:$J$48,3,0)</f>
        <v>GRADE CROSSING</v>
      </c>
    </row>
    <row r="79" spans="1:27" s="2" customFormat="1" x14ac:dyDescent="0.25">
      <c r="A79" s="61" t="s">
        <v>381</v>
      </c>
      <c r="B79" s="61">
        <v>4007</v>
      </c>
      <c r="C79" s="61" t="s">
        <v>66</v>
      </c>
      <c r="D79" s="61" t="s">
        <v>90</v>
      </c>
      <c r="E79" s="30">
        <v>42508.558923611112</v>
      </c>
      <c r="F79" s="30">
        <v>42508.560115740744</v>
      </c>
      <c r="G79" s="38">
        <v>1</v>
      </c>
      <c r="H79" s="30" t="s">
        <v>145</v>
      </c>
      <c r="I79" s="30">
        <v>42508.588819444441</v>
      </c>
      <c r="J79" s="61">
        <v>0</v>
      </c>
      <c r="K79" s="61" t="str">
        <f t="shared" si="17"/>
        <v>4007/4008</v>
      </c>
      <c r="L79" s="61" t="str">
        <f>VLOOKUP(A79,'Trips&amp;Operators'!$C$1:$E$9999,3,FALSE)</f>
        <v>YORK</v>
      </c>
      <c r="M79" s="12">
        <f t="shared" si="18"/>
        <v>2.8703703697829042E-2</v>
      </c>
      <c r="N79" s="13">
        <f t="shared" si="5"/>
        <v>41.33333332487382</v>
      </c>
      <c r="O79" s="13"/>
      <c r="P79" s="13"/>
      <c r="Q79" s="62"/>
      <c r="R79" s="62"/>
      <c r="T79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https://search-rtdc-monitor-bjffxe2xuh6vdkpspy63sjmuny.us-east-1.es.amazonaws.com/_plugin/kibana/#/discover/Steve-Slow-Train-Analysis-(2080s-and-2083s)?_g=(refreshInterval:(display:Off,section:0,value:0),time:(from:'2016-05-18 13:23:51-0600',mode:absolute,to:'2016-05-18 14:08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79" s="74" t="str">
        <f t="shared" si="20"/>
        <v>N</v>
      </c>
      <c r="V79" s="74">
        <f t="shared" si="21"/>
        <v>1</v>
      </c>
      <c r="W79" s="74">
        <f t="shared" si="22"/>
        <v>4.6399999999999997E-2</v>
      </c>
      <c r="X79" s="74">
        <f t="shared" si="23"/>
        <v>23.330200000000001</v>
      </c>
      <c r="Y79" s="74">
        <f t="shared" si="24"/>
        <v>23.283800000000003</v>
      </c>
      <c r="Z79" s="75" t="e">
        <f>VLOOKUP(A79,Enforcements!$C$3:$J$48,8,0)</f>
        <v>#N/A</v>
      </c>
      <c r="AA79" s="75" t="e">
        <f>VLOOKUP(A79,Enforcements!$C$3:$J$48,3,0)</f>
        <v>#N/A</v>
      </c>
    </row>
    <row r="80" spans="1:27" s="2" customFormat="1" x14ac:dyDescent="0.25">
      <c r="A80" s="61" t="s">
        <v>382</v>
      </c>
      <c r="B80" s="61">
        <v>4008</v>
      </c>
      <c r="C80" s="61" t="s">
        <v>66</v>
      </c>
      <c r="D80" s="61" t="s">
        <v>196</v>
      </c>
      <c r="E80" s="30">
        <v>42508.597662037035</v>
      </c>
      <c r="F80" s="30">
        <v>42508.598657407405</v>
      </c>
      <c r="G80" s="38">
        <v>1</v>
      </c>
      <c r="H80" s="30" t="s">
        <v>99</v>
      </c>
      <c r="I80" s="30">
        <v>42508.627152777779</v>
      </c>
      <c r="J80" s="61">
        <v>0</v>
      </c>
      <c r="K80" s="61" t="str">
        <f t="shared" si="17"/>
        <v>4007/4008</v>
      </c>
      <c r="L80" s="61" t="str">
        <f>VLOOKUP(A80,'Trips&amp;Operators'!$C$1:$E$9999,3,FALSE)</f>
        <v>YORK</v>
      </c>
      <c r="M80" s="12">
        <f t="shared" si="18"/>
        <v>2.849537037400296E-2</v>
      </c>
      <c r="N80" s="13">
        <f t="shared" si="5"/>
        <v>41.033333338564262</v>
      </c>
      <c r="O80" s="13"/>
      <c r="P80" s="13"/>
      <c r="Q80" s="62"/>
      <c r="R80" s="62"/>
      <c r="T80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https://search-rtdc-monitor-bjffxe2xuh6vdkpspy63sjmuny.us-east-1.es.amazonaws.com/_plugin/kibana/#/discover/Steve-Slow-Train-Analysis-(2080s-and-2083s)?_g=(refreshInterval:(display:Off,section:0,value:0),time:(from:'2016-05-18 14:19:38-0600',mode:absolute,to:'2016-05-18 15:04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80" s="74" t="str">
        <f t="shared" si="20"/>
        <v>N</v>
      </c>
      <c r="V80" s="74">
        <f t="shared" si="21"/>
        <v>1</v>
      </c>
      <c r="W80" s="74">
        <f t="shared" si="22"/>
        <v>23.297899999999998</v>
      </c>
      <c r="X80" s="74">
        <f t="shared" si="23"/>
        <v>1.41E-2</v>
      </c>
      <c r="Y80" s="74">
        <f t="shared" si="24"/>
        <v>23.283799999999999</v>
      </c>
      <c r="Z80" s="75" t="e">
        <f>VLOOKUP(A80,Enforcements!$C$3:$J$48,8,0)</f>
        <v>#N/A</v>
      </c>
      <c r="AA80" s="75" t="e">
        <f>VLOOKUP(A80,Enforcements!$C$3:$J$48,3,0)</f>
        <v>#N/A</v>
      </c>
    </row>
    <row r="81" spans="1:27" s="2" customFormat="1" x14ac:dyDescent="0.25">
      <c r="A81" s="61" t="s">
        <v>383</v>
      </c>
      <c r="B81" s="61">
        <v>4038</v>
      </c>
      <c r="C81" s="61" t="s">
        <v>66</v>
      </c>
      <c r="D81" s="61" t="s">
        <v>384</v>
      </c>
      <c r="E81" s="30">
        <v>42508.569699074076</v>
      </c>
      <c r="F81" s="30">
        <v>42508.570717592593</v>
      </c>
      <c r="G81" s="38">
        <v>1</v>
      </c>
      <c r="H81" s="30" t="s">
        <v>385</v>
      </c>
      <c r="I81" s="30">
        <v>42508.598310185182</v>
      </c>
      <c r="J81" s="61">
        <v>0</v>
      </c>
      <c r="K81" s="61" t="str">
        <f t="shared" si="17"/>
        <v>4037/4038</v>
      </c>
      <c r="L81" s="61" t="str">
        <f>VLOOKUP(A81,'Trips&amp;Operators'!$C$1:$E$9999,3,FALSE)</f>
        <v>DE LA ROSA</v>
      </c>
      <c r="M81" s="12">
        <f t="shared" si="18"/>
        <v>2.7592592588916887E-2</v>
      </c>
      <c r="N81" s="13">
        <f t="shared" si="5"/>
        <v>39.733333328040317</v>
      </c>
      <c r="O81" s="13"/>
      <c r="P81" s="13"/>
      <c r="Q81" s="62"/>
      <c r="R81" s="62"/>
      <c r="T81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https://search-rtdc-monitor-bjffxe2xuh6vdkpspy63sjmuny.us-east-1.es.amazonaws.com/_plugin/kibana/#/discover/Steve-Slow-Train-Analysis-(2080s-and-2083s)?_g=(refreshInterval:(display:Off,section:0,value:0),time:(from:'2016-05-18 13:39:22-0600',mode:absolute,to:'2016-05-18 14:22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U81" s="74" t="str">
        <f t="shared" si="20"/>
        <v>N</v>
      </c>
      <c r="V81" s="74">
        <f t="shared" si="21"/>
        <v>1</v>
      </c>
      <c r="W81" s="74">
        <f t="shared" si="22"/>
        <v>4.6199999999999998E-2</v>
      </c>
      <c r="X81" s="74">
        <f t="shared" si="23"/>
        <v>23.3309</v>
      </c>
      <c r="Y81" s="74">
        <f t="shared" si="24"/>
        <v>23.284700000000001</v>
      </c>
      <c r="Z81" s="75" t="e">
        <f>VLOOKUP(A81,Enforcements!$C$3:$J$48,8,0)</f>
        <v>#N/A</v>
      </c>
      <c r="AA81" s="75" t="e">
        <f>VLOOKUP(A81,Enforcements!$C$3:$J$48,3,0)</f>
        <v>#N/A</v>
      </c>
    </row>
    <row r="82" spans="1:27" s="2" customFormat="1" x14ac:dyDescent="0.25">
      <c r="A82" s="61" t="s">
        <v>386</v>
      </c>
      <c r="B82" s="61">
        <v>4037</v>
      </c>
      <c r="C82" s="61" t="s">
        <v>66</v>
      </c>
      <c r="D82" s="61" t="s">
        <v>101</v>
      </c>
      <c r="E82" s="30">
        <v>42508.605497685188</v>
      </c>
      <c r="F82" s="30">
        <v>42508.607581018521</v>
      </c>
      <c r="G82" s="38">
        <v>3</v>
      </c>
      <c r="H82" s="30" t="s">
        <v>105</v>
      </c>
      <c r="I82" s="30">
        <v>42508.638379629629</v>
      </c>
      <c r="J82" s="61">
        <v>0</v>
      </c>
      <c r="K82" s="61" t="str">
        <f t="shared" si="17"/>
        <v>4037/4038</v>
      </c>
      <c r="L82" s="61" t="str">
        <f>VLOOKUP(A82,'Trips&amp;Operators'!$C$1:$E$9999,3,FALSE)</f>
        <v>DE LA ROSA</v>
      </c>
      <c r="M82" s="12">
        <f t="shared" si="18"/>
        <v>3.0798611107456964E-2</v>
      </c>
      <c r="N82" s="13">
        <f t="shared" si="5"/>
        <v>44.349999994738027</v>
      </c>
      <c r="O82" s="13"/>
      <c r="P82" s="13"/>
      <c r="Q82" s="62"/>
      <c r="R82" s="62"/>
      <c r="T82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https://search-rtdc-monitor-bjffxe2xuh6vdkpspy63sjmuny.us-east-1.es.amazonaws.com/_plugin/kibana/#/discover/Steve-Slow-Train-Analysis-(2080s-and-2083s)?_g=(refreshInterval:(display:Off,section:0,value:0),time:(from:'2016-05-18 14:30:55-0600',mode:absolute,to:'2016-05-18 15:20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U82" s="74" t="str">
        <f t="shared" si="20"/>
        <v>N</v>
      </c>
      <c r="V82" s="74">
        <f t="shared" si="21"/>
        <v>1</v>
      </c>
      <c r="W82" s="74">
        <f t="shared" si="22"/>
        <v>23.297499999999999</v>
      </c>
      <c r="X82" s="74">
        <f t="shared" si="23"/>
        <v>1.47E-2</v>
      </c>
      <c r="Y82" s="74">
        <f t="shared" si="24"/>
        <v>23.282799999999998</v>
      </c>
      <c r="Z82" s="75" t="e">
        <f>VLOOKUP(A82,Enforcements!$C$3:$J$48,8,0)</f>
        <v>#N/A</v>
      </c>
      <c r="AA82" s="75" t="e">
        <f>VLOOKUP(A82,Enforcements!$C$3:$J$48,3,0)</f>
        <v>#N/A</v>
      </c>
    </row>
    <row r="83" spans="1:27" s="2" customFormat="1" x14ac:dyDescent="0.25">
      <c r="A83" s="61" t="s">
        <v>387</v>
      </c>
      <c r="B83" s="61">
        <v>4024</v>
      </c>
      <c r="C83" s="61" t="s">
        <v>66</v>
      </c>
      <c r="D83" s="61" t="s">
        <v>205</v>
      </c>
      <c r="E83" s="30">
        <v>42508.577534722222</v>
      </c>
      <c r="F83" s="30">
        <v>42508.578483796293</v>
      </c>
      <c r="G83" s="38">
        <v>1</v>
      </c>
      <c r="H83" s="30" t="s">
        <v>388</v>
      </c>
      <c r="I83" s="30">
        <v>42508.608993055554</v>
      </c>
      <c r="J83" s="61">
        <v>0</v>
      </c>
      <c r="K83" s="61" t="str">
        <f t="shared" si="17"/>
        <v>4023/4024</v>
      </c>
      <c r="L83" s="61" t="str">
        <f>VLOOKUP(A83,'Trips&amp;Operators'!$C$1:$E$9999,3,FALSE)</f>
        <v>JACKSON</v>
      </c>
      <c r="M83" s="12">
        <f t="shared" si="18"/>
        <v>3.050925926072523E-2</v>
      </c>
      <c r="N83" s="13">
        <f t="shared" si="5"/>
        <v>43.933333335444331</v>
      </c>
      <c r="O83" s="13"/>
      <c r="P83" s="13"/>
      <c r="Q83" s="62"/>
      <c r="R83" s="62"/>
      <c r="T83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https://search-rtdc-monitor-bjffxe2xuh6vdkpspy63sjmuny.us-east-1.es.amazonaws.com/_plugin/kibana/#/discover/Steve-Slow-Train-Analysis-(2080s-and-2083s)?_g=(refreshInterval:(display:Off,section:0,value:0),time:(from:'2016-05-18 13:50:39-0600',mode:absolute,to:'2016-05-18 14:37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83" s="74" t="str">
        <f t="shared" si="20"/>
        <v>N</v>
      </c>
      <c r="V83" s="74">
        <f t="shared" si="21"/>
        <v>1</v>
      </c>
      <c r="W83" s="74">
        <f t="shared" si="22"/>
        <v>4.7300000000000002E-2</v>
      </c>
      <c r="X83" s="74">
        <f t="shared" si="23"/>
        <v>23.3323</v>
      </c>
      <c r="Y83" s="74">
        <f t="shared" si="24"/>
        <v>23.285</v>
      </c>
      <c r="Z83" s="75" t="e">
        <f>VLOOKUP(A83,Enforcements!$C$3:$J$48,8,0)</f>
        <v>#N/A</v>
      </c>
      <c r="AA83" s="75" t="e">
        <f>VLOOKUP(A83,Enforcements!$C$3:$J$48,3,0)</f>
        <v>#N/A</v>
      </c>
    </row>
    <row r="84" spans="1:27" s="2" customFormat="1" x14ac:dyDescent="0.25">
      <c r="A84" s="61" t="s">
        <v>389</v>
      </c>
      <c r="B84" s="61">
        <v>4023</v>
      </c>
      <c r="C84" s="61" t="s">
        <v>66</v>
      </c>
      <c r="D84" s="61" t="s">
        <v>229</v>
      </c>
      <c r="E84" s="30">
        <v>42508.617349537039</v>
      </c>
      <c r="F84" s="30">
        <v>42508.618761574071</v>
      </c>
      <c r="G84" s="38">
        <v>2</v>
      </c>
      <c r="H84" s="30" t="s">
        <v>70</v>
      </c>
      <c r="I84" s="30">
        <v>42508.648981481485</v>
      </c>
      <c r="J84" s="61">
        <v>0</v>
      </c>
      <c r="K84" s="61" t="str">
        <f t="shared" si="17"/>
        <v>4023/4024</v>
      </c>
      <c r="L84" s="61" t="str">
        <f>VLOOKUP(A84,'Trips&amp;Operators'!$C$1:$E$9999,3,FALSE)</f>
        <v>JACKSON</v>
      </c>
      <c r="M84" s="12">
        <f t="shared" si="18"/>
        <v>3.0219907413993496E-2</v>
      </c>
      <c r="N84" s="13">
        <f t="shared" si="5"/>
        <v>43.516666676150635</v>
      </c>
      <c r="O84" s="13"/>
      <c r="P84" s="13"/>
      <c r="Q84" s="62"/>
      <c r="R84" s="62"/>
      <c r="T84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https://search-rtdc-monitor-bjffxe2xuh6vdkpspy63sjmuny.us-east-1.es.amazonaws.com/_plugin/kibana/#/discover/Steve-Slow-Train-Analysis-(2080s-and-2083s)?_g=(refreshInterval:(display:Off,section:0,value:0),time:(from:'2016-05-18 14:47:59-0600',mode:absolute,to:'2016-05-18 15:35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84" s="74" t="str">
        <f t="shared" si="20"/>
        <v>N</v>
      </c>
      <c r="V84" s="74">
        <f t="shared" si="21"/>
        <v>1</v>
      </c>
      <c r="W84" s="74">
        <f t="shared" si="22"/>
        <v>23.297000000000001</v>
      </c>
      <c r="X84" s="74">
        <f t="shared" si="23"/>
        <v>1.5599999999999999E-2</v>
      </c>
      <c r="Y84" s="74">
        <f t="shared" si="24"/>
        <v>23.281400000000001</v>
      </c>
      <c r="Z84" s="75" t="e">
        <f>VLOOKUP(A84,Enforcements!$C$3:$J$48,8,0)</f>
        <v>#N/A</v>
      </c>
      <c r="AA84" s="75" t="e">
        <f>VLOOKUP(A84,Enforcements!$C$3:$J$48,3,0)</f>
        <v>#N/A</v>
      </c>
    </row>
    <row r="85" spans="1:27" s="2" customFormat="1" x14ac:dyDescent="0.25">
      <c r="A85" s="61" t="s">
        <v>390</v>
      </c>
      <c r="B85" s="61">
        <v>4025</v>
      </c>
      <c r="C85" s="61" t="s">
        <v>66</v>
      </c>
      <c r="D85" s="61" t="s">
        <v>384</v>
      </c>
      <c r="E85" s="30">
        <v>42508.59233796296</v>
      </c>
      <c r="F85" s="30">
        <v>42508.593576388892</v>
      </c>
      <c r="G85" s="38">
        <v>1</v>
      </c>
      <c r="H85" s="30" t="s">
        <v>68</v>
      </c>
      <c r="I85" s="30">
        <v>42508.618726851855</v>
      </c>
      <c r="J85" s="61">
        <v>0</v>
      </c>
      <c r="K85" s="61" t="str">
        <f t="shared" si="17"/>
        <v>4025/4026</v>
      </c>
      <c r="L85" s="61" t="str">
        <f>VLOOKUP(A85,'Trips&amp;Operators'!$C$1:$E$9999,3,FALSE)</f>
        <v>STEWART</v>
      </c>
      <c r="M85" s="12">
        <f t="shared" si="18"/>
        <v>2.5150462963210884E-2</v>
      </c>
      <c r="N85" s="13">
        <f t="shared" ref="N85:N139" si="25">24*60*SUM($M85:$M85)</f>
        <v>36.216666667023674</v>
      </c>
      <c r="O85" s="13"/>
      <c r="P85" s="13"/>
      <c r="Q85" s="62"/>
      <c r="R85" s="62"/>
      <c r="T85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https://search-rtdc-monitor-bjffxe2xuh6vdkpspy63sjmuny.us-east-1.es.amazonaws.com/_plugin/kibana/#/discover/Steve-Slow-Train-Analysis-(2080s-and-2083s)?_g=(refreshInterval:(display:Off,section:0,value:0),time:(from:'2016-05-18 14:11:58-0600',mode:absolute,to:'2016-05-18 14:51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U85" s="74" t="str">
        <f t="shared" si="20"/>
        <v>N</v>
      </c>
      <c r="V85" s="74">
        <f t="shared" si="21"/>
        <v>1</v>
      </c>
      <c r="W85" s="74">
        <f t="shared" si="22"/>
        <v>4.6199999999999998E-2</v>
      </c>
      <c r="X85" s="74">
        <f t="shared" si="23"/>
        <v>23.329499999999999</v>
      </c>
      <c r="Y85" s="74">
        <f t="shared" si="24"/>
        <v>23.283300000000001</v>
      </c>
      <c r="Z85" s="75" t="e">
        <f>VLOOKUP(A85,Enforcements!$C$3:$J$48,8,0)</f>
        <v>#N/A</v>
      </c>
      <c r="AA85" s="75" t="e">
        <f>VLOOKUP(A85,Enforcements!$C$3:$J$48,3,0)</f>
        <v>#N/A</v>
      </c>
    </row>
    <row r="86" spans="1:27" s="2" customFormat="1" x14ac:dyDescent="0.25">
      <c r="A86" s="61" t="s">
        <v>391</v>
      </c>
      <c r="B86" s="61">
        <v>4026</v>
      </c>
      <c r="C86" s="61" t="s">
        <v>66</v>
      </c>
      <c r="D86" s="61" t="s">
        <v>367</v>
      </c>
      <c r="E86" s="30">
        <v>42508.627164351848</v>
      </c>
      <c r="F86" s="30">
        <v>42508.631620370368</v>
      </c>
      <c r="G86" s="38">
        <v>6</v>
      </c>
      <c r="H86" s="30" t="s">
        <v>392</v>
      </c>
      <c r="I86" s="30">
        <v>42508.65965277778</v>
      </c>
      <c r="J86" s="61">
        <v>1</v>
      </c>
      <c r="K86" s="61" t="str">
        <f t="shared" si="17"/>
        <v>4025/4026</v>
      </c>
      <c r="L86" s="61" t="str">
        <f>VLOOKUP(A86,'Trips&amp;Operators'!$C$1:$E$9999,3,FALSE)</f>
        <v>STEWART</v>
      </c>
      <c r="M86" s="12">
        <f t="shared" si="18"/>
        <v>2.8032407411956228E-2</v>
      </c>
      <c r="N86" s="13">
        <f t="shared" si="25"/>
        <v>40.366666673216969</v>
      </c>
      <c r="O86" s="13"/>
      <c r="P86" s="13"/>
      <c r="Q86" s="62"/>
      <c r="R86" s="62"/>
      <c r="T86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https://search-rtdc-monitor-bjffxe2xuh6vdkpspy63sjmuny.us-east-1.es.amazonaws.com/_plugin/kibana/#/discover/Steve-Slow-Train-Analysis-(2080s-and-2083s)?_g=(refreshInterval:(display:Off,section:0,value:0),time:(from:'2016-05-18 15:02:07-0600',mode:absolute,to:'2016-05-18 15:50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U86" s="74" t="str">
        <f t="shared" si="20"/>
        <v>N</v>
      </c>
      <c r="V86" s="74">
        <f t="shared" si="21"/>
        <v>1</v>
      </c>
      <c r="W86" s="74">
        <f t="shared" si="22"/>
        <v>23.296900000000001</v>
      </c>
      <c r="X86" s="74">
        <f t="shared" si="23"/>
        <v>1.9800000000000002E-2</v>
      </c>
      <c r="Y86" s="74">
        <f t="shared" si="24"/>
        <v>23.277100000000001</v>
      </c>
      <c r="Z86" s="75">
        <f>VLOOKUP(A86,Enforcements!$C$3:$J$48,8,0)</f>
        <v>1</v>
      </c>
      <c r="AA86" s="75" t="str">
        <f>VLOOKUP(A86,Enforcements!$C$3:$J$48,3,0)</f>
        <v>TRACK WARRANT AUTHORITY</v>
      </c>
    </row>
    <row r="87" spans="1:27" s="2" customFormat="1" x14ac:dyDescent="0.25">
      <c r="A87" s="61" t="s">
        <v>393</v>
      </c>
      <c r="B87" s="61">
        <v>4018</v>
      </c>
      <c r="C87" s="61" t="s">
        <v>66</v>
      </c>
      <c r="D87" s="61" t="s">
        <v>144</v>
      </c>
      <c r="E87" s="30">
        <v>42508.597314814811</v>
      </c>
      <c r="F87" s="30">
        <v>42508.598356481481</v>
      </c>
      <c r="G87" s="38">
        <v>1</v>
      </c>
      <c r="H87" s="30" t="s">
        <v>394</v>
      </c>
      <c r="I87" s="30">
        <v>42508.629270833335</v>
      </c>
      <c r="J87" s="61">
        <v>0</v>
      </c>
      <c r="K87" s="61" t="str">
        <f t="shared" si="17"/>
        <v>4017/4018</v>
      </c>
      <c r="L87" s="61" t="str">
        <f>VLOOKUP(A87,'Trips&amp;Operators'!$C$1:$E$9999,3,FALSE)</f>
        <v>RIVERA</v>
      </c>
      <c r="M87" s="12">
        <f t="shared" si="18"/>
        <v>3.0914351853425615E-2</v>
      </c>
      <c r="N87" s="13">
        <f t="shared" si="25"/>
        <v>44.516666668932885</v>
      </c>
      <c r="O87" s="13"/>
      <c r="P87" s="13"/>
      <c r="Q87" s="62"/>
      <c r="R87" s="62"/>
      <c r="T87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https://search-rtdc-monitor-bjffxe2xuh6vdkpspy63sjmuny.us-east-1.es.amazonaws.com/_plugin/kibana/#/discover/Steve-Slow-Train-Analysis-(2080s-and-2083s)?_g=(refreshInterval:(display:Off,section:0,value:0),time:(from:'2016-05-18 14:19:08-0600',mode:absolute,to:'2016-05-18 15:07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U87" s="74" t="str">
        <f t="shared" si="20"/>
        <v>N</v>
      </c>
      <c r="V87" s="74">
        <f t="shared" si="21"/>
        <v>1</v>
      </c>
      <c r="W87" s="74">
        <f t="shared" si="22"/>
        <v>4.7500000000000001E-2</v>
      </c>
      <c r="X87" s="74">
        <f t="shared" si="23"/>
        <v>23.331700000000001</v>
      </c>
      <c r="Y87" s="74">
        <f t="shared" si="24"/>
        <v>23.284200000000002</v>
      </c>
      <c r="Z87" s="75" t="e">
        <f>VLOOKUP(A87,Enforcements!$C$3:$J$48,8,0)</f>
        <v>#N/A</v>
      </c>
      <c r="AA87" s="75" t="e">
        <f>VLOOKUP(A87,Enforcements!$C$3:$J$48,3,0)</f>
        <v>#N/A</v>
      </c>
    </row>
    <row r="88" spans="1:27" s="2" customFormat="1" x14ac:dyDescent="0.25">
      <c r="A88" s="61" t="s">
        <v>395</v>
      </c>
      <c r="B88" s="61">
        <v>4017</v>
      </c>
      <c r="C88" s="61" t="s">
        <v>66</v>
      </c>
      <c r="D88" s="61" t="s">
        <v>193</v>
      </c>
      <c r="E88" s="30">
        <v>42508.639374999999</v>
      </c>
      <c r="F88" s="30">
        <v>42508.640648148146</v>
      </c>
      <c r="G88" s="38">
        <v>1</v>
      </c>
      <c r="H88" s="30" t="s">
        <v>72</v>
      </c>
      <c r="I88" s="30">
        <v>42508.669062499997</v>
      </c>
      <c r="J88" s="61">
        <v>0</v>
      </c>
      <c r="K88" s="61" t="str">
        <f t="shared" si="17"/>
        <v>4017/4018</v>
      </c>
      <c r="L88" s="61" t="str">
        <f>VLOOKUP(A88,'Trips&amp;Operators'!$C$1:$E$9999,3,FALSE)</f>
        <v>RIVERA</v>
      </c>
      <c r="M88" s="12">
        <f t="shared" si="18"/>
        <v>2.8414351851097308E-2</v>
      </c>
      <c r="N88" s="13">
        <f t="shared" si="25"/>
        <v>40.916666665580124</v>
      </c>
      <c r="O88" s="13"/>
      <c r="P88" s="13"/>
      <c r="Q88" s="62"/>
      <c r="R88" s="62"/>
      <c r="T88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https://search-rtdc-monitor-bjffxe2xuh6vdkpspy63sjmuny.us-east-1.es.amazonaws.com/_plugin/kibana/#/discover/Steve-Slow-Train-Analysis-(2080s-and-2083s)?_g=(refreshInterval:(display:Off,section:0,value:0),time:(from:'2016-05-18 15:19:42-0600',mode:absolute,to:'2016-05-18 16:04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U88" s="74" t="str">
        <f t="shared" si="20"/>
        <v>N</v>
      </c>
      <c r="V88" s="74">
        <f t="shared" si="21"/>
        <v>1</v>
      </c>
      <c r="W88" s="74">
        <f t="shared" si="22"/>
        <v>23.2987</v>
      </c>
      <c r="X88" s="74">
        <f t="shared" si="23"/>
        <v>1.49E-2</v>
      </c>
      <c r="Y88" s="74">
        <f t="shared" si="24"/>
        <v>23.283799999999999</v>
      </c>
      <c r="Z88" s="75" t="e">
        <f>VLOOKUP(A88,Enforcements!$C$3:$J$48,8,0)</f>
        <v>#N/A</v>
      </c>
      <c r="AA88" s="75" t="e">
        <f>VLOOKUP(A88,Enforcements!$C$3:$J$48,3,0)</f>
        <v>#N/A</v>
      </c>
    </row>
    <row r="89" spans="1:27" s="2" customFormat="1" x14ac:dyDescent="0.25">
      <c r="A89" s="61" t="s">
        <v>396</v>
      </c>
      <c r="B89" s="61">
        <v>4044</v>
      </c>
      <c r="C89" s="61" t="s">
        <v>66</v>
      </c>
      <c r="D89" s="61" t="s">
        <v>397</v>
      </c>
      <c r="E89" s="30">
        <v>42508.614861111113</v>
      </c>
      <c r="F89" s="30">
        <v>42508.615752314814</v>
      </c>
      <c r="G89" s="38">
        <v>1</v>
      </c>
      <c r="H89" s="30" t="s">
        <v>398</v>
      </c>
      <c r="I89" s="30">
        <v>42508.642465277779</v>
      </c>
      <c r="J89" s="61">
        <v>0</v>
      </c>
      <c r="K89" s="61" t="str">
        <f t="shared" si="17"/>
        <v>4043/4044</v>
      </c>
      <c r="L89" s="61" t="str">
        <f>VLOOKUP(A89,'Trips&amp;Operators'!$C$1:$E$9999,3,FALSE)</f>
        <v>SPECTOR</v>
      </c>
      <c r="M89" s="12">
        <f t="shared" si="18"/>
        <v>2.6712962964666076E-2</v>
      </c>
      <c r="N89" s="13">
        <f t="shared" si="25"/>
        <v>38.466666669119149</v>
      </c>
      <c r="O89" s="13"/>
      <c r="P89" s="13"/>
      <c r="Q89" s="62"/>
      <c r="R89" s="62"/>
      <c r="T89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https://search-rtdc-monitor-bjffxe2xuh6vdkpspy63sjmuny.us-east-1.es.amazonaws.com/_plugin/kibana/#/discover/Steve-Slow-Train-Analysis-(2080s-and-2083s)?_g=(refreshInterval:(display:Off,section:0,value:0),time:(from:'2016-05-18 14:44:24-0600',mode:absolute,to:'2016-05-18 15:26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89" s="74" t="str">
        <f t="shared" si="20"/>
        <v>N</v>
      </c>
      <c r="V89" s="74">
        <f t="shared" si="21"/>
        <v>1</v>
      </c>
      <c r="W89" s="74">
        <f t="shared" si="22"/>
        <v>4.9099999999999998E-2</v>
      </c>
      <c r="X89" s="74">
        <f t="shared" si="23"/>
        <v>23.326799999999999</v>
      </c>
      <c r="Y89" s="74">
        <f t="shared" si="24"/>
        <v>23.277699999999999</v>
      </c>
      <c r="Z89" s="75" t="e">
        <f>VLOOKUP(A89,Enforcements!$C$3:$J$48,8,0)</f>
        <v>#N/A</v>
      </c>
      <c r="AA89" s="75" t="e">
        <f>VLOOKUP(A89,Enforcements!$C$3:$J$48,3,0)</f>
        <v>#N/A</v>
      </c>
    </row>
    <row r="90" spans="1:27" s="2" customFormat="1" x14ac:dyDescent="0.25">
      <c r="A90" s="61" t="s">
        <v>399</v>
      </c>
      <c r="B90" s="61">
        <v>4020</v>
      </c>
      <c r="C90" s="61" t="s">
        <v>66</v>
      </c>
      <c r="D90" s="61" t="s">
        <v>78</v>
      </c>
      <c r="E90" s="30">
        <v>42508.623854166668</v>
      </c>
      <c r="F90" s="30">
        <v>42508.624525462961</v>
      </c>
      <c r="G90" s="38">
        <v>0</v>
      </c>
      <c r="H90" s="30" t="s">
        <v>195</v>
      </c>
      <c r="I90" s="30">
        <v>42508.651307870372</v>
      </c>
      <c r="J90" s="61">
        <v>1</v>
      </c>
      <c r="K90" s="61" t="str">
        <f t="shared" si="17"/>
        <v>4019/4020</v>
      </c>
      <c r="L90" s="61" t="str">
        <f>VLOOKUP(A90,'Trips&amp;Operators'!$C$1:$E$9999,3,FALSE)</f>
        <v>YOUNG</v>
      </c>
      <c r="M90" s="12">
        <f t="shared" si="18"/>
        <v>2.6782407410792075E-2</v>
      </c>
      <c r="N90" s="13">
        <f t="shared" si="25"/>
        <v>38.566666671540588</v>
      </c>
      <c r="O90" s="13"/>
      <c r="P90" s="13"/>
      <c r="Q90" s="62"/>
      <c r="R90" s="62"/>
      <c r="T90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https://search-rtdc-monitor-bjffxe2xuh6vdkpspy63sjmuny.us-east-1.es.amazonaws.com/_plugin/kibana/#/discover/Steve-Slow-Train-Analysis-(2080s-and-2083s)?_g=(refreshInterval:(display:Off,section:0,value:0),time:(from:'2016-05-18 14:57:21-0600',mode:absolute,to:'2016-05-18 15:38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90" s="74" t="str">
        <f t="shared" si="20"/>
        <v>N</v>
      </c>
      <c r="V90" s="74">
        <f t="shared" si="21"/>
        <v>2</v>
      </c>
      <c r="W90" s="74">
        <f t="shared" si="22"/>
        <v>4.4699999999999997E-2</v>
      </c>
      <c r="X90" s="74">
        <f t="shared" si="23"/>
        <v>23.331399999999999</v>
      </c>
      <c r="Y90" s="74">
        <f t="shared" si="24"/>
        <v>23.2867</v>
      </c>
      <c r="Z90" s="75">
        <f>VLOOKUP(A90,Enforcements!$C$3:$J$48,8,0)</f>
        <v>233491</v>
      </c>
      <c r="AA90" s="75" t="str">
        <f>VLOOKUP(A90,Enforcements!$C$3:$J$48,3,0)</f>
        <v>TRACK WARRANT AUTHORITY</v>
      </c>
    </row>
    <row r="91" spans="1:27" s="2" customFormat="1" x14ac:dyDescent="0.25">
      <c r="A91" s="61" t="s">
        <v>400</v>
      </c>
      <c r="B91" s="61">
        <v>4007</v>
      </c>
      <c r="C91" s="61" t="s">
        <v>66</v>
      </c>
      <c r="D91" s="61" t="s">
        <v>144</v>
      </c>
      <c r="E91" s="30">
        <v>42508.634976851848</v>
      </c>
      <c r="F91" s="30">
        <v>42508.635925925926</v>
      </c>
      <c r="G91" s="38">
        <v>1</v>
      </c>
      <c r="H91" s="30" t="s">
        <v>401</v>
      </c>
      <c r="I91" s="30">
        <v>42508.661608796298</v>
      </c>
      <c r="J91" s="61">
        <v>0</v>
      </c>
      <c r="K91" s="61" t="str">
        <f t="shared" si="17"/>
        <v>4007/4008</v>
      </c>
      <c r="L91" s="61" t="str">
        <f>VLOOKUP(A91,'Trips&amp;Operators'!$C$1:$E$9999,3,FALSE)</f>
        <v>YORK</v>
      </c>
      <c r="M91" s="12">
        <f t="shared" si="18"/>
        <v>2.5682870371383615E-2</v>
      </c>
      <c r="N91" s="13">
        <f t="shared" si="25"/>
        <v>36.983333334792405</v>
      </c>
      <c r="O91" s="13"/>
      <c r="P91" s="13"/>
      <c r="Q91" s="62"/>
      <c r="R91" s="62"/>
      <c r="T91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https://search-rtdc-monitor-bjffxe2xuh6vdkpspy63sjmuny.us-east-1.es.amazonaws.com/_plugin/kibana/#/discover/Steve-Slow-Train-Analysis-(2080s-and-2083s)?_g=(refreshInterval:(display:Off,section:0,value:0),time:(from:'2016-05-18 15:13:22-0600',mode:absolute,to:'2016-05-18 15:53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91" s="74" t="str">
        <f t="shared" si="20"/>
        <v>N</v>
      </c>
      <c r="V91" s="74">
        <f t="shared" si="21"/>
        <v>2</v>
      </c>
      <c r="W91" s="74">
        <f t="shared" si="22"/>
        <v>4.7500000000000001E-2</v>
      </c>
      <c r="X91" s="74">
        <f t="shared" si="23"/>
        <v>23.331800000000001</v>
      </c>
      <c r="Y91" s="74">
        <f t="shared" si="24"/>
        <v>23.284300000000002</v>
      </c>
      <c r="Z91" s="75" t="e">
        <f>VLOOKUP(A91,Enforcements!$C$3:$J$48,8,0)</f>
        <v>#N/A</v>
      </c>
      <c r="AA91" s="75" t="e">
        <f>VLOOKUP(A91,Enforcements!$C$3:$J$48,3,0)</f>
        <v>#N/A</v>
      </c>
    </row>
    <row r="92" spans="1:27" s="2" customFormat="1" x14ac:dyDescent="0.25">
      <c r="A92" s="61" t="s">
        <v>402</v>
      </c>
      <c r="B92" s="61">
        <v>4008</v>
      </c>
      <c r="C92" s="61" t="s">
        <v>66</v>
      </c>
      <c r="D92" s="61" t="s">
        <v>83</v>
      </c>
      <c r="E92" s="30">
        <v>42508.671840277777</v>
      </c>
      <c r="F92" s="30">
        <v>42508.672812500001</v>
      </c>
      <c r="G92" s="38">
        <v>1</v>
      </c>
      <c r="H92" s="30" t="s">
        <v>100</v>
      </c>
      <c r="I92" s="30">
        <v>42508.701180555552</v>
      </c>
      <c r="J92" s="61">
        <v>0</v>
      </c>
      <c r="K92" s="61" t="str">
        <f t="shared" si="17"/>
        <v>4007/4008</v>
      </c>
      <c r="L92" s="61" t="str">
        <f>VLOOKUP(A92,'Trips&amp;Operators'!$C$1:$E$9999,3,FALSE)</f>
        <v>YORK</v>
      </c>
      <c r="M92" s="12">
        <f t="shared" si="18"/>
        <v>2.8368055551254656E-2</v>
      </c>
      <c r="N92" s="13">
        <f t="shared" si="25"/>
        <v>40.849999993806705</v>
      </c>
      <c r="O92" s="13"/>
      <c r="P92" s="13"/>
      <c r="Q92" s="62"/>
      <c r="R92" s="62"/>
      <c r="T92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https://search-rtdc-monitor-bjffxe2xuh6vdkpspy63sjmuny.us-east-1.es.amazonaws.com/_plugin/kibana/#/discover/Steve-Slow-Train-Analysis-(2080s-and-2083s)?_g=(refreshInterval:(display:Off,section:0,value:0),time:(from:'2016-05-18 16:06:27-0600',mode:absolute,to:'2016-05-18 16:50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92" s="74" t="str">
        <f t="shared" si="20"/>
        <v>N</v>
      </c>
      <c r="V92" s="74">
        <f t="shared" si="21"/>
        <v>1</v>
      </c>
      <c r="W92" s="74">
        <f t="shared" si="22"/>
        <v>23.3</v>
      </c>
      <c r="X92" s="74">
        <f t="shared" si="23"/>
        <v>1.4999999999999999E-2</v>
      </c>
      <c r="Y92" s="74">
        <f t="shared" si="24"/>
        <v>23.285</v>
      </c>
      <c r="Z92" s="75" t="e">
        <f>VLOOKUP(A92,Enforcements!$C$3:$J$48,8,0)</f>
        <v>#N/A</v>
      </c>
      <c r="AA92" s="75" t="e">
        <f>VLOOKUP(A92,Enforcements!$C$3:$J$48,3,0)</f>
        <v>#N/A</v>
      </c>
    </row>
    <row r="93" spans="1:27" s="2" customFormat="1" x14ac:dyDescent="0.25">
      <c r="A93" s="61" t="s">
        <v>403</v>
      </c>
      <c r="B93" s="61">
        <v>4038</v>
      </c>
      <c r="C93" s="61" t="s">
        <v>66</v>
      </c>
      <c r="D93" s="61" t="s">
        <v>314</v>
      </c>
      <c r="E93" s="30">
        <v>42508.641180555554</v>
      </c>
      <c r="F93" s="30">
        <v>42508.642141203702</v>
      </c>
      <c r="G93" s="38">
        <v>1</v>
      </c>
      <c r="H93" s="30" t="s">
        <v>284</v>
      </c>
      <c r="I93" s="30">
        <v>42508.672372685185</v>
      </c>
      <c r="J93" s="61">
        <v>0</v>
      </c>
      <c r="K93" s="61" t="str">
        <f t="shared" si="17"/>
        <v>4037/4038</v>
      </c>
      <c r="L93" s="61" t="str">
        <f>VLOOKUP(A93,'Trips&amp;Operators'!$C$1:$E$9999,3,FALSE)</f>
        <v>DE LA ROSA</v>
      </c>
      <c r="M93" s="12">
        <f t="shared" si="18"/>
        <v>3.0231481483497191E-2</v>
      </c>
      <c r="N93" s="13">
        <f t="shared" si="25"/>
        <v>43.533333336235955</v>
      </c>
      <c r="O93" s="13"/>
      <c r="P93" s="13"/>
      <c r="Q93" s="62"/>
      <c r="R93" s="62"/>
      <c r="T93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https://search-rtdc-monitor-bjffxe2xuh6vdkpspy63sjmuny.us-east-1.es.amazonaws.com/_plugin/kibana/#/discover/Steve-Slow-Train-Analysis-(2080s-and-2083s)?_g=(refreshInterval:(display:Off,section:0,value:0),time:(from:'2016-05-18 15:22:18-0600',mode:absolute,to:'2016-05-18 16:09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U93" s="74" t="str">
        <f t="shared" si="20"/>
        <v>N</v>
      </c>
      <c r="V93" s="74">
        <f t="shared" si="21"/>
        <v>1</v>
      </c>
      <c r="W93" s="74">
        <f t="shared" si="22"/>
        <v>4.2900000000000001E-2</v>
      </c>
      <c r="X93" s="74">
        <f t="shared" si="23"/>
        <v>23.3291</v>
      </c>
      <c r="Y93" s="74">
        <f t="shared" si="24"/>
        <v>23.286200000000001</v>
      </c>
      <c r="Z93" s="75" t="e">
        <f>VLOOKUP(A93,Enforcements!$C$3:$J$48,8,0)</f>
        <v>#N/A</v>
      </c>
      <c r="AA93" s="75" t="e">
        <f>VLOOKUP(A93,Enforcements!$C$3:$J$48,3,0)</f>
        <v>#N/A</v>
      </c>
    </row>
    <row r="94" spans="1:27" s="2" customFormat="1" x14ac:dyDescent="0.25">
      <c r="A94" s="61" t="s">
        <v>404</v>
      </c>
      <c r="B94" s="61">
        <v>4037</v>
      </c>
      <c r="C94" s="61" t="s">
        <v>66</v>
      </c>
      <c r="D94" s="61" t="s">
        <v>71</v>
      </c>
      <c r="E94" s="30">
        <v>42508.684791666667</v>
      </c>
      <c r="F94" s="30">
        <v>42508.685879629629</v>
      </c>
      <c r="G94" s="38">
        <v>1</v>
      </c>
      <c r="H94" s="30" t="s">
        <v>75</v>
      </c>
      <c r="I94" s="30">
        <v>42508.711134259262</v>
      </c>
      <c r="J94" s="61">
        <v>0</v>
      </c>
      <c r="K94" s="61" t="str">
        <f t="shared" si="17"/>
        <v>4037/4038</v>
      </c>
      <c r="L94" s="61" t="str">
        <f>VLOOKUP(A94,'Trips&amp;Operators'!$C$1:$E$9999,3,FALSE)</f>
        <v>DE LA ROSA</v>
      </c>
      <c r="M94" s="12">
        <f t="shared" si="18"/>
        <v>2.5254629632399883E-2</v>
      </c>
      <c r="N94" s="13">
        <f t="shared" si="25"/>
        <v>36.366666670655832</v>
      </c>
      <c r="O94" s="13"/>
      <c r="P94" s="13"/>
      <c r="Q94" s="62"/>
      <c r="R94" s="62"/>
      <c r="T94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https://search-rtdc-monitor-bjffxe2xuh6vdkpspy63sjmuny.us-east-1.es.amazonaws.com/_plugin/kibana/#/discover/Steve-Slow-Train-Analysis-(2080s-and-2083s)?_g=(refreshInterval:(display:Off,section:0,value:0),time:(from:'2016-05-18 16:25:06-0600',mode:absolute,to:'2016-05-18 17:05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U94" s="74" t="str">
        <f t="shared" si="20"/>
        <v>N</v>
      </c>
      <c r="V94" s="74">
        <f t="shared" si="21"/>
        <v>1</v>
      </c>
      <c r="W94" s="74">
        <f t="shared" si="22"/>
        <v>23.298500000000001</v>
      </c>
      <c r="X94" s="74">
        <f t="shared" si="23"/>
        <v>1.54E-2</v>
      </c>
      <c r="Y94" s="74">
        <f t="shared" si="24"/>
        <v>23.283100000000001</v>
      </c>
      <c r="Z94" s="75" t="e">
        <f>VLOOKUP(A94,Enforcements!$C$3:$J$48,8,0)</f>
        <v>#N/A</v>
      </c>
      <c r="AA94" s="75" t="e">
        <f>VLOOKUP(A94,Enforcements!$C$3:$J$48,3,0)</f>
        <v>#N/A</v>
      </c>
    </row>
    <row r="95" spans="1:27" s="2" customFormat="1" x14ac:dyDescent="0.25">
      <c r="A95" s="61" t="s">
        <v>405</v>
      </c>
      <c r="B95" s="61">
        <v>4024</v>
      </c>
      <c r="C95" s="61" t="s">
        <v>66</v>
      </c>
      <c r="D95" s="61" t="s">
        <v>118</v>
      </c>
      <c r="E95" s="30">
        <v>42508.652627314812</v>
      </c>
      <c r="F95" s="30">
        <v>42508.654710648145</v>
      </c>
      <c r="G95" s="38">
        <v>2</v>
      </c>
      <c r="H95" s="30" t="s">
        <v>398</v>
      </c>
      <c r="I95" s="30">
        <v>42508.68346064815</v>
      </c>
      <c r="J95" s="61">
        <v>0</v>
      </c>
      <c r="K95" s="61" t="str">
        <f t="shared" si="17"/>
        <v>4023/4024</v>
      </c>
      <c r="L95" s="61" t="str">
        <f>VLOOKUP(A95,'Trips&amp;Operators'!$C$1:$E$9999,3,FALSE)</f>
        <v>JACKSON</v>
      </c>
      <c r="M95" s="12">
        <f t="shared" si="18"/>
        <v>2.8750000004947651E-2</v>
      </c>
      <c r="N95" s="13">
        <f t="shared" si="25"/>
        <v>41.400000007124618</v>
      </c>
      <c r="O95" s="13"/>
      <c r="P95" s="13"/>
      <c r="Q95" s="62"/>
      <c r="R95" s="62"/>
      <c r="T95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https://search-rtdc-monitor-bjffxe2xuh6vdkpspy63sjmuny.us-east-1.es.amazonaws.com/_plugin/kibana/#/discover/Steve-Slow-Train-Analysis-(2080s-and-2083s)?_g=(refreshInterval:(display:Off,section:0,value:0),time:(from:'2016-05-18 15:38:47-0600',mode:absolute,to:'2016-05-18 16:25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95" s="74" t="str">
        <f t="shared" si="20"/>
        <v>N</v>
      </c>
      <c r="V95" s="74">
        <f t="shared" si="21"/>
        <v>1</v>
      </c>
      <c r="W95" s="74">
        <f t="shared" si="22"/>
        <v>4.6899999999999997E-2</v>
      </c>
      <c r="X95" s="74">
        <f t="shared" si="23"/>
        <v>23.326799999999999</v>
      </c>
      <c r="Y95" s="74">
        <f t="shared" si="24"/>
        <v>23.279899999999998</v>
      </c>
      <c r="Z95" s="75" t="e">
        <f>VLOOKUP(A95,Enforcements!$C$3:$J$48,8,0)</f>
        <v>#N/A</v>
      </c>
      <c r="AA95" s="75" t="e">
        <f>VLOOKUP(A95,Enforcements!$C$3:$J$48,3,0)</f>
        <v>#N/A</v>
      </c>
    </row>
    <row r="96" spans="1:27" s="2" customFormat="1" x14ac:dyDescent="0.25">
      <c r="A96" s="61" t="s">
        <v>406</v>
      </c>
      <c r="B96" s="61">
        <v>4023</v>
      </c>
      <c r="C96" s="61" t="s">
        <v>66</v>
      </c>
      <c r="D96" s="61" t="s">
        <v>203</v>
      </c>
      <c r="E96" s="30">
        <v>42508.691712962966</v>
      </c>
      <c r="F96" s="30">
        <v>42508.692615740743</v>
      </c>
      <c r="G96" s="38">
        <v>1</v>
      </c>
      <c r="H96" s="30" t="s">
        <v>153</v>
      </c>
      <c r="I96" s="30">
        <v>42508.722245370373</v>
      </c>
      <c r="J96" s="61">
        <v>0</v>
      </c>
      <c r="K96" s="61" t="str">
        <f t="shared" si="17"/>
        <v>4023/4024</v>
      </c>
      <c r="L96" s="61" t="str">
        <f>VLOOKUP(A96,'Trips&amp;Operators'!$C$1:$E$9999,3,FALSE)</f>
        <v>JACKSON</v>
      </c>
      <c r="M96" s="12">
        <f t="shared" si="18"/>
        <v>2.9629629629198462E-2</v>
      </c>
      <c r="N96" s="13">
        <f t="shared" si="25"/>
        <v>42.666666666045785</v>
      </c>
      <c r="O96" s="13"/>
      <c r="P96" s="13"/>
      <c r="Q96" s="62"/>
      <c r="R96" s="62"/>
      <c r="T96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https://search-rtdc-monitor-bjffxe2xuh6vdkpspy63sjmuny.us-east-1.es.amazonaws.com/_plugin/kibana/#/discover/Steve-Slow-Train-Analysis-(2080s-and-2083s)?_g=(refreshInterval:(display:Off,section:0,value:0),time:(from:'2016-05-18 16:35:04-0600',mode:absolute,to:'2016-05-18 17:21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96" s="74" t="str">
        <f t="shared" si="20"/>
        <v>N</v>
      </c>
      <c r="V96" s="74">
        <f t="shared" si="21"/>
        <v>1</v>
      </c>
      <c r="W96" s="74">
        <f t="shared" si="22"/>
        <v>23.296299999999999</v>
      </c>
      <c r="X96" s="74">
        <f t="shared" si="23"/>
        <v>1.6E-2</v>
      </c>
      <c r="Y96" s="74">
        <f t="shared" si="24"/>
        <v>23.2803</v>
      </c>
      <c r="Z96" s="75" t="e">
        <f>VLOOKUP(A96,Enforcements!$C$3:$J$48,8,0)</f>
        <v>#N/A</v>
      </c>
      <c r="AA96" s="75" t="e">
        <f>VLOOKUP(A96,Enforcements!$C$3:$J$48,3,0)</f>
        <v>#N/A</v>
      </c>
    </row>
    <row r="97" spans="1:27" s="2" customFormat="1" x14ac:dyDescent="0.25">
      <c r="A97" s="61" t="s">
        <v>407</v>
      </c>
      <c r="B97" s="61">
        <v>4026</v>
      </c>
      <c r="C97" s="61" t="s">
        <v>66</v>
      </c>
      <c r="D97" s="61" t="s">
        <v>197</v>
      </c>
      <c r="E97" s="30">
        <v>42508.703831018516</v>
      </c>
      <c r="F97" s="30">
        <v>42508.705127314817</v>
      </c>
      <c r="G97" s="38">
        <v>1</v>
      </c>
      <c r="H97" s="30" t="s">
        <v>408</v>
      </c>
      <c r="I97" s="30">
        <v>42508.734155092592</v>
      </c>
      <c r="J97" s="61">
        <v>3</v>
      </c>
      <c r="K97" s="61" t="str">
        <f t="shared" si="17"/>
        <v>4025/4026</v>
      </c>
      <c r="L97" s="61" t="str">
        <f>VLOOKUP(A97,'Trips&amp;Operators'!$C$1:$E$9999,3,FALSE)</f>
        <v>STEWART</v>
      </c>
      <c r="M97" s="12">
        <f t="shared" si="18"/>
        <v>2.9027777774899732E-2</v>
      </c>
      <c r="N97" s="13">
        <f t="shared" si="25"/>
        <v>41.799999995855615</v>
      </c>
      <c r="O97" s="13"/>
      <c r="P97" s="13"/>
      <c r="Q97" s="62"/>
      <c r="R97" s="62"/>
      <c r="T97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https://search-rtdc-monitor-bjffxe2xuh6vdkpspy63sjmuny.us-east-1.es.amazonaws.com/_plugin/kibana/#/discover/Steve-Slow-Train-Analysis-(2080s-and-2083s)?_g=(refreshInterval:(display:Off,section:0,value:0),time:(from:'2016-05-18 16:52:31-0600',mode:absolute,to:'2016-05-18 17:38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U97" s="74" t="str">
        <f t="shared" si="20"/>
        <v>N</v>
      </c>
      <c r="V97" s="74">
        <f t="shared" si="21"/>
        <v>2</v>
      </c>
      <c r="W97" s="74">
        <f t="shared" si="22"/>
        <v>23.299299999999999</v>
      </c>
      <c r="X97" s="74">
        <f t="shared" si="23"/>
        <v>9.6199999999999994E-2</v>
      </c>
      <c r="Y97" s="74">
        <f t="shared" si="24"/>
        <v>23.203099999999999</v>
      </c>
      <c r="Z97" s="75">
        <f>VLOOKUP(A97,Enforcements!$C$3:$J$48,8,0)</f>
        <v>839</v>
      </c>
      <c r="AA97" s="75" t="str">
        <f>VLOOKUP(A97,Enforcements!$C$3:$J$48,3,0)</f>
        <v>TRACK WARRANT AUTHORITY</v>
      </c>
    </row>
    <row r="98" spans="1:27" s="2" customFormat="1" x14ac:dyDescent="0.25">
      <c r="A98" s="61" t="s">
        <v>409</v>
      </c>
      <c r="B98" s="61">
        <v>4018</v>
      </c>
      <c r="C98" s="61" t="s">
        <v>66</v>
      </c>
      <c r="D98" s="61" t="s">
        <v>81</v>
      </c>
      <c r="E98" s="30">
        <v>42508.674189814818</v>
      </c>
      <c r="F98" s="30">
        <v>42508.675138888888</v>
      </c>
      <c r="G98" s="38">
        <v>1</v>
      </c>
      <c r="H98" s="30" t="s">
        <v>284</v>
      </c>
      <c r="I98" s="30">
        <v>42508.703576388885</v>
      </c>
      <c r="J98" s="61">
        <v>0</v>
      </c>
      <c r="K98" s="61" t="str">
        <f t="shared" si="17"/>
        <v>4017/4018</v>
      </c>
      <c r="L98" s="61" t="str">
        <f>VLOOKUP(A98,'Trips&amp;Operators'!$C$1:$E$9999,3,FALSE)</f>
        <v>RIVERA</v>
      </c>
      <c r="M98" s="12">
        <f t="shared" si="18"/>
        <v>2.8437499997380655E-2</v>
      </c>
      <c r="N98" s="13">
        <f t="shared" si="25"/>
        <v>40.949999996228144</v>
      </c>
      <c r="O98" s="13"/>
      <c r="P98" s="13"/>
      <c r="Q98" s="62"/>
      <c r="R98" s="62"/>
      <c r="T98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https://search-rtdc-monitor-bjffxe2xuh6vdkpspy63sjmuny.us-east-1.es.amazonaws.com/_plugin/kibana/#/discover/Steve-Slow-Train-Analysis-(2080s-and-2083s)?_g=(refreshInterval:(display:Off,section:0,value:0),time:(from:'2016-05-18 16:09:50-0600',mode:absolute,to:'2016-05-18 16:54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U98" s="74" t="str">
        <f t="shared" si="20"/>
        <v>N</v>
      </c>
      <c r="V98" s="74">
        <f t="shared" si="21"/>
        <v>1</v>
      </c>
      <c r="W98" s="74">
        <f t="shared" si="22"/>
        <v>4.5499999999999999E-2</v>
      </c>
      <c r="X98" s="74">
        <f t="shared" si="23"/>
        <v>23.3291</v>
      </c>
      <c r="Y98" s="74">
        <f t="shared" si="24"/>
        <v>23.2836</v>
      </c>
      <c r="Z98" s="75" t="e">
        <f>VLOOKUP(A98,Enforcements!$C$3:$J$48,8,0)</f>
        <v>#N/A</v>
      </c>
      <c r="AA98" s="75" t="e">
        <f>VLOOKUP(A98,Enforcements!$C$3:$J$48,3,0)</f>
        <v>#N/A</v>
      </c>
    </row>
    <row r="99" spans="1:27" s="2" customFormat="1" x14ac:dyDescent="0.25">
      <c r="A99" s="61" t="s">
        <v>410</v>
      </c>
      <c r="B99" s="61">
        <v>4017</v>
      </c>
      <c r="C99" s="61" t="s">
        <v>66</v>
      </c>
      <c r="D99" s="61" t="s">
        <v>132</v>
      </c>
      <c r="E99" s="30">
        <v>42508.712939814817</v>
      </c>
      <c r="F99" s="30">
        <v>42508.714097222219</v>
      </c>
      <c r="G99" s="38">
        <v>1</v>
      </c>
      <c r="H99" s="30" t="s">
        <v>105</v>
      </c>
      <c r="I99" s="30">
        <v>42508.744837962964</v>
      </c>
      <c r="J99" s="61">
        <v>0</v>
      </c>
      <c r="K99" s="61" t="str">
        <f t="shared" si="17"/>
        <v>4017/4018</v>
      </c>
      <c r="L99" s="61" t="str">
        <f>VLOOKUP(A99,'Trips&amp;Operators'!$C$1:$E$9999,3,FALSE)</f>
        <v>RIVERA</v>
      </c>
      <c r="M99" s="12">
        <f t="shared" si="18"/>
        <v>3.0740740745386574E-2</v>
      </c>
      <c r="N99" s="13">
        <f t="shared" si="25"/>
        <v>44.266666673356667</v>
      </c>
      <c r="O99" s="13"/>
      <c r="P99" s="13"/>
      <c r="Q99" s="62"/>
      <c r="R99" s="62"/>
      <c r="T99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https://search-rtdc-monitor-bjffxe2xuh6vdkpspy63sjmuny.us-east-1.es.amazonaws.com/_plugin/kibana/#/discover/Steve-Slow-Train-Analysis-(2080s-and-2083s)?_g=(refreshInterval:(display:Off,section:0,value:0),time:(from:'2016-05-18 17:05:38-0600',mode:absolute,to:'2016-05-18 17:53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U99" s="74" t="str">
        <f t="shared" si="20"/>
        <v>N</v>
      </c>
      <c r="V99" s="74">
        <f t="shared" si="21"/>
        <v>1</v>
      </c>
      <c r="W99" s="74">
        <f t="shared" si="22"/>
        <v>23.2973</v>
      </c>
      <c r="X99" s="74">
        <f t="shared" si="23"/>
        <v>1.47E-2</v>
      </c>
      <c r="Y99" s="74">
        <f t="shared" si="24"/>
        <v>23.282599999999999</v>
      </c>
      <c r="Z99" s="75" t="e">
        <f>VLOOKUP(A99,Enforcements!$C$3:$J$48,8,0)</f>
        <v>#N/A</v>
      </c>
      <c r="AA99" s="75" t="e">
        <f>VLOOKUP(A99,Enforcements!$C$3:$J$48,3,0)</f>
        <v>#N/A</v>
      </c>
    </row>
    <row r="100" spans="1:27" s="2" customFormat="1" x14ac:dyDescent="0.25">
      <c r="A100" s="61" t="s">
        <v>411</v>
      </c>
      <c r="B100" s="61">
        <v>4040</v>
      </c>
      <c r="C100" s="61" t="s">
        <v>66</v>
      </c>
      <c r="D100" s="61" t="s">
        <v>412</v>
      </c>
      <c r="E100" s="30">
        <v>42508.686967592592</v>
      </c>
      <c r="F100" s="30">
        <v>42508.688564814816</v>
      </c>
      <c r="G100" s="38">
        <v>2</v>
      </c>
      <c r="H100" s="30" t="s">
        <v>128</v>
      </c>
      <c r="I100" s="30">
        <v>42508.713252314818</v>
      </c>
      <c r="J100" s="61">
        <v>0</v>
      </c>
      <c r="K100" s="61" t="str">
        <f t="shared" si="17"/>
        <v>4039/4040</v>
      </c>
      <c r="L100" s="61" t="str">
        <f>VLOOKUP(A100,'Trips&amp;Operators'!$C$1:$E$9999,3,FALSE)</f>
        <v>YANAI</v>
      </c>
      <c r="M100" s="12">
        <f t="shared" si="18"/>
        <v>2.4687500001164153E-2</v>
      </c>
      <c r="N100" s="13">
        <f t="shared" si="25"/>
        <v>35.550000001676381</v>
      </c>
      <c r="O100" s="13"/>
      <c r="P100" s="13"/>
      <c r="Q100" s="62"/>
      <c r="R100" s="62"/>
      <c r="T100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https://search-rtdc-monitor-bjffxe2xuh6vdkpspy63sjmuny.us-east-1.es.amazonaws.com/_plugin/kibana/#/discover/Steve-Slow-Train-Analysis-(2080s-and-2083s)?_g=(refreshInterval:(display:Off,section:0,value:0),time:(from:'2016-05-18 16:28:14-0600',mode:absolute,to:'2016-05-18 17:08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100" s="74" t="str">
        <f t="shared" si="20"/>
        <v>N</v>
      </c>
      <c r="V100" s="74">
        <f t="shared" si="21"/>
        <v>1</v>
      </c>
      <c r="W100" s="74">
        <f t="shared" si="22"/>
        <v>3.3099999999999997E-2</v>
      </c>
      <c r="X100" s="74">
        <f t="shared" si="23"/>
        <v>23.3306</v>
      </c>
      <c r="Y100" s="74">
        <f t="shared" si="24"/>
        <v>23.297499999999999</v>
      </c>
      <c r="Z100" s="75" t="e">
        <f>VLOOKUP(A100,Enforcements!$C$3:$J$48,8,0)</f>
        <v>#N/A</v>
      </c>
      <c r="AA100" s="75" t="e">
        <f>VLOOKUP(A100,Enforcements!$C$3:$J$48,3,0)</f>
        <v>#N/A</v>
      </c>
    </row>
    <row r="101" spans="1:27" s="2" customFormat="1" x14ac:dyDescent="0.25">
      <c r="A101" s="61" t="s">
        <v>413</v>
      </c>
      <c r="B101" s="61">
        <v>4039</v>
      </c>
      <c r="C101" s="61" t="s">
        <v>66</v>
      </c>
      <c r="D101" s="61" t="s">
        <v>148</v>
      </c>
      <c r="E101" s="30">
        <v>42508.725081018521</v>
      </c>
      <c r="F101" s="30">
        <v>42508.726122685184</v>
      </c>
      <c r="G101" s="38">
        <v>1</v>
      </c>
      <c r="H101" s="30" t="s">
        <v>112</v>
      </c>
      <c r="I101" s="30">
        <v>42508.75271990741</v>
      </c>
      <c r="J101" s="61">
        <v>1</v>
      </c>
      <c r="K101" s="61" t="str">
        <f t="shared" si="17"/>
        <v>4039/4040</v>
      </c>
      <c r="L101" s="61" t="str">
        <f>VLOOKUP(A101,'Trips&amp;Operators'!$C$1:$E$9999,3,FALSE)</f>
        <v>YANAI</v>
      </c>
      <c r="M101" s="12">
        <f t="shared" si="18"/>
        <v>2.6597222225973383E-2</v>
      </c>
      <c r="N101" s="13">
        <f t="shared" si="25"/>
        <v>38.300000005401671</v>
      </c>
      <c r="O101" s="13"/>
      <c r="P101" s="13"/>
      <c r="Q101" s="62"/>
      <c r="R101" s="62"/>
      <c r="T101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https://search-rtdc-monitor-bjffxe2xuh6vdkpspy63sjmuny.us-east-1.es.amazonaws.com/_plugin/kibana/#/discover/Steve-Slow-Train-Analysis-(2080s-and-2083s)?_g=(refreshInterval:(display:Off,section:0,value:0),time:(from:'2016-05-18 17:23:07-0600',mode:absolute,to:'2016-05-18 18:04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101" s="74" t="str">
        <f t="shared" si="20"/>
        <v>N</v>
      </c>
      <c r="V101" s="74">
        <f t="shared" si="21"/>
        <v>1</v>
      </c>
      <c r="W101" s="74">
        <f t="shared" si="22"/>
        <v>23.299600000000002</v>
      </c>
      <c r="X101" s="74">
        <f t="shared" si="23"/>
        <v>1.38E-2</v>
      </c>
      <c r="Y101" s="74">
        <f t="shared" si="24"/>
        <v>23.285800000000002</v>
      </c>
      <c r="Z101" s="75">
        <f>VLOOKUP(A101,Enforcements!$C$3:$J$48,8,0)</f>
        <v>1</v>
      </c>
      <c r="AA101" s="75" t="str">
        <f>VLOOKUP(A101,Enforcements!$C$3:$J$48,3,0)</f>
        <v>TRACK WARRANT AUTHORITY</v>
      </c>
    </row>
    <row r="102" spans="1:27" s="2" customFormat="1" x14ac:dyDescent="0.25">
      <c r="A102" s="61" t="s">
        <v>414</v>
      </c>
      <c r="B102" s="61">
        <v>4020</v>
      </c>
      <c r="C102" s="61" t="s">
        <v>66</v>
      </c>
      <c r="D102" s="61" t="s">
        <v>82</v>
      </c>
      <c r="E102" s="30">
        <v>42508.69703703704</v>
      </c>
      <c r="F102" s="30">
        <v>42508.698020833333</v>
      </c>
      <c r="G102" s="38">
        <v>1</v>
      </c>
      <c r="H102" s="30" t="s">
        <v>415</v>
      </c>
      <c r="I102" s="30">
        <v>42508.725960648146</v>
      </c>
      <c r="J102" s="61">
        <v>0</v>
      </c>
      <c r="K102" s="61" t="str">
        <f t="shared" si="17"/>
        <v>4019/4020</v>
      </c>
      <c r="L102" s="61" t="str">
        <f>VLOOKUP(A102,'Trips&amp;Operators'!$C$1:$E$9999,3,FALSE)</f>
        <v>YOUNG</v>
      </c>
      <c r="M102" s="12">
        <f t="shared" si="18"/>
        <v>2.7939814812270924E-2</v>
      </c>
      <c r="N102" s="13">
        <f t="shared" si="25"/>
        <v>40.233333329670131</v>
      </c>
      <c r="O102" s="13"/>
      <c r="P102" s="13"/>
      <c r="Q102" s="62"/>
      <c r="R102" s="62"/>
      <c r="T102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https://search-rtdc-monitor-bjffxe2xuh6vdkpspy63sjmuny.us-east-1.es.amazonaws.com/_plugin/kibana/#/discover/Steve-Slow-Train-Analysis-(2080s-and-2083s)?_g=(refreshInterval:(display:Off,section:0,value:0),time:(from:'2016-05-18 16:42:44-0600',mode:absolute,to:'2016-05-18 17:26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102" s="74" t="str">
        <f t="shared" si="20"/>
        <v>N</v>
      </c>
      <c r="V102" s="74">
        <f t="shared" si="21"/>
        <v>1</v>
      </c>
      <c r="W102" s="74">
        <f t="shared" si="22"/>
        <v>4.5100000000000001E-2</v>
      </c>
      <c r="X102" s="74">
        <f t="shared" si="23"/>
        <v>23.3322</v>
      </c>
      <c r="Y102" s="74">
        <f t="shared" si="24"/>
        <v>23.287099999999999</v>
      </c>
      <c r="Z102" s="75" t="e">
        <f>VLOOKUP(A102,Enforcements!$C$3:$J$48,8,0)</f>
        <v>#N/A</v>
      </c>
      <c r="AA102" s="75" t="e">
        <f>VLOOKUP(A102,Enforcements!$C$3:$J$48,3,0)</f>
        <v>#N/A</v>
      </c>
    </row>
    <row r="103" spans="1:27" s="2" customFormat="1" x14ac:dyDescent="0.25">
      <c r="A103" s="61" t="s">
        <v>416</v>
      </c>
      <c r="B103" s="61">
        <v>4007</v>
      </c>
      <c r="C103" s="61" t="s">
        <v>66</v>
      </c>
      <c r="D103" s="61" t="s">
        <v>82</v>
      </c>
      <c r="E103" s="30">
        <v>42508.70380787037</v>
      </c>
      <c r="F103" s="30">
        <v>42508.705196759256</v>
      </c>
      <c r="G103" s="38">
        <v>1</v>
      </c>
      <c r="H103" s="30" t="s">
        <v>417</v>
      </c>
      <c r="I103" s="30">
        <v>42508.735277777778</v>
      </c>
      <c r="J103" s="61">
        <v>0</v>
      </c>
      <c r="K103" s="61" t="str">
        <f t="shared" si="17"/>
        <v>4007/4008</v>
      </c>
      <c r="L103" s="61" t="str">
        <f>VLOOKUP(A103,'Trips&amp;Operators'!$C$1:$E$9999,3,FALSE)</f>
        <v>YORK</v>
      </c>
      <c r="M103" s="12">
        <f t="shared" si="18"/>
        <v>3.0081018521741498E-2</v>
      </c>
      <c r="N103" s="13">
        <f t="shared" si="25"/>
        <v>43.316666671307757</v>
      </c>
      <c r="O103" s="13"/>
      <c r="P103" s="13"/>
      <c r="Q103" s="62"/>
      <c r="R103" s="62"/>
      <c r="T103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https://search-rtdc-monitor-bjffxe2xuh6vdkpspy63sjmuny.us-east-1.es.amazonaws.com/_plugin/kibana/#/discover/Steve-Slow-Train-Analysis-(2080s-and-2083s)?_g=(refreshInterval:(display:Off,section:0,value:0),time:(from:'2016-05-18 16:52:29-0600',mode:absolute,to:'2016-05-18 17:39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103" s="74" t="str">
        <f t="shared" si="20"/>
        <v>N</v>
      </c>
      <c r="V103" s="74">
        <f t="shared" si="21"/>
        <v>2</v>
      </c>
      <c r="W103" s="74">
        <f t="shared" si="22"/>
        <v>4.5100000000000001E-2</v>
      </c>
      <c r="X103" s="74">
        <f t="shared" si="23"/>
        <v>23.334399999999999</v>
      </c>
      <c r="Y103" s="74">
        <f t="shared" si="24"/>
        <v>23.289299999999997</v>
      </c>
      <c r="Z103" s="75" t="e">
        <f>VLOOKUP(A103,Enforcements!$C$3:$J$48,8,0)</f>
        <v>#N/A</v>
      </c>
      <c r="AA103" s="75" t="e">
        <f>VLOOKUP(A103,Enforcements!$C$3:$J$48,3,0)</f>
        <v>#N/A</v>
      </c>
    </row>
    <row r="104" spans="1:27" s="2" customFormat="1" x14ac:dyDescent="0.25">
      <c r="A104" s="61" t="s">
        <v>418</v>
      </c>
      <c r="B104" s="61">
        <v>4008</v>
      </c>
      <c r="C104" s="61" t="s">
        <v>66</v>
      </c>
      <c r="D104" s="61" t="s">
        <v>83</v>
      </c>
      <c r="E104" s="30">
        <v>42508.742951388886</v>
      </c>
      <c r="F104" s="30">
        <v>42508.745150462964</v>
      </c>
      <c r="G104" s="38">
        <v>3</v>
      </c>
      <c r="H104" s="30" t="s">
        <v>133</v>
      </c>
      <c r="I104" s="30">
        <v>42508.772175925929</v>
      </c>
      <c r="J104" s="61">
        <v>0</v>
      </c>
      <c r="K104" s="61" t="str">
        <f t="shared" si="17"/>
        <v>4007/4008</v>
      </c>
      <c r="L104" s="61" t="str">
        <f>VLOOKUP(A104,'Trips&amp;Operators'!$C$1:$E$9999,3,FALSE)</f>
        <v>YORK</v>
      </c>
      <c r="M104" s="12">
        <f t="shared" si="18"/>
        <v>2.7025462964957114E-2</v>
      </c>
      <c r="N104" s="13">
        <f t="shared" si="25"/>
        <v>38.916666669538245</v>
      </c>
      <c r="O104" s="13"/>
      <c r="P104" s="13"/>
      <c r="Q104" s="62"/>
      <c r="R104" s="62"/>
      <c r="T104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https://search-rtdc-monitor-bjffxe2xuh6vdkpspy63sjmuny.us-east-1.es.amazonaws.com/_plugin/kibana/#/discover/Steve-Slow-Train-Analysis-(2080s-and-2083s)?_g=(refreshInterval:(display:Off,section:0,value:0),time:(from:'2016-05-18 17:48:51-0600',mode:absolute,to:'2016-05-18 18:32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104" s="74" t="str">
        <f t="shared" si="20"/>
        <v>N</v>
      </c>
      <c r="V104" s="74">
        <f t="shared" si="21"/>
        <v>1</v>
      </c>
      <c r="W104" s="74">
        <f t="shared" si="22"/>
        <v>23.3</v>
      </c>
      <c r="X104" s="74">
        <f t="shared" si="23"/>
        <v>1.2999999999999999E-2</v>
      </c>
      <c r="Y104" s="74">
        <f t="shared" si="24"/>
        <v>23.286999999999999</v>
      </c>
      <c r="Z104" s="75" t="e">
        <f>VLOOKUP(A104,Enforcements!$C$3:$J$48,8,0)</f>
        <v>#N/A</v>
      </c>
      <c r="AA104" s="75" t="e">
        <f>VLOOKUP(A104,Enforcements!$C$3:$J$48,3,0)</f>
        <v>#N/A</v>
      </c>
    </row>
    <row r="105" spans="1:27" s="2" customFormat="1" x14ac:dyDescent="0.25">
      <c r="A105" s="61" t="s">
        <v>419</v>
      </c>
      <c r="B105" s="61">
        <v>4038</v>
      </c>
      <c r="C105" s="61" t="s">
        <v>66</v>
      </c>
      <c r="D105" s="61" t="s">
        <v>155</v>
      </c>
      <c r="E105" s="30">
        <v>42508.713969907411</v>
      </c>
      <c r="F105" s="30">
        <v>42508.715092592596</v>
      </c>
      <c r="G105" s="38">
        <v>1</v>
      </c>
      <c r="H105" s="30" t="s">
        <v>192</v>
      </c>
      <c r="I105" s="30">
        <v>42508.744201388887</v>
      </c>
      <c r="J105" s="61">
        <v>0</v>
      </c>
      <c r="K105" s="61" t="str">
        <f t="shared" si="17"/>
        <v>4037/4038</v>
      </c>
      <c r="L105" s="61" t="str">
        <f>VLOOKUP(A105,'Trips&amp;Operators'!$C$1:$E$9999,3,FALSE)</f>
        <v>BARTLETT</v>
      </c>
      <c r="M105" s="12">
        <f t="shared" si="18"/>
        <v>2.9108796290529426E-2</v>
      </c>
      <c r="N105" s="13">
        <f t="shared" si="25"/>
        <v>41.916666658362374</v>
      </c>
      <c r="O105" s="13"/>
      <c r="P105" s="13"/>
      <c r="Q105" s="62"/>
      <c r="R105" s="62"/>
      <c r="T105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https://search-rtdc-monitor-bjffxe2xuh6vdkpspy63sjmuny.us-east-1.es.amazonaws.com/_plugin/kibana/#/discover/Steve-Slow-Train-Analysis-(2080s-and-2083s)?_g=(refreshInterval:(display:Off,section:0,value:0),time:(from:'2016-05-18 17:07:07-0600',mode:absolute,to:'2016-05-18 17:52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U105" s="74" t="str">
        <f t="shared" si="20"/>
        <v>N</v>
      </c>
      <c r="V105" s="74">
        <f t="shared" si="21"/>
        <v>1</v>
      </c>
      <c r="W105" s="74">
        <f t="shared" si="22"/>
        <v>4.5999999999999999E-2</v>
      </c>
      <c r="X105" s="74">
        <f t="shared" si="23"/>
        <v>23.3293</v>
      </c>
      <c r="Y105" s="74">
        <f t="shared" si="24"/>
        <v>23.283300000000001</v>
      </c>
      <c r="Z105" s="75" t="e">
        <f>VLOOKUP(A105,Enforcements!$C$3:$J$48,8,0)</f>
        <v>#N/A</v>
      </c>
      <c r="AA105" s="75" t="e">
        <f>VLOOKUP(A105,Enforcements!$C$3:$J$48,3,0)</f>
        <v>#N/A</v>
      </c>
    </row>
    <row r="106" spans="1:27" s="2" customFormat="1" x14ac:dyDescent="0.25">
      <c r="A106" s="61" t="s">
        <v>420</v>
      </c>
      <c r="B106" s="61">
        <v>4037</v>
      </c>
      <c r="C106" s="61" t="s">
        <v>66</v>
      </c>
      <c r="D106" s="61" t="s">
        <v>69</v>
      </c>
      <c r="E106" s="30">
        <v>42508.746354166666</v>
      </c>
      <c r="F106" s="30">
        <v>42508.747696759259</v>
      </c>
      <c r="G106" s="38">
        <v>1</v>
      </c>
      <c r="H106" s="30" t="s">
        <v>218</v>
      </c>
      <c r="I106" s="30">
        <v>42508.784189814818</v>
      </c>
      <c r="J106" s="61">
        <v>0</v>
      </c>
      <c r="K106" s="61" t="str">
        <f t="shared" si="17"/>
        <v>4037/4038</v>
      </c>
      <c r="L106" s="61" t="str">
        <f>VLOOKUP(A106,'Trips&amp;Operators'!$C$1:$E$9999,3,FALSE)</f>
        <v>BARTLETT</v>
      </c>
      <c r="M106" s="12">
        <f t="shared" si="18"/>
        <v>3.6493055558821652E-2</v>
      </c>
      <c r="N106" s="13">
        <f t="shared" si="25"/>
        <v>52.550000004703179</v>
      </c>
      <c r="O106" s="13"/>
      <c r="P106" s="13"/>
      <c r="Q106" s="62"/>
      <c r="R106" s="62"/>
      <c r="T106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https://search-rtdc-monitor-bjffxe2xuh6vdkpspy63sjmuny.us-east-1.es.amazonaws.com/_plugin/kibana/#/discover/Steve-Slow-Train-Analysis-(2080s-and-2083s)?_g=(refreshInterval:(display:Off,section:0,value:0),time:(from:'2016-05-18 17:53:45-0600',mode:absolute,to:'2016-05-18 18:50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U106" s="74" t="str">
        <f t="shared" si="20"/>
        <v>N</v>
      </c>
      <c r="V106" s="74">
        <f t="shared" si="21"/>
        <v>1</v>
      </c>
      <c r="W106" s="74">
        <f t="shared" si="22"/>
        <v>23.297799999999999</v>
      </c>
      <c r="X106" s="74">
        <f t="shared" si="23"/>
        <v>1.43E-2</v>
      </c>
      <c r="Y106" s="74">
        <f t="shared" si="24"/>
        <v>23.2835</v>
      </c>
      <c r="Z106" s="75" t="e">
        <f>VLOOKUP(A106,Enforcements!$C$3:$J$48,8,0)</f>
        <v>#N/A</v>
      </c>
      <c r="AA106" s="75" t="e">
        <f>VLOOKUP(A106,Enforcements!$C$3:$J$48,3,0)</f>
        <v>#N/A</v>
      </c>
    </row>
    <row r="107" spans="1:27" s="2" customFormat="1" x14ac:dyDescent="0.25">
      <c r="A107" s="61" t="s">
        <v>421</v>
      </c>
      <c r="B107" s="61">
        <v>4024</v>
      </c>
      <c r="C107" s="61" t="s">
        <v>66</v>
      </c>
      <c r="D107" s="61" t="s">
        <v>144</v>
      </c>
      <c r="E107" s="30">
        <v>42508.72451388889</v>
      </c>
      <c r="F107" s="30">
        <v>42508.725578703707</v>
      </c>
      <c r="G107" s="38">
        <v>1</v>
      </c>
      <c r="H107" s="30" t="s">
        <v>104</v>
      </c>
      <c r="I107" s="30">
        <v>42508.755370370367</v>
      </c>
      <c r="J107" s="61">
        <v>1</v>
      </c>
      <c r="K107" s="61" t="str">
        <f t="shared" si="17"/>
        <v>4023/4024</v>
      </c>
      <c r="L107" s="61" t="str">
        <f>VLOOKUP(A107,'Trips&amp;Operators'!$C$1:$E$9999,3,FALSE)</f>
        <v>JACKSON</v>
      </c>
      <c r="M107" s="12">
        <f t="shared" si="18"/>
        <v>2.979166666045785E-2</v>
      </c>
      <c r="N107" s="13">
        <f t="shared" si="25"/>
        <v>42.899999991059303</v>
      </c>
      <c r="O107" s="13"/>
      <c r="P107" s="13"/>
      <c r="Q107" s="62"/>
      <c r="R107" s="62"/>
      <c r="T107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https://search-rtdc-monitor-bjffxe2xuh6vdkpspy63sjmuny.us-east-1.es.amazonaws.com/_plugin/kibana/#/discover/Steve-Slow-Train-Analysis-(2080s-and-2083s)?_g=(refreshInterval:(display:Off,section:0,value:0),time:(from:'2016-05-18 17:22:18-0600',mode:absolute,to:'2016-05-18 18:08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107" s="74" t="str">
        <f t="shared" si="20"/>
        <v>N</v>
      </c>
      <c r="V107" s="74">
        <f t="shared" si="21"/>
        <v>1</v>
      </c>
      <c r="W107" s="74">
        <f t="shared" si="22"/>
        <v>4.7500000000000001E-2</v>
      </c>
      <c r="X107" s="74">
        <f t="shared" si="23"/>
        <v>23.331499999999998</v>
      </c>
      <c r="Y107" s="74">
        <f t="shared" si="24"/>
        <v>23.283999999999999</v>
      </c>
      <c r="Z107" s="75">
        <f>VLOOKUP(A107,Enforcements!$C$3:$J$48,8,0)</f>
        <v>232107</v>
      </c>
      <c r="AA107" s="75" t="str">
        <f>VLOOKUP(A107,Enforcements!$C$3:$J$48,3,0)</f>
        <v>PERMANENT SPEED RESTRICTION</v>
      </c>
    </row>
    <row r="108" spans="1:27" s="2" customFormat="1" x14ac:dyDescent="0.25">
      <c r="A108" s="61" t="s">
        <v>422</v>
      </c>
      <c r="B108" s="61">
        <v>4023</v>
      </c>
      <c r="C108" s="61" t="s">
        <v>66</v>
      </c>
      <c r="D108" s="61" t="s">
        <v>76</v>
      </c>
      <c r="E108" s="30">
        <v>42508.762372685182</v>
      </c>
      <c r="F108" s="30">
        <v>42508.76353009259</v>
      </c>
      <c r="G108" s="38">
        <v>1</v>
      </c>
      <c r="H108" s="30" t="s">
        <v>320</v>
      </c>
      <c r="I108" s="30">
        <v>42508.795740740738</v>
      </c>
      <c r="J108" s="61">
        <v>0</v>
      </c>
      <c r="K108" s="61" t="str">
        <f t="shared" si="17"/>
        <v>4023/4024</v>
      </c>
      <c r="L108" s="61" t="str">
        <f>VLOOKUP(A108,'Trips&amp;Operators'!$C$1:$E$9999,3,FALSE)</f>
        <v>JACKSON</v>
      </c>
      <c r="M108" s="12">
        <f t="shared" si="18"/>
        <v>3.2210648147156462E-2</v>
      </c>
      <c r="N108" s="13">
        <f t="shared" si="25"/>
        <v>46.383333331905305</v>
      </c>
      <c r="O108" s="13"/>
      <c r="P108" s="13"/>
      <c r="Q108" s="62"/>
      <c r="R108" s="62"/>
      <c r="T108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https://search-rtdc-monitor-bjffxe2xuh6vdkpspy63sjmuny.us-east-1.es.amazonaws.com/_plugin/kibana/#/discover/Steve-Slow-Train-Analysis-(2080s-and-2083s)?_g=(refreshInterval:(display:Off,section:0,value:0),time:(from:'2016-05-18 18:16:49-0600',mode:absolute,to:'2016-05-18 19:06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108" s="74" t="str">
        <f t="shared" si="20"/>
        <v>N</v>
      </c>
      <c r="V108" s="74">
        <f t="shared" si="21"/>
        <v>1</v>
      </c>
      <c r="W108" s="74">
        <f t="shared" si="22"/>
        <v>23.2989</v>
      </c>
      <c r="X108" s="74">
        <f t="shared" si="23"/>
        <v>1.34E-2</v>
      </c>
      <c r="Y108" s="74">
        <f t="shared" si="24"/>
        <v>23.285499999999999</v>
      </c>
      <c r="Z108" s="75" t="e">
        <f>VLOOKUP(A108,Enforcements!$C$3:$J$48,8,0)</f>
        <v>#N/A</v>
      </c>
      <c r="AA108" s="75" t="e">
        <f>VLOOKUP(A108,Enforcements!$C$3:$J$48,3,0)</f>
        <v>#N/A</v>
      </c>
    </row>
    <row r="109" spans="1:27" s="2" customFormat="1" x14ac:dyDescent="0.25">
      <c r="A109" s="61" t="s">
        <v>423</v>
      </c>
      <c r="B109" s="61">
        <v>4044</v>
      </c>
      <c r="C109" s="61" t="s">
        <v>66</v>
      </c>
      <c r="D109" s="61" t="s">
        <v>144</v>
      </c>
      <c r="E109" s="30">
        <v>42508.735185185185</v>
      </c>
      <c r="F109" s="30">
        <v>42508.736921296295</v>
      </c>
      <c r="G109" s="38">
        <v>2</v>
      </c>
      <c r="H109" s="30" t="s">
        <v>204</v>
      </c>
      <c r="I109" s="30">
        <v>42508.764618055553</v>
      </c>
      <c r="J109" s="61">
        <v>0</v>
      </c>
      <c r="K109" s="61" t="str">
        <f t="shared" si="17"/>
        <v>4043/4044</v>
      </c>
      <c r="L109" s="61" t="str">
        <f>VLOOKUP(A109,'Trips&amp;Operators'!$C$1:$E$9999,3,FALSE)</f>
        <v>ADANE</v>
      </c>
      <c r="M109" s="12">
        <f t="shared" si="18"/>
        <v>2.7696759258105885E-2</v>
      </c>
      <c r="N109" s="13">
        <f t="shared" si="25"/>
        <v>39.883333331672475</v>
      </c>
      <c r="O109" s="13"/>
      <c r="P109" s="13"/>
      <c r="Q109" s="62"/>
      <c r="R109" s="62"/>
      <c r="T109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https://search-rtdc-monitor-bjffxe2xuh6vdkpspy63sjmuny.us-east-1.es.amazonaws.com/_plugin/kibana/#/discover/Steve-Slow-Train-Analysis-(2080s-and-2083s)?_g=(refreshInterval:(display:Off,section:0,value:0),time:(from:'2016-05-18 17:37:40-0600',mode:absolute,to:'2016-05-18 18:22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109" s="74" t="str">
        <f t="shared" si="20"/>
        <v>N</v>
      </c>
      <c r="V109" s="74">
        <f t="shared" si="21"/>
        <v>1</v>
      </c>
      <c r="W109" s="74">
        <f t="shared" si="22"/>
        <v>4.7500000000000001E-2</v>
      </c>
      <c r="X109" s="74">
        <f t="shared" si="23"/>
        <v>23.328800000000001</v>
      </c>
      <c r="Y109" s="74">
        <f t="shared" si="24"/>
        <v>23.281300000000002</v>
      </c>
      <c r="Z109" s="75" t="e">
        <f>VLOOKUP(A109,Enforcements!$C$3:$J$48,8,0)</f>
        <v>#N/A</v>
      </c>
      <c r="AA109" s="75" t="e">
        <f>VLOOKUP(A109,Enforcements!$C$3:$J$48,3,0)</f>
        <v>#N/A</v>
      </c>
    </row>
    <row r="110" spans="1:27" s="2" customFormat="1" x14ac:dyDescent="0.25">
      <c r="A110" s="61" t="s">
        <v>424</v>
      </c>
      <c r="B110" s="61">
        <v>4018</v>
      </c>
      <c r="C110" s="61" t="s">
        <v>66</v>
      </c>
      <c r="D110" s="61" t="s">
        <v>369</v>
      </c>
      <c r="E110" s="30">
        <v>42508.746180555558</v>
      </c>
      <c r="F110" s="30">
        <v>42508.747824074075</v>
      </c>
      <c r="G110" s="38">
        <v>2</v>
      </c>
      <c r="H110" s="30" t="s">
        <v>199</v>
      </c>
      <c r="I110" s="30">
        <v>42508.774722222224</v>
      </c>
      <c r="J110" s="61">
        <v>0</v>
      </c>
      <c r="K110" s="61" t="str">
        <f t="shared" si="17"/>
        <v>4017/4018</v>
      </c>
      <c r="L110" s="61" t="str">
        <f>VLOOKUP(A110,'Trips&amp;Operators'!$C$1:$E$9999,3,FALSE)</f>
        <v>COOLAHAN</v>
      </c>
      <c r="M110" s="12">
        <f t="shared" si="18"/>
        <v>2.6898148149484769E-2</v>
      </c>
      <c r="N110" s="13">
        <f t="shared" si="25"/>
        <v>38.733333335258067</v>
      </c>
      <c r="O110" s="13"/>
      <c r="P110" s="13"/>
      <c r="Q110" s="62"/>
      <c r="R110" s="62"/>
      <c r="T110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https://search-rtdc-monitor-bjffxe2xuh6vdkpspy63sjmuny.us-east-1.es.amazonaws.com/_plugin/kibana/#/discover/Steve-Slow-Train-Analysis-(2080s-and-2083s)?_g=(refreshInterval:(display:Off,section:0,value:0),time:(from:'2016-05-18 17:53:30-0600',mode:absolute,to:'2016-05-18 18:36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U110" s="74" t="str">
        <f t="shared" si="20"/>
        <v>N</v>
      </c>
      <c r="V110" s="74">
        <f t="shared" si="21"/>
        <v>2</v>
      </c>
      <c r="W110" s="74">
        <f t="shared" si="22"/>
        <v>4.3999999999999997E-2</v>
      </c>
      <c r="X110" s="74">
        <f t="shared" si="23"/>
        <v>23.333400000000001</v>
      </c>
      <c r="Y110" s="74">
        <f t="shared" si="24"/>
        <v>23.289400000000001</v>
      </c>
      <c r="Z110" s="75" t="e">
        <f>VLOOKUP(A110,Enforcements!$C$3:$J$48,8,0)</f>
        <v>#N/A</v>
      </c>
      <c r="AA110" s="75" t="e">
        <f>VLOOKUP(A110,Enforcements!$C$3:$J$48,3,0)</f>
        <v>#N/A</v>
      </c>
    </row>
    <row r="111" spans="1:27" s="2" customFormat="1" x14ac:dyDescent="0.25">
      <c r="A111" s="61" t="s">
        <v>425</v>
      </c>
      <c r="B111" s="61">
        <v>4017</v>
      </c>
      <c r="C111" s="61" t="s">
        <v>66</v>
      </c>
      <c r="D111" s="61" t="s">
        <v>426</v>
      </c>
      <c r="E111" s="30">
        <v>42508.782384259262</v>
      </c>
      <c r="F111" s="30">
        <v>42508.783622685187</v>
      </c>
      <c r="G111" s="38">
        <v>1</v>
      </c>
      <c r="H111" s="30" t="s">
        <v>427</v>
      </c>
      <c r="I111" s="30">
        <v>42508.815520833334</v>
      </c>
      <c r="J111" s="61">
        <v>1</v>
      </c>
      <c r="K111" s="61" t="str">
        <f t="shared" si="17"/>
        <v>4017/4018</v>
      </c>
      <c r="L111" s="61" t="str">
        <f>VLOOKUP(A111,'Trips&amp;Operators'!$C$1:$E$9999,3,FALSE)</f>
        <v>COOLAHAN</v>
      </c>
      <c r="M111" s="12">
        <f t="shared" si="18"/>
        <v>3.1898148146865424E-2</v>
      </c>
      <c r="N111" s="13">
        <f t="shared" si="25"/>
        <v>45.93333333148621</v>
      </c>
      <c r="O111" s="13"/>
      <c r="P111" s="13"/>
      <c r="Q111" s="62"/>
      <c r="R111" s="62"/>
      <c r="T111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https://search-rtdc-monitor-bjffxe2xuh6vdkpspy63sjmuny.us-east-1.es.amazonaws.com/_plugin/kibana/#/discover/Steve-Slow-Train-Analysis-(2080s-and-2083s)?_g=(refreshInterval:(display:Off,section:0,value:0),time:(from:'2016-05-18 18:45:38-0600',mode:absolute,to:'2016-05-18 19:35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U111" s="74" t="str">
        <f t="shared" si="20"/>
        <v>N</v>
      </c>
      <c r="V111" s="74">
        <f t="shared" si="21"/>
        <v>1</v>
      </c>
      <c r="W111" s="74">
        <f t="shared" si="22"/>
        <v>23.300599999999999</v>
      </c>
      <c r="X111" s="74">
        <f t="shared" si="23"/>
        <v>1.8499999999999999E-2</v>
      </c>
      <c r="Y111" s="74">
        <f t="shared" si="24"/>
        <v>23.2821</v>
      </c>
      <c r="Z111" s="75">
        <f>VLOOKUP(A111,Enforcements!$C$3:$J$48,8,0)</f>
        <v>1</v>
      </c>
      <c r="AA111" s="75" t="str">
        <f>VLOOKUP(A111,Enforcements!$C$3:$J$48,3,0)</f>
        <v>TRACK WARRANT AUTHORITY</v>
      </c>
    </row>
    <row r="112" spans="1:27" s="2" customFormat="1" x14ac:dyDescent="0.25">
      <c r="A112" s="61" t="s">
        <v>428</v>
      </c>
      <c r="B112" s="61">
        <v>4040</v>
      </c>
      <c r="C112" s="61" t="s">
        <v>66</v>
      </c>
      <c r="D112" s="61" t="s">
        <v>81</v>
      </c>
      <c r="E112" s="30">
        <v>42508.757708333331</v>
      </c>
      <c r="F112" s="30">
        <v>42508.759097222224</v>
      </c>
      <c r="G112" s="38">
        <v>2</v>
      </c>
      <c r="H112" s="30" t="s">
        <v>73</v>
      </c>
      <c r="I112" s="30">
        <v>42508.786562499998</v>
      </c>
      <c r="J112" s="61">
        <v>1</v>
      </c>
      <c r="K112" s="61" t="str">
        <f t="shared" si="17"/>
        <v>4039/4040</v>
      </c>
      <c r="L112" s="61" t="str">
        <f>VLOOKUP(A112,'Trips&amp;Operators'!$C$1:$E$9999,3,FALSE)</f>
        <v>GOLIGHTLY</v>
      </c>
      <c r="M112" s="12">
        <f t="shared" si="18"/>
        <v>2.7465277773444541E-2</v>
      </c>
      <c r="N112" s="13">
        <f t="shared" si="25"/>
        <v>39.549999993760139</v>
      </c>
      <c r="O112" s="13"/>
      <c r="P112" s="13"/>
      <c r="Q112" s="62"/>
      <c r="R112" s="62"/>
      <c r="T112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https://search-rtdc-monitor-bjffxe2xuh6vdkpspy63sjmuny.us-east-1.es.amazonaws.com/_plugin/kibana/#/discover/Steve-Slow-Train-Analysis-(2080s-and-2083s)?_g=(refreshInterval:(display:Off,section:0,value:0),time:(from:'2016-05-18 18:10:06-0600',mode:absolute,to:'2016-05-18 18:53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112" s="74" t="str">
        <f t="shared" si="20"/>
        <v>N</v>
      </c>
      <c r="V112" s="74">
        <f t="shared" si="21"/>
        <v>1</v>
      </c>
      <c r="W112" s="74">
        <f t="shared" si="22"/>
        <v>4.5499999999999999E-2</v>
      </c>
      <c r="X112" s="74">
        <f t="shared" si="23"/>
        <v>23.330300000000001</v>
      </c>
      <c r="Y112" s="74">
        <f t="shared" si="24"/>
        <v>23.284800000000001</v>
      </c>
      <c r="Z112" s="75">
        <f>VLOOKUP(A112,Enforcements!$C$3:$J$48,8,0)</f>
        <v>233491</v>
      </c>
      <c r="AA112" s="75" t="str">
        <f>VLOOKUP(A112,Enforcements!$C$3:$J$48,3,0)</f>
        <v>TRACK WARRANT AUTHORITY</v>
      </c>
    </row>
    <row r="113" spans="1:27" s="2" customFormat="1" x14ac:dyDescent="0.25">
      <c r="A113" s="61" t="s">
        <v>429</v>
      </c>
      <c r="B113" s="61">
        <v>4039</v>
      </c>
      <c r="C113" s="61" t="s">
        <v>66</v>
      </c>
      <c r="D113" s="61" t="s">
        <v>149</v>
      </c>
      <c r="E113" s="30">
        <v>42508.791261574072</v>
      </c>
      <c r="F113" s="30">
        <v>42508.792349537034</v>
      </c>
      <c r="G113" s="38">
        <v>1</v>
      </c>
      <c r="H113" s="30" t="s">
        <v>100</v>
      </c>
      <c r="I113" s="30">
        <v>42508.826481481483</v>
      </c>
      <c r="J113" s="61">
        <v>0</v>
      </c>
      <c r="K113" s="61" t="str">
        <f t="shared" si="17"/>
        <v>4039/4040</v>
      </c>
      <c r="L113" s="61" t="str">
        <f>VLOOKUP(A113,'Trips&amp;Operators'!$C$1:$E$9999,3,FALSE)</f>
        <v>GOLIGHTLY</v>
      </c>
      <c r="M113" s="12">
        <f t="shared" si="18"/>
        <v>3.4131944448745344E-2</v>
      </c>
      <c r="N113" s="13">
        <f t="shared" si="25"/>
        <v>49.150000006193295</v>
      </c>
      <c r="O113" s="13"/>
      <c r="P113" s="13"/>
      <c r="Q113" s="62"/>
      <c r="R113" s="62"/>
      <c r="T113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https://search-rtdc-monitor-bjffxe2xuh6vdkpspy63sjmuny.us-east-1.es.amazonaws.com/_plugin/kibana/#/discover/Steve-Slow-Train-Analysis-(2080s-and-2083s)?_g=(refreshInterval:(display:Off,section:0,value:0),time:(from:'2016-05-18 18:58:25-0600',mode:absolute,to:'2016-05-18 19:51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113" s="74" t="str">
        <f t="shared" si="20"/>
        <v>N</v>
      </c>
      <c r="V113" s="74">
        <f t="shared" si="21"/>
        <v>1</v>
      </c>
      <c r="W113" s="74">
        <f t="shared" si="22"/>
        <v>23.299800000000001</v>
      </c>
      <c r="X113" s="74">
        <f t="shared" si="23"/>
        <v>1.4999999999999999E-2</v>
      </c>
      <c r="Y113" s="74">
        <f t="shared" si="24"/>
        <v>23.284800000000001</v>
      </c>
      <c r="Z113" s="75" t="e">
        <f>VLOOKUP(A113,Enforcements!$C$3:$J$48,8,0)</f>
        <v>#N/A</v>
      </c>
      <c r="AA113" s="75" t="e">
        <f>VLOOKUP(A113,Enforcements!$C$3:$J$48,3,0)</f>
        <v>#N/A</v>
      </c>
    </row>
    <row r="114" spans="1:27" s="2" customFormat="1" x14ac:dyDescent="0.25">
      <c r="A114" s="61" t="s">
        <v>430</v>
      </c>
      <c r="B114" s="61">
        <v>4020</v>
      </c>
      <c r="C114" s="61" t="s">
        <v>66</v>
      </c>
      <c r="D114" s="61" t="s">
        <v>118</v>
      </c>
      <c r="E114" s="30">
        <v>42508.770682870374</v>
      </c>
      <c r="F114" s="30">
        <v>42508.771585648145</v>
      </c>
      <c r="G114" s="38">
        <v>1</v>
      </c>
      <c r="H114" s="30" t="s">
        <v>80</v>
      </c>
      <c r="I114" s="30">
        <v>42508.797071759262</v>
      </c>
      <c r="J114" s="61">
        <v>1</v>
      </c>
      <c r="K114" s="61" t="str">
        <f t="shared" si="17"/>
        <v>4019/4020</v>
      </c>
      <c r="L114" s="61" t="str">
        <f>VLOOKUP(A114,'Trips&amp;Operators'!$C$1:$E$9999,3,FALSE)</f>
        <v>NEWELL</v>
      </c>
      <c r="M114" s="12">
        <f t="shared" si="18"/>
        <v>2.5486111117061228E-2</v>
      </c>
      <c r="N114" s="13">
        <f t="shared" si="25"/>
        <v>36.700000008568168</v>
      </c>
      <c r="O114" s="13"/>
      <c r="P114" s="13"/>
      <c r="Q114" s="62"/>
      <c r="R114" s="62"/>
      <c r="T114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https://search-rtdc-monitor-bjffxe2xuh6vdkpspy63sjmuny.us-east-1.es.amazonaws.com/_plugin/kibana/#/discover/Steve-Slow-Train-Analysis-(2080s-and-2083s)?_g=(refreshInterval:(display:Off,section:0,value:0),time:(from:'2016-05-18 18:28:47-0600',mode:absolute,to:'2016-05-18 19:08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114" s="74" t="str">
        <f t="shared" si="20"/>
        <v>N</v>
      </c>
      <c r="V114" s="74">
        <f t="shared" si="21"/>
        <v>1</v>
      </c>
      <c r="W114" s="74">
        <f t="shared" si="22"/>
        <v>4.6899999999999997E-2</v>
      </c>
      <c r="X114" s="74">
        <f t="shared" si="23"/>
        <v>23.3308</v>
      </c>
      <c r="Y114" s="74">
        <f t="shared" si="24"/>
        <v>23.283899999999999</v>
      </c>
      <c r="Z114" s="75">
        <f>VLOOKUP(A114,Enforcements!$C$3:$J$48,8,0)</f>
        <v>224231</v>
      </c>
      <c r="AA114" s="75" t="str">
        <f>VLOOKUP(A114,Enforcements!$C$3:$J$48,3,0)</f>
        <v>SIGNAL</v>
      </c>
    </row>
    <row r="115" spans="1:27" s="2" customFormat="1" x14ac:dyDescent="0.25">
      <c r="A115" s="61" t="s">
        <v>431</v>
      </c>
      <c r="B115" s="61">
        <v>4019</v>
      </c>
      <c r="C115" s="61" t="s">
        <v>66</v>
      </c>
      <c r="D115" s="61" t="s">
        <v>148</v>
      </c>
      <c r="E115" s="30">
        <v>42508.8049537037</v>
      </c>
      <c r="F115" s="30">
        <v>42508.80609953704</v>
      </c>
      <c r="G115" s="38">
        <v>1</v>
      </c>
      <c r="H115" s="30" t="s">
        <v>113</v>
      </c>
      <c r="I115" s="30">
        <v>42508.836458333331</v>
      </c>
      <c r="J115" s="61">
        <v>0</v>
      </c>
      <c r="K115" s="61" t="str">
        <f t="shared" si="17"/>
        <v>4019/4020</v>
      </c>
      <c r="L115" s="61" t="str">
        <f>VLOOKUP(A115,'Trips&amp;Operators'!$C$1:$E$9999,3,FALSE)</f>
        <v>NEWELL</v>
      </c>
      <c r="M115" s="12">
        <f t="shared" si="18"/>
        <v>3.0358796291693579E-2</v>
      </c>
      <c r="N115" s="13">
        <f t="shared" si="25"/>
        <v>43.716666660038754</v>
      </c>
      <c r="O115" s="13"/>
      <c r="P115" s="13"/>
      <c r="Q115" s="62"/>
      <c r="R115" s="62"/>
      <c r="T115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https://search-rtdc-monitor-bjffxe2xuh6vdkpspy63sjmuny.us-east-1.es.amazonaws.com/_plugin/kibana/#/discover/Steve-Slow-Train-Analysis-(2080s-and-2083s)?_g=(refreshInterval:(display:Off,section:0,value:0),time:(from:'2016-05-18 19:18:08-0600',mode:absolute,to:'2016-05-18 20:05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115" s="74" t="str">
        <f t="shared" si="20"/>
        <v>N</v>
      </c>
      <c r="V115" s="74">
        <f t="shared" si="21"/>
        <v>1</v>
      </c>
      <c r="W115" s="74">
        <f t="shared" si="22"/>
        <v>23.299600000000002</v>
      </c>
      <c r="X115" s="74">
        <f t="shared" si="23"/>
        <v>1.5800000000000002E-2</v>
      </c>
      <c r="Y115" s="74">
        <f t="shared" si="24"/>
        <v>23.283800000000003</v>
      </c>
      <c r="Z115" s="75" t="e">
        <f>VLOOKUP(A115,Enforcements!$C$3:$J$48,8,0)</f>
        <v>#N/A</v>
      </c>
      <c r="AA115" s="75" t="e">
        <f>VLOOKUP(A115,Enforcements!$C$3:$J$48,3,0)</f>
        <v>#N/A</v>
      </c>
    </row>
    <row r="116" spans="1:27" s="2" customFormat="1" x14ac:dyDescent="0.25">
      <c r="A116" s="61" t="s">
        <v>432</v>
      </c>
      <c r="B116" s="61">
        <v>4038</v>
      </c>
      <c r="C116" s="61" t="s">
        <v>66</v>
      </c>
      <c r="D116" s="61" t="s">
        <v>84</v>
      </c>
      <c r="E116" s="30">
        <v>42508.785219907404</v>
      </c>
      <c r="F116" s="30">
        <v>42508.786365740743</v>
      </c>
      <c r="G116" s="38">
        <v>1</v>
      </c>
      <c r="H116" s="30" t="s">
        <v>201</v>
      </c>
      <c r="I116" s="30">
        <v>42508.819305555553</v>
      </c>
      <c r="J116" s="61">
        <v>1</v>
      </c>
      <c r="K116" s="61" t="str">
        <f t="shared" si="17"/>
        <v>4037/4038</v>
      </c>
      <c r="L116" s="61" t="str">
        <f>VLOOKUP(A116,'Trips&amp;Operators'!$C$1:$E$9999,3,FALSE)</f>
        <v>BARTLETT</v>
      </c>
      <c r="M116" s="12">
        <f t="shared" si="18"/>
        <v>3.293981480965158E-2</v>
      </c>
      <c r="N116" s="13">
        <f t="shared" si="25"/>
        <v>47.433333325898275</v>
      </c>
      <c r="O116" s="13"/>
      <c r="P116" s="13"/>
      <c r="Q116" s="62"/>
      <c r="R116" s="62"/>
      <c r="T116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https://search-rtdc-monitor-bjffxe2xuh6vdkpspy63sjmuny.us-east-1.es.amazonaws.com/_plugin/kibana/#/discover/Steve-Slow-Train-Analysis-(2080s-and-2083s)?_g=(refreshInterval:(display:Off,section:0,value:0),time:(from:'2016-05-18 18:49:43-0600',mode:absolute,to:'2016-05-18 19:40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U116" s="74" t="str">
        <f t="shared" si="20"/>
        <v>N</v>
      </c>
      <c r="V116" s="74">
        <f t="shared" si="21"/>
        <v>1</v>
      </c>
      <c r="W116" s="74">
        <f t="shared" si="22"/>
        <v>4.53E-2</v>
      </c>
      <c r="X116" s="74">
        <f t="shared" si="23"/>
        <v>23.3278</v>
      </c>
      <c r="Y116" s="74">
        <f t="shared" si="24"/>
        <v>23.282499999999999</v>
      </c>
      <c r="Z116" s="75">
        <f>VLOOKUP(A116,Enforcements!$C$3:$J$48,8,0)</f>
        <v>224231</v>
      </c>
      <c r="AA116" s="75" t="str">
        <f>VLOOKUP(A116,Enforcements!$C$3:$J$48,3,0)</f>
        <v>SIGNAL</v>
      </c>
    </row>
    <row r="117" spans="1:27" s="2" customFormat="1" x14ac:dyDescent="0.25">
      <c r="A117" s="61" t="s">
        <v>433</v>
      </c>
      <c r="B117" s="61">
        <v>4037</v>
      </c>
      <c r="C117" s="61" t="s">
        <v>66</v>
      </c>
      <c r="D117" s="61" t="s">
        <v>197</v>
      </c>
      <c r="E117" s="30">
        <v>42508.823171296295</v>
      </c>
      <c r="F117" s="30">
        <v>42508.824895833335</v>
      </c>
      <c r="G117" s="38">
        <v>2</v>
      </c>
      <c r="H117" s="30" t="s">
        <v>214</v>
      </c>
      <c r="I117" s="30">
        <v>42508.861388888887</v>
      </c>
      <c r="J117" s="61">
        <v>0</v>
      </c>
      <c r="K117" s="61" t="str">
        <f t="shared" si="17"/>
        <v>4037/4038</v>
      </c>
      <c r="L117" s="61" t="str">
        <f>VLOOKUP(A117,'Trips&amp;Operators'!$C$1:$E$9999,3,FALSE)</f>
        <v>BARTLETT</v>
      </c>
      <c r="M117" s="12">
        <f t="shared" si="18"/>
        <v>3.6493055551545694E-2</v>
      </c>
      <c r="N117" s="13">
        <f t="shared" si="25"/>
        <v>52.5499999942258</v>
      </c>
      <c r="O117" s="13"/>
      <c r="P117" s="13"/>
      <c r="Q117" s="62"/>
      <c r="R117" s="62"/>
      <c r="T117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https://search-rtdc-monitor-bjffxe2xuh6vdkpspy63sjmuny.us-east-1.es.amazonaws.com/_plugin/kibana/#/discover/Steve-Slow-Train-Analysis-(2080s-and-2083s)?_g=(refreshInterval:(display:Off,section:0,value:0),time:(from:'2016-05-18 19:44:22-0600',mode:absolute,to:'2016-05-18 20:41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U117" s="74" t="str">
        <f t="shared" si="20"/>
        <v>N</v>
      </c>
      <c r="V117" s="74">
        <f t="shared" si="21"/>
        <v>1</v>
      </c>
      <c r="W117" s="74">
        <f t="shared" si="22"/>
        <v>23.299299999999999</v>
      </c>
      <c r="X117" s="74">
        <f t="shared" si="23"/>
        <v>1.72E-2</v>
      </c>
      <c r="Y117" s="74">
        <f t="shared" si="24"/>
        <v>23.2821</v>
      </c>
      <c r="Z117" s="75" t="e">
        <f>VLOOKUP(A117,Enforcements!$C$3:$J$48,8,0)</f>
        <v>#N/A</v>
      </c>
      <c r="AA117" s="75" t="e">
        <f>VLOOKUP(A117,Enforcements!$C$3:$J$48,3,0)</f>
        <v>#N/A</v>
      </c>
    </row>
    <row r="118" spans="1:27" s="2" customFormat="1" x14ac:dyDescent="0.25">
      <c r="A118" s="61" t="s">
        <v>434</v>
      </c>
      <c r="B118" s="61">
        <v>4044</v>
      </c>
      <c r="C118" s="61" t="s">
        <v>66</v>
      </c>
      <c r="D118" s="61" t="s">
        <v>198</v>
      </c>
      <c r="E118" s="30">
        <v>42508.809571759259</v>
      </c>
      <c r="F118" s="30">
        <v>42508.810474537036</v>
      </c>
      <c r="G118" s="38">
        <v>1</v>
      </c>
      <c r="H118" s="30" t="s">
        <v>435</v>
      </c>
      <c r="I118" s="30">
        <v>42508.837893518517</v>
      </c>
      <c r="J118" s="61">
        <v>0</v>
      </c>
      <c r="K118" s="61" t="str">
        <f t="shared" si="17"/>
        <v>4043/4044</v>
      </c>
      <c r="L118" s="61" t="str">
        <f>VLOOKUP(A118,'Trips&amp;Operators'!$C$1:$E$9999,3,FALSE)</f>
        <v>ADANE</v>
      </c>
      <c r="M118" s="12">
        <f t="shared" si="18"/>
        <v>2.7418981480877846E-2</v>
      </c>
      <c r="N118" s="13">
        <f t="shared" si="25"/>
        <v>39.483333332464099</v>
      </c>
      <c r="O118" s="13"/>
      <c r="P118" s="13"/>
      <c r="Q118" s="62"/>
      <c r="R118" s="62"/>
      <c r="T118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https://search-rtdc-monitor-bjffxe2xuh6vdkpspy63sjmuny.us-east-1.es.amazonaws.com/_plugin/kibana/#/discover/Steve-Slow-Train-Analysis-(2080s-and-2083s)?_g=(refreshInterval:(display:Off,section:0,value:0),time:(from:'2016-05-18 19:24:47-0600',mode:absolute,to:'2016-05-18 20:07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118" s="74" t="str">
        <f t="shared" si="20"/>
        <v>N</v>
      </c>
      <c r="V118" s="74">
        <f t="shared" si="21"/>
        <v>1</v>
      </c>
      <c r="W118" s="74">
        <f t="shared" si="22"/>
        <v>4.7800000000000002E-2</v>
      </c>
      <c r="X118" s="74">
        <f t="shared" si="23"/>
        <v>23.328700000000001</v>
      </c>
      <c r="Y118" s="74">
        <f t="shared" si="24"/>
        <v>23.280900000000003</v>
      </c>
      <c r="Z118" s="75" t="e">
        <f>VLOOKUP(A118,Enforcements!$C$3:$J$48,8,0)</f>
        <v>#N/A</v>
      </c>
      <c r="AA118" s="75" t="e">
        <f>VLOOKUP(A118,Enforcements!$C$3:$J$48,3,0)</f>
        <v>#N/A</v>
      </c>
    </row>
    <row r="119" spans="1:27" s="2" customFormat="1" x14ac:dyDescent="0.25">
      <c r="A119" s="61" t="s">
        <v>436</v>
      </c>
      <c r="B119" s="61">
        <v>4043</v>
      </c>
      <c r="C119" s="61" t="s">
        <v>66</v>
      </c>
      <c r="D119" s="61" t="s">
        <v>89</v>
      </c>
      <c r="E119" s="30">
        <v>42508.84747685185</v>
      </c>
      <c r="F119" s="30">
        <v>42508.848877314813</v>
      </c>
      <c r="G119" s="38">
        <v>2</v>
      </c>
      <c r="H119" s="30" t="s">
        <v>194</v>
      </c>
      <c r="I119" s="30">
        <v>42508.880358796298</v>
      </c>
      <c r="J119" s="61">
        <v>1</v>
      </c>
      <c r="K119" s="61" t="str">
        <f t="shared" si="17"/>
        <v>4043/4044</v>
      </c>
      <c r="L119" s="61" t="str">
        <f>VLOOKUP(A119,'Trips&amp;Operators'!$C$1:$E$9999,3,FALSE)</f>
        <v>ADANE</v>
      </c>
      <c r="M119" s="12">
        <f t="shared" si="18"/>
        <v>3.1481481484661344E-2</v>
      </c>
      <c r="N119" s="13">
        <f t="shared" si="25"/>
        <v>45.333333337912336</v>
      </c>
      <c r="O119" s="13"/>
      <c r="P119" s="13"/>
      <c r="Q119" s="62"/>
      <c r="R119" s="62"/>
      <c r="T119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https://search-rtdc-monitor-bjffxe2xuh6vdkpspy63sjmuny.us-east-1.es.amazonaws.com/_plugin/kibana/#/discover/Steve-Slow-Train-Analysis-(2080s-and-2083s)?_g=(refreshInterval:(display:Off,section:0,value:0),time:(from:'2016-05-18 20:19:22-0600',mode:absolute,to:'2016-05-18 21:08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119" s="74" t="str">
        <f t="shared" si="20"/>
        <v>N</v>
      </c>
      <c r="V119" s="74">
        <f t="shared" si="21"/>
        <v>1</v>
      </c>
      <c r="W119" s="74">
        <f t="shared" si="22"/>
        <v>23.299399999999999</v>
      </c>
      <c r="X119" s="74">
        <f t="shared" si="23"/>
        <v>1.6299999999999999E-2</v>
      </c>
      <c r="Y119" s="74">
        <f t="shared" si="24"/>
        <v>23.283099999999997</v>
      </c>
      <c r="Z119" s="75">
        <f>VLOOKUP(A119,Enforcements!$C$3:$J$48,8,0)</f>
        <v>58904</v>
      </c>
      <c r="AA119" s="75" t="str">
        <f>VLOOKUP(A119,Enforcements!$C$3:$J$48,3,0)</f>
        <v>GRADE CROSSING</v>
      </c>
    </row>
    <row r="120" spans="1:27" s="2" customFormat="1" x14ac:dyDescent="0.25">
      <c r="A120" s="61" t="s">
        <v>437</v>
      </c>
      <c r="B120" s="61">
        <v>4040</v>
      </c>
      <c r="C120" s="61" t="s">
        <v>66</v>
      </c>
      <c r="D120" s="61" t="s">
        <v>88</v>
      </c>
      <c r="E120" s="30">
        <v>42508.828738425924</v>
      </c>
      <c r="F120" s="30">
        <v>42508.829618055555</v>
      </c>
      <c r="G120" s="38">
        <v>1</v>
      </c>
      <c r="H120" s="30" t="s">
        <v>104</v>
      </c>
      <c r="I120" s="30">
        <v>42508.858171296299</v>
      </c>
      <c r="J120" s="61">
        <v>0</v>
      </c>
      <c r="K120" s="61" t="str">
        <f t="shared" si="17"/>
        <v>4039/4040</v>
      </c>
      <c r="L120" s="61" t="str">
        <f>VLOOKUP(A120,'Trips&amp;Operators'!$C$1:$E$9999,3,FALSE)</f>
        <v>GOLIGHTLY</v>
      </c>
      <c r="M120" s="12">
        <f t="shared" si="18"/>
        <v>2.8553240743349306E-2</v>
      </c>
      <c r="N120" s="13">
        <f t="shared" si="25"/>
        <v>41.116666670423001</v>
      </c>
      <c r="O120" s="13"/>
      <c r="P120" s="13"/>
      <c r="Q120" s="62"/>
      <c r="R120" s="62"/>
      <c r="T120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https://search-rtdc-monitor-bjffxe2xuh6vdkpspy63sjmuny.us-east-1.es.amazonaws.com/_plugin/kibana/#/discover/Steve-Slow-Train-Analysis-(2080s-and-2083s)?_g=(refreshInterval:(display:Off,section:0,value:0),time:(from:'2016-05-18 19:52:23-0600',mode:absolute,to:'2016-05-18 20:36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120" s="74" t="str">
        <f t="shared" si="20"/>
        <v>N</v>
      </c>
      <c r="V120" s="74">
        <f t="shared" si="21"/>
        <v>1</v>
      </c>
      <c r="W120" s="74">
        <f t="shared" si="22"/>
        <v>4.4600000000000001E-2</v>
      </c>
      <c r="X120" s="74">
        <f t="shared" si="23"/>
        <v>23.331499999999998</v>
      </c>
      <c r="Y120" s="74">
        <f t="shared" si="24"/>
        <v>23.286899999999999</v>
      </c>
      <c r="Z120" s="75" t="e">
        <f>VLOOKUP(A120,Enforcements!$C$3:$J$48,8,0)</f>
        <v>#N/A</v>
      </c>
      <c r="AA120" s="75" t="e">
        <f>VLOOKUP(A120,Enforcements!$C$3:$J$48,3,0)</f>
        <v>#N/A</v>
      </c>
    </row>
    <row r="121" spans="1:27" s="2" customFormat="1" x14ac:dyDescent="0.25">
      <c r="A121" s="61" t="s">
        <v>438</v>
      </c>
      <c r="B121" s="61">
        <v>4039</v>
      </c>
      <c r="C121" s="61" t="s">
        <v>66</v>
      </c>
      <c r="D121" s="61" t="s">
        <v>193</v>
      </c>
      <c r="E121" s="30">
        <v>42508.863958333335</v>
      </c>
      <c r="F121" s="30">
        <v>42508.864918981482</v>
      </c>
      <c r="G121" s="38">
        <v>1</v>
      </c>
      <c r="H121" s="30" t="s">
        <v>439</v>
      </c>
      <c r="I121" s="30">
        <v>42508.903541666667</v>
      </c>
      <c r="J121" s="61">
        <v>0</v>
      </c>
      <c r="K121" s="61" t="str">
        <f t="shared" si="17"/>
        <v>4039/4040</v>
      </c>
      <c r="L121" s="61" t="str">
        <f>VLOOKUP(A121,'Trips&amp;Operators'!$C$1:$E$9999,3,FALSE)</f>
        <v>GOLIGHTLY</v>
      </c>
      <c r="M121" s="12">
        <f t="shared" si="18"/>
        <v>3.8622685184236616E-2</v>
      </c>
      <c r="N121" s="13">
        <f t="shared" si="25"/>
        <v>55.616666665300727</v>
      </c>
      <c r="O121" s="13"/>
      <c r="P121" s="13"/>
      <c r="Q121" s="62"/>
      <c r="R121" s="62"/>
      <c r="T121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https://search-rtdc-monitor-bjffxe2xuh6vdkpspy63sjmuny.us-east-1.es.amazonaws.com/_plugin/kibana/#/discover/Steve-Slow-Train-Analysis-(2080s-and-2083s)?_g=(refreshInterval:(display:Off,section:0,value:0),time:(from:'2016-05-18 20:43:06-0600',mode:absolute,to:'2016-05-18 21:42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121" s="74" t="str">
        <f t="shared" si="20"/>
        <v>N</v>
      </c>
      <c r="V121" s="74">
        <f t="shared" si="21"/>
        <v>1</v>
      </c>
      <c r="W121" s="74">
        <f t="shared" si="22"/>
        <v>23.2987</v>
      </c>
      <c r="X121" s="74">
        <f t="shared" si="23"/>
        <v>1.29E-2</v>
      </c>
      <c r="Y121" s="74">
        <f t="shared" si="24"/>
        <v>23.285800000000002</v>
      </c>
      <c r="Z121" s="75" t="e">
        <f>VLOOKUP(A121,Enforcements!$C$3:$J$48,8,0)</f>
        <v>#N/A</v>
      </c>
      <c r="AA121" s="75" t="e">
        <f>VLOOKUP(A121,Enforcements!$C$3:$J$48,3,0)</f>
        <v>#N/A</v>
      </c>
    </row>
    <row r="122" spans="1:27" s="2" customFormat="1" x14ac:dyDescent="0.25">
      <c r="A122" s="61" t="s">
        <v>440</v>
      </c>
      <c r="B122" s="61">
        <v>4020</v>
      </c>
      <c r="C122" s="61" t="s">
        <v>66</v>
      </c>
      <c r="D122" s="61" t="s">
        <v>78</v>
      </c>
      <c r="E122" s="30">
        <v>42508.84815972222</v>
      </c>
      <c r="F122" s="30">
        <v>42508.849537037036</v>
      </c>
      <c r="G122" s="38">
        <v>1</v>
      </c>
      <c r="H122" s="30" t="s">
        <v>87</v>
      </c>
      <c r="I122" s="30">
        <v>42508.879340277781</v>
      </c>
      <c r="J122" s="61">
        <v>0</v>
      </c>
      <c r="K122" s="61" t="str">
        <f t="shared" si="17"/>
        <v>4019/4020</v>
      </c>
      <c r="L122" s="61" t="str">
        <f>VLOOKUP(A122,'Trips&amp;Operators'!$C$1:$E$9999,3,FALSE)</f>
        <v>NEWELL</v>
      </c>
      <c r="M122" s="12">
        <f t="shared" si="18"/>
        <v>2.980324074451346E-2</v>
      </c>
      <c r="N122" s="13">
        <f t="shared" si="25"/>
        <v>42.916666672099382</v>
      </c>
      <c r="O122" s="13"/>
      <c r="P122" s="13"/>
      <c r="Q122" s="62"/>
      <c r="R122" s="62"/>
      <c r="T122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https://search-rtdc-monitor-bjffxe2xuh6vdkpspy63sjmuny.us-east-1.es.amazonaws.com/_plugin/kibana/#/discover/Steve-Slow-Train-Analysis-(2080s-and-2083s)?_g=(refreshInterval:(display:Off,section:0,value:0),time:(from:'2016-05-18 20:20:21-0600',mode:absolute,to:'2016-05-18 21:07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122" s="74" t="str">
        <f t="shared" si="20"/>
        <v>N</v>
      </c>
      <c r="V122" s="74">
        <f t="shared" si="21"/>
        <v>1</v>
      </c>
      <c r="W122" s="74">
        <f t="shared" si="22"/>
        <v>4.4699999999999997E-2</v>
      </c>
      <c r="X122" s="74">
        <f t="shared" si="23"/>
        <v>23.331199999999999</v>
      </c>
      <c r="Y122" s="74">
        <f t="shared" si="24"/>
        <v>23.2865</v>
      </c>
      <c r="Z122" s="75" t="e">
        <f>VLOOKUP(A122,Enforcements!$C$3:$J$48,8,0)</f>
        <v>#N/A</v>
      </c>
      <c r="AA122" s="75" t="e">
        <f>VLOOKUP(A122,Enforcements!$C$3:$J$48,3,0)</f>
        <v>#N/A</v>
      </c>
    </row>
    <row r="123" spans="1:27" s="2" customFormat="1" x14ac:dyDescent="0.25">
      <c r="A123" s="61" t="s">
        <v>441</v>
      </c>
      <c r="B123" s="61">
        <v>4019</v>
      </c>
      <c r="C123" s="61" t="s">
        <v>66</v>
      </c>
      <c r="D123" s="61" t="s">
        <v>74</v>
      </c>
      <c r="E123" s="30">
        <v>42508.888078703705</v>
      </c>
      <c r="F123" s="30">
        <v>42508.889282407406</v>
      </c>
      <c r="G123" s="38">
        <v>1</v>
      </c>
      <c r="H123" s="30" t="s">
        <v>218</v>
      </c>
      <c r="I123" s="30">
        <v>42508.924479166664</v>
      </c>
      <c r="J123" s="61">
        <v>0</v>
      </c>
      <c r="K123" s="61" t="str">
        <f t="shared" si="17"/>
        <v>4019/4020</v>
      </c>
      <c r="L123" s="61" t="str">
        <f>VLOOKUP(A123,'Trips&amp;Operators'!$C$1:$E$9999,3,FALSE)</f>
        <v>NEWELL</v>
      </c>
      <c r="M123" s="12">
        <f t="shared" si="18"/>
        <v>3.5196759257814847E-2</v>
      </c>
      <c r="N123" s="13">
        <f t="shared" si="25"/>
        <v>50.68333333125338</v>
      </c>
      <c r="O123" s="13"/>
      <c r="P123" s="13"/>
      <c r="Q123" s="62"/>
      <c r="R123" s="62"/>
      <c r="T123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https://search-rtdc-monitor-bjffxe2xuh6vdkpspy63sjmuny.us-east-1.es.amazonaws.com/_plugin/kibana/#/discover/Steve-Slow-Train-Analysis-(2080s-and-2083s)?_g=(refreshInterval:(display:Off,section:0,value:0),time:(from:'2016-05-18 21:17:50-0600',mode:absolute,to:'2016-05-18 22:12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123" s="74" t="str">
        <f t="shared" si="20"/>
        <v>N</v>
      </c>
      <c r="V123" s="74">
        <f t="shared" si="21"/>
        <v>1</v>
      </c>
      <c r="W123" s="74">
        <f t="shared" si="22"/>
        <v>23.299099999999999</v>
      </c>
      <c r="X123" s="74">
        <f t="shared" si="23"/>
        <v>1.43E-2</v>
      </c>
      <c r="Y123" s="74">
        <f t="shared" si="24"/>
        <v>23.284800000000001</v>
      </c>
      <c r="Z123" s="75" t="e">
        <f>VLOOKUP(A123,Enforcements!$C$3:$J$48,8,0)</f>
        <v>#N/A</v>
      </c>
      <c r="AA123" s="75" t="e">
        <f>VLOOKUP(A123,Enforcements!$C$3:$J$48,3,0)</f>
        <v>#N/A</v>
      </c>
    </row>
    <row r="124" spans="1:27" s="2" customFormat="1" x14ac:dyDescent="0.25">
      <c r="A124" s="61" t="s">
        <v>442</v>
      </c>
      <c r="B124" s="61">
        <v>4038</v>
      </c>
      <c r="C124" s="61" t="s">
        <v>66</v>
      </c>
      <c r="D124" s="61" t="s">
        <v>205</v>
      </c>
      <c r="E124" s="30">
        <v>42508.864039351851</v>
      </c>
      <c r="F124" s="30">
        <v>42508.865069444444</v>
      </c>
      <c r="G124" s="38">
        <v>1</v>
      </c>
      <c r="H124" s="30" t="s">
        <v>128</v>
      </c>
      <c r="I124" s="30">
        <v>42508.904930555553</v>
      </c>
      <c r="J124" s="61">
        <v>0</v>
      </c>
      <c r="K124" s="61" t="str">
        <f t="shared" si="17"/>
        <v>4037/4038</v>
      </c>
      <c r="L124" s="61" t="str">
        <f>VLOOKUP(A124,'Trips&amp;Operators'!$C$1:$E$9999,3,FALSE)</f>
        <v>BARTLETT</v>
      </c>
      <c r="M124" s="12">
        <f t="shared" si="18"/>
        <v>3.9861111108621117E-2</v>
      </c>
      <c r="N124" s="13">
        <f t="shared" si="25"/>
        <v>57.399999996414408</v>
      </c>
      <c r="O124" s="13"/>
      <c r="P124" s="13"/>
      <c r="Q124" s="62"/>
      <c r="R124" s="62"/>
      <c r="T124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https://search-rtdc-monitor-bjffxe2xuh6vdkpspy63sjmuny.us-east-1.es.amazonaws.com/_plugin/kibana/#/discover/Steve-Slow-Train-Analysis-(2080s-and-2083s)?_g=(refreshInterval:(display:Off,section:0,value:0),time:(from:'2016-05-18 20:43:13-0600',mode:absolute,to:'2016-05-18 21:44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U124" s="74" t="str">
        <f t="shared" si="20"/>
        <v>N</v>
      </c>
      <c r="V124" s="74">
        <f t="shared" si="21"/>
        <v>1</v>
      </c>
      <c r="W124" s="74">
        <f t="shared" si="22"/>
        <v>4.7300000000000002E-2</v>
      </c>
      <c r="X124" s="74">
        <f t="shared" si="23"/>
        <v>23.3306</v>
      </c>
      <c r="Y124" s="74">
        <f t="shared" si="24"/>
        <v>23.283300000000001</v>
      </c>
      <c r="Z124" s="75" t="e">
        <f>VLOOKUP(A124,Enforcements!$C$3:$J$48,8,0)</f>
        <v>#N/A</v>
      </c>
      <c r="AA124" s="75" t="e">
        <f>VLOOKUP(A124,Enforcements!$C$3:$J$48,3,0)</f>
        <v>#N/A</v>
      </c>
    </row>
    <row r="125" spans="1:27" s="2" customFormat="1" x14ac:dyDescent="0.25">
      <c r="A125" s="61" t="s">
        <v>443</v>
      </c>
      <c r="B125" s="61">
        <v>4037</v>
      </c>
      <c r="C125" s="61" t="s">
        <v>66</v>
      </c>
      <c r="D125" s="61" t="s">
        <v>148</v>
      </c>
      <c r="E125" s="30">
        <v>42508.910671296297</v>
      </c>
      <c r="F125" s="30">
        <v>42508.911574074074</v>
      </c>
      <c r="G125" s="38">
        <v>1</v>
      </c>
      <c r="H125" s="30" t="s">
        <v>211</v>
      </c>
      <c r="I125" s="30">
        <v>42508.944513888891</v>
      </c>
      <c r="J125" s="61">
        <v>1</v>
      </c>
      <c r="K125" s="61" t="str">
        <f t="shared" si="17"/>
        <v>4037/4038</v>
      </c>
      <c r="L125" s="61" t="str">
        <f>VLOOKUP(A125,'Trips&amp;Operators'!$C$1:$E$9999,3,FALSE)</f>
        <v>BARTLETT</v>
      </c>
      <c r="M125" s="12">
        <f t="shared" si="18"/>
        <v>3.2939814816927537E-2</v>
      </c>
      <c r="N125" s="13">
        <f t="shared" si="25"/>
        <v>47.433333336375654</v>
      </c>
      <c r="O125" s="13"/>
      <c r="P125" s="13"/>
      <c r="Q125" s="62"/>
      <c r="R125" s="62"/>
      <c r="T125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https://search-rtdc-monitor-bjffxe2xuh6vdkpspy63sjmuny.us-east-1.es.amazonaws.com/_plugin/kibana/#/discover/Steve-Slow-Train-Analysis-(2080s-and-2083s)?_g=(refreshInterval:(display:Off,section:0,value:0),time:(from:'2016-05-18 21:50:22-0600',mode:absolute,to:'2016-05-18 22:41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U125" s="74" t="str">
        <f t="shared" si="20"/>
        <v>N</v>
      </c>
      <c r="V125" s="74">
        <f t="shared" si="21"/>
        <v>1</v>
      </c>
      <c r="W125" s="74">
        <f t="shared" si="22"/>
        <v>23.299600000000002</v>
      </c>
      <c r="X125" s="74">
        <f t="shared" si="23"/>
        <v>1.8700000000000001E-2</v>
      </c>
      <c r="Y125" s="74">
        <f t="shared" si="24"/>
        <v>23.280900000000003</v>
      </c>
      <c r="Z125" s="75">
        <f>VLOOKUP(A125,Enforcements!$C$3:$J$48,8,0)</f>
        <v>1</v>
      </c>
      <c r="AA125" s="75" t="str">
        <f>VLOOKUP(A125,Enforcements!$C$3:$J$48,3,0)</f>
        <v>TRACK WARRANT AUTHORITY</v>
      </c>
    </row>
    <row r="126" spans="1:27" s="2" customFormat="1" x14ac:dyDescent="0.25">
      <c r="A126" s="61" t="s">
        <v>444</v>
      </c>
      <c r="B126" s="61">
        <v>4044</v>
      </c>
      <c r="C126" s="61" t="s">
        <v>66</v>
      </c>
      <c r="D126" s="61" t="s">
        <v>115</v>
      </c>
      <c r="E126" s="30">
        <v>42508.892928240741</v>
      </c>
      <c r="F126" s="30">
        <v>42508.893877314818</v>
      </c>
      <c r="G126" s="38">
        <v>1</v>
      </c>
      <c r="H126" s="30" t="s">
        <v>209</v>
      </c>
      <c r="I126" s="30">
        <v>42508.923136574071</v>
      </c>
      <c r="J126" s="61">
        <v>0</v>
      </c>
      <c r="K126" s="61" t="str">
        <f t="shared" si="17"/>
        <v>4043/4044</v>
      </c>
      <c r="L126" s="61" t="str">
        <f>VLOOKUP(A126,'Trips&amp;Operators'!$C$1:$E$9999,3,FALSE)</f>
        <v>ADANE</v>
      </c>
      <c r="M126" s="12">
        <f t="shared" si="18"/>
        <v>2.9259259252285119E-2</v>
      </c>
      <c r="N126" s="13">
        <f t="shared" si="25"/>
        <v>42.133333323290572</v>
      </c>
      <c r="O126" s="13"/>
      <c r="P126" s="13"/>
      <c r="Q126" s="62"/>
      <c r="R126" s="62"/>
      <c r="T126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https://search-rtdc-monitor-bjffxe2xuh6vdkpspy63sjmuny.us-east-1.es.amazonaws.com/_plugin/kibana/#/discover/Steve-Slow-Train-Analysis-(2080s-and-2083s)?_g=(refreshInterval:(display:Off,section:0,value:0),time:(from:'2016-05-18 21:24:49-0600',mode:absolute,to:'2016-05-18 22:10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126" s="74" t="str">
        <f t="shared" si="20"/>
        <v>N</v>
      </c>
      <c r="V126" s="74">
        <f t="shared" si="21"/>
        <v>1</v>
      </c>
      <c r="W126" s="74">
        <f t="shared" si="22"/>
        <v>4.6699999999999998E-2</v>
      </c>
      <c r="X126" s="74">
        <f t="shared" si="23"/>
        <v>23.333100000000002</v>
      </c>
      <c r="Y126" s="74">
        <f t="shared" si="24"/>
        <v>23.2864</v>
      </c>
      <c r="Z126" s="75" t="e">
        <f>VLOOKUP(A126,Enforcements!$C$3:$J$48,8,0)</f>
        <v>#N/A</v>
      </c>
      <c r="AA126" s="75" t="e">
        <f>VLOOKUP(A126,Enforcements!$C$3:$J$48,3,0)</f>
        <v>#N/A</v>
      </c>
    </row>
    <row r="127" spans="1:27" s="2" customFormat="1" x14ac:dyDescent="0.25">
      <c r="A127" s="61" t="s">
        <v>445</v>
      </c>
      <c r="B127" s="61">
        <v>4043</v>
      </c>
      <c r="C127" s="61" t="s">
        <v>66</v>
      </c>
      <c r="D127" s="61" t="s">
        <v>76</v>
      </c>
      <c r="E127" s="30">
        <v>42508.930868055555</v>
      </c>
      <c r="F127" s="30">
        <v>42508.931967592594</v>
      </c>
      <c r="G127" s="38">
        <v>1</v>
      </c>
      <c r="H127" s="30" t="s">
        <v>99</v>
      </c>
      <c r="I127" s="30">
        <v>42508.965312499997</v>
      </c>
      <c r="J127" s="61">
        <v>0</v>
      </c>
      <c r="K127" s="61" t="str">
        <f t="shared" si="17"/>
        <v>4043/4044</v>
      </c>
      <c r="L127" s="61" t="str">
        <f>VLOOKUP(A127,'Trips&amp;Operators'!$C$1:$E$9999,3,FALSE)</f>
        <v>ADANE</v>
      </c>
      <c r="M127" s="12">
        <f t="shared" si="18"/>
        <v>3.3344907402351964E-2</v>
      </c>
      <c r="N127" s="13">
        <f t="shared" si="25"/>
        <v>48.016666659386829</v>
      </c>
      <c r="O127" s="13"/>
      <c r="P127" s="13"/>
      <c r="Q127" s="62"/>
      <c r="R127" s="62"/>
      <c r="T127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https://search-rtdc-monitor-bjffxe2xuh6vdkpspy63sjmuny.us-east-1.es.amazonaws.com/_plugin/kibana/#/discover/Steve-Slow-Train-Analysis-(2080s-and-2083s)?_g=(refreshInterval:(display:Off,section:0,value:0),time:(from:'2016-05-18 22:19:27-0600',mode:absolute,to:'2016-05-18 23:11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127" s="74" t="str">
        <f t="shared" si="20"/>
        <v>N</v>
      </c>
      <c r="V127" s="74">
        <f t="shared" si="21"/>
        <v>1</v>
      </c>
      <c r="W127" s="74">
        <f t="shared" si="22"/>
        <v>23.2989</v>
      </c>
      <c r="X127" s="74">
        <f t="shared" si="23"/>
        <v>1.41E-2</v>
      </c>
      <c r="Y127" s="74">
        <f t="shared" si="24"/>
        <v>23.284800000000001</v>
      </c>
      <c r="Z127" s="75" t="e">
        <f>VLOOKUP(A127,Enforcements!$C$3:$J$48,8,0)</f>
        <v>#N/A</v>
      </c>
      <c r="AA127" s="75" t="e">
        <f>VLOOKUP(A127,Enforcements!$C$3:$J$48,3,0)</f>
        <v>#N/A</v>
      </c>
    </row>
    <row r="128" spans="1:27" s="2" customFormat="1" x14ac:dyDescent="0.25">
      <c r="A128" s="61" t="s">
        <v>446</v>
      </c>
      <c r="B128" s="61">
        <v>4040</v>
      </c>
      <c r="C128" s="61" t="s">
        <v>66</v>
      </c>
      <c r="D128" s="61" t="s">
        <v>155</v>
      </c>
      <c r="E128" s="30">
        <v>42508.90792824074</v>
      </c>
      <c r="F128" s="30">
        <v>42508.909039351849</v>
      </c>
      <c r="G128" s="38">
        <v>1</v>
      </c>
      <c r="H128" s="30" t="s">
        <v>87</v>
      </c>
      <c r="I128" s="30">
        <v>42508.943055555559</v>
      </c>
      <c r="J128" s="61">
        <v>1</v>
      </c>
      <c r="K128" s="61" t="str">
        <f t="shared" si="17"/>
        <v>4039/4040</v>
      </c>
      <c r="L128" s="61" t="str">
        <f>VLOOKUP(A128,'Trips&amp;Operators'!$C$1:$E$9999,3,FALSE)</f>
        <v>GOLIGHTLY</v>
      </c>
      <c r="M128" s="12">
        <f t="shared" si="18"/>
        <v>3.401620371005265E-2</v>
      </c>
      <c r="N128" s="13">
        <f t="shared" si="25"/>
        <v>48.983333342475817</v>
      </c>
      <c r="O128" s="13"/>
      <c r="P128" s="13"/>
      <c r="Q128" s="62"/>
      <c r="R128" s="62"/>
      <c r="T128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https://search-rtdc-monitor-bjffxe2xuh6vdkpspy63sjmuny.us-east-1.es.amazonaws.com/_plugin/kibana/#/discover/Steve-Slow-Train-Analysis-(2080s-and-2083s)?_g=(refreshInterval:(display:Off,section:0,value:0),time:(from:'2016-05-18 21:46:25-0600',mode:absolute,to:'2016-05-18 22:39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128" s="74" t="str">
        <f t="shared" si="20"/>
        <v>N</v>
      </c>
      <c r="V128" s="74">
        <f t="shared" si="21"/>
        <v>1</v>
      </c>
      <c r="W128" s="74">
        <f t="shared" si="22"/>
        <v>4.5999999999999999E-2</v>
      </c>
      <c r="X128" s="74">
        <f t="shared" si="23"/>
        <v>23.331199999999999</v>
      </c>
      <c r="Y128" s="74">
        <f t="shared" si="24"/>
        <v>23.2852</v>
      </c>
      <c r="Z128" s="75">
        <f>VLOOKUP(A128,Enforcements!$C$3:$J$48,8,0)</f>
        <v>127562</v>
      </c>
      <c r="AA128" s="75" t="str">
        <f>VLOOKUP(A128,Enforcements!$C$3:$J$48,3,0)</f>
        <v>GRADE CROSSING</v>
      </c>
    </row>
    <row r="129" spans="1:27" s="2" customFormat="1" x14ac:dyDescent="0.25">
      <c r="A129" s="61" t="s">
        <v>447</v>
      </c>
      <c r="B129" s="61">
        <v>4039</v>
      </c>
      <c r="C129" s="61" t="s">
        <v>66</v>
      </c>
      <c r="D129" s="61" t="s">
        <v>148</v>
      </c>
      <c r="E129" s="30">
        <v>42508.947638888887</v>
      </c>
      <c r="F129" s="30">
        <v>42508.94866898148</v>
      </c>
      <c r="G129" s="38">
        <v>1</v>
      </c>
      <c r="H129" s="30" t="s">
        <v>100</v>
      </c>
      <c r="I129" s="30">
        <v>42508.986435185187</v>
      </c>
      <c r="J129" s="61">
        <v>0</v>
      </c>
      <c r="K129" s="61" t="str">
        <f t="shared" si="17"/>
        <v>4039/4040</v>
      </c>
      <c r="L129" s="61" t="str">
        <f>VLOOKUP(A129,'Trips&amp;Operators'!$C$1:$E$9999,3,FALSE)</f>
        <v>GOLIGHTLY</v>
      </c>
      <c r="M129" s="12">
        <f t="shared" si="18"/>
        <v>3.7766203706269152E-2</v>
      </c>
      <c r="N129" s="13">
        <f t="shared" si="25"/>
        <v>54.38333333702758</v>
      </c>
      <c r="O129" s="13"/>
      <c r="P129" s="13"/>
      <c r="Q129" s="62"/>
      <c r="R129" s="62"/>
      <c r="T129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https://search-rtdc-monitor-bjffxe2xuh6vdkpspy63sjmuny.us-east-1.es.amazonaws.com/_plugin/kibana/#/discover/Steve-Slow-Train-Analysis-(2080s-and-2083s)?_g=(refreshInterval:(display:Off,section:0,value:0),time:(from:'2016-05-18 22:43:36-0600',mode:absolute,to:'2016-05-18 23:41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129" s="74" t="str">
        <f t="shared" si="20"/>
        <v>N</v>
      </c>
      <c r="V129" s="74">
        <f t="shared" si="21"/>
        <v>1</v>
      </c>
      <c r="W129" s="74">
        <f t="shared" si="22"/>
        <v>23.299600000000002</v>
      </c>
      <c r="X129" s="74">
        <f t="shared" si="23"/>
        <v>1.4999999999999999E-2</v>
      </c>
      <c r="Y129" s="74">
        <f t="shared" si="24"/>
        <v>23.284600000000001</v>
      </c>
      <c r="Z129" s="75" t="e">
        <f>VLOOKUP(A129,Enforcements!$C$3:$J$48,8,0)</f>
        <v>#N/A</v>
      </c>
      <c r="AA129" s="75" t="e">
        <f>VLOOKUP(A129,Enforcements!$C$3:$J$48,3,0)</f>
        <v>#N/A</v>
      </c>
    </row>
    <row r="130" spans="1:27" s="2" customFormat="1" x14ac:dyDescent="0.25">
      <c r="A130" s="61" t="s">
        <v>448</v>
      </c>
      <c r="B130" s="61">
        <v>4020</v>
      </c>
      <c r="C130" s="61" t="s">
        <v>66</v>
      </c>
      <c r="D130" s="61" t="s">
        <v>384</v>
      </c>
      <c r="E130" s="30">
        <v>42508.927025462966</v>
      </c>
      <c r="F130" s="30">
        <v>42508.928136574075</v>
      </c>
      <c r="G130" s="38">
        <v>1</v>
      </c>
      <c r="H130" s="30" t="s">
        <v>151</v>
      </c>
      <c r="I130" s="30">
        <v>42508.962754629632</v>
      </c>
      <c r="J130" s="61">
        <v>0</v>
      </c>
      <c r="K130" s="61" t="str">
        <f t="shared" si="17"/>
        <v>4019/4020</v>
      </c>
      <c r="L130" s="61" t="str">
        <f>VLOOKUP(A130,'Trips&amp;Operators'!$C$1:$E$9999,3,FALSE)</f>
        <v>NEWELL</v>
      </c>
      <c r="M130" s="12">
        <f t="shared" si="18"/>
        <v>3.4618055557075422E-2</v>
      </c>
      <c r="N130" s="13">
        <f t="shared" si="25"/>
        <v>49.850000002188608</v>
      </c>
      <c r="O130" s="13"/>
      <c r="P130" s="13"/>
      <c r="Q130" s="62"/>
      <c r="R130" s="62"/>
      <c r="T130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https://search-rtdc-monitor-bjffxe2xuh6vdkpspy63sjmuny.us-east-1.es.amazonaws.com/_plugin/kibana/#/discover/Steve-Slow-Train-Analysis-(2080s-and-2083s)?_g=(refreshInterval:(display:Off,section:0,value:0),time:(from:'2016-05-18 22:13:55-0600',mode:absolute,to:'2016-05-18 23:07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130" s="74" t="str">
        <f t="shared" si="20"/>
        <v>N</v>
      </c>
      <c r="V130" s="74">
        <f t="shared" si="21"/>
        <v>1</v>
      </c>
      <c r="W130" s="74">
        <f t="shared" si="22"/>
        <v>4.6199999999999998E-2</v>
      </c>
      <c r="X130" s="74">
        <f t="shared" si="23"/>
        <v>23.332100000000001</v>
      </c>
      <c r="Y130" s="74">
        <f t="shared" si="24"/>
        <v>23.285900000000002</v>
      </c>
      <c r="Z130" s="75" t="e">
        <f>VLOOKUP(A130,Enforcements!$C$3:$J$48,8,0)</f>
        <v>#N/A</v>
      </c>
      <c r="AA130" s="75" t="e">
        <f>VLOOKUP(A130,Enforcements!$C$3:$J$48,3,0)</f>
        <v>#N/A</v>
      </c>
    </row>
    <row r="131" spans="1:27" s="2" customFormat="1" x14ac:dyDescent="0.25">
      <c r="A131" s="61" t="s">
        <v>449</v>
      </c>
      <c r="B131" s="61">
        <v>4019</v>
      </c>
      <c r="C131" s="61" t="s">
        <v>66</v>
      </c>
      <c r="D131" s="61" t="s">
        <v>89</v>
      </c>
      <c r="E131" s="30">
        <v>42508.968425925923</v>
      </c>
      <c r="F131" s="30">
        <v>42508.969270833331</v>
      </c>
      <c r="G131" s="38">
        <v>1</v>
      </c>
      <c r="H131" s="30" t="s">
        <v>127</v>
      </c>
      <c r="I131" s="30">
        <v>42509.008437500001</v>
      </c>
      <c r="J131" s="61">
        <v>1</v>
      </c>
      <c r="K131" s="61" t="str">
        <f t="shared" si="17"/>
        <v>4019/4020</v>
      </c>
      <c r="L131" s="61" t="str">
        <f>VLOOKUP(A131,'Trips&amp;Operators'!$C$1:$E$9999,3,FALSE)</f>
        <v>NEWELL</v>
      </c>
      <c r="M131" s="12">
        <f t="shared" si="18"/>
        <v>3.9166666669188999E-2</v>
      </c>
      <c r="N131" s="13">
        <f t="shared" si="25"/>
        <v>56.400000003632158</v>
      </c>
      <c r="O131" s="13"/>
      <c r="P131" s="13"/>
      <c r="Q131" s="62"/>
      <c r="R131" s="62"/>
      <c r="T131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https://search-rtdc-monitor-bjffxe2xuh6vdkpspy63sjmuny.us-east-1.es.amazonaws.com/_plugin/kibana/#/discover/Steve-Slow-Train-Analysis-(2080s-and-2083s)?_g=(refreshInterval:(display:Off,section:0,value:0),time:(from:'2016-05-18 23:13:32-0600',mode:absolute,to:'2016-05-19 00:13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131" s="74" t="str">
        <f t="shared" si="20"/>
        <v>N</v>
      </c>
      <c r="V131" s="74">
        <f t="shared" si="21"/>
        <v>1</v>
      </c>
      <c r="W131" s="74">
        <f t="shared" si="22"/>
        <v>23.299399999999999</v>
      </c>
      <c r="X131" s="74">
        <f t="shared" si="23"/>
        <v>1.3899999999999999E-2</v>
      </c>
      <c r="Y131" s="74">
        <f t="shared" si="24"/>
        <v>23.285499999999999</v>
      </c>
      <c r="Z131" s="75">
        <f>VLOOKUP(A131,Enforcements!$C$3:$J$48,8,0)</f>
        <v>1</v>
      </c>
      <c r="AA131" s="75" t="str">
        <f>VLOOKUP(A131,Enforcements!$C$3:$J$48,3,0)</f>
        <v>TRACK WARRANT AUTHORITY</v>
      </c>
    </row>
    <row r="132" spans="1:27" s="2" customFormat="1" x14ac:dyDescent="0.25">
      <c r="A132" s="61" t="s">
        <v>450</v>
      </c>
      <c r="B132" s="61">
        <v>4038</v>
      </c>
      <c r="C132" s="61" t="s">
        <v>66</v>
      </c>
      <c r="D132" s="61" t="s">
        <v>451</v>
      </c>
      <c r="E132" s="30">
        <v>42508.950150462966</v>
      </c>
      <c r="F132" s="30">
        <v>42508.951956018522</v>
      </c>
      <c r="G132" s="38">
        <v>2</v>
      </c>
      <c r="H132" s="30" t="s">
        <v>128</v>
      </c>
      <c r="I132" s="30">
        <v>42508.984189814815</v>
      </c>
      <c r="J132" s="61">
        <v>0</v>
      </c>
      <c r="K132" s="61" t="str">
        <f t="shared" si="17"/>
        <v>4037/4038</v>
      </c>
      <c r="L132" s="61" t="str">
        <f>VLOOKUP(A132,'Trips&amp;Operators'!$C$1:$E$9999,3,FALSE)</f>
        <v>BARTLETT</v>
      </c>
      <c r="M132" s="12">
        <f t="shared" si="18"/>
        <v>3.2233796293439809E-2</v>
      </c>
      <c r="N132" s="13">
        <f t="shared" si="25"/>
        <v>46.416666662553325</v>
      </c>
      <c r="O132" s="13"/>
      <c r="P132" s="13"/>
      <c r="Q132" s="62"/>
      <c r="R132" s="62"/>
      <c r="T132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https://search-rtdc-monitor-bjffxe2xuh6vdkpspy63sjmuny.us-east-1.es.amazonaws.com/_plugin/kibana/#/discover/Steve-Slow-Train-Analysis-(2080s-and-2083s)?_g=(refreshInterval:(display:Off,section:0,value:0),time:(from:'2016-05-18 22:47:13-0600',mode:absolute,to:'2016-05-18 23:38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U132" s="74" t="str">
        <f t="shared" si="20"/>
        <v>N</v>
      </c>
      <c r="V132" s="74">
        <f t="shared" si="21"/>
        <v>1</v>
      </c>
      <c r="W132" s="74">
        <f t="shared" si="22"/>
        <v>4.9700000000000001E-2</v>
      </c>
      <c r="X132" s="74">
        <f t="shared" si="23"/>
        <v>23.3306</v>
      </c>
      <c r="Y132" s="74">
        <f t="shared" si="24"/>
        <v>23.280899999999999</v>
      </c>
      <c r="Z132" s="75" t="e">
        <f>VLOOKUP(A132,Enforcements!$C$3:$J$48,8,0)</f>
        <v>#N/A</v>
      </c>
      <c r="AA132" s="75" t="e">
        <f>VLOOKUP(A132,Enforcements!$C$3:$J$48,3,0)</f>
        <v>#N/A</v>
      </c>
    </row>
    <row r="133" spans="1:27" s="2" customFormat="1" x14ac:dyDescent="0.25">
      <c r="A133" s="61" t="s">
        <v>452</v>
      </c>
      <c r="B133" s="61">
        <v>4037</v>
      </c>
      <c r="C133" s="61" t="s">
        <v>66</v>
      </c>
      <c r="D133" s="61" t="s">
        <v>89</v>
      </c>
      <c r="E133" s="30">
        <v>42508.993750000001</v>
      </c>
      <c r="F133" s="30">
        <v>42508.994826388887</v>
      </c>
      <c r="G133" s="38">
        <v>1</v>
      </c>
      <c r="H133" s="30" t="s">
        <v>75</v>
      </c>
      <c r="I133" s="30">
        <v>42509.027858796297</v>
      </c>
      <c r="J133" s="61">
        <v>0</v>
      </c>
      <c r="K133" s="61" t="str">
        <f t="shared" ref="K133:K139" si="26">IF(ISEVEN(B133),(B133-1)&amp;"/"&amp;B133,B133&amp;"/"&amp;(B133+1))</f>
        <v>4037/4038</v>
      </c>
      <c r="L133" s="61" t="str">
        <f>VLOOKUP(A133,'Trips&amp;Operators'!$C$1:$E$9999,3,FALSE)</f>
        <v>BARTLETT</v>
      </c>
      <c r="M133" s="12">
        <f t="shared" ref="M133:M139" si="27">I133-F133</f>
        <v>3.3032407409336884E-2</v>
      </c>
      <c r="N133" s="13">
        <f t="shared" si="25"/>
        <v>47.566666669445112</v>
      </c>
      <c r="O133" s="13"/>
      <c r="P133" s="13"/>
      <c r="Q133" s="62"/>
      <c r="R133" s="62"/>
      <c r="T133" s="74" t="str">
        <f t="shared" ref="T133:T139" si="28">"https://search-rtdc-monitor-bjffxe2xuh6vdkpspy63sjmuny.us-east-1.es.amazonaws.com/_plugin/kibana/#/discover/Steve-Slow-Train-Analysis-(2080s-and-2083s)?_g=(refreshInterval:(display:Off,section:0,value:0),time:(from:'"&amp;TEXT(E133-1/24/60,"yyyy-MM-DD hh:mm:ss")&amp;"-0600',mode:absolute,to:'"&amp;TEXT(I133+1/24/60,"yyyy-MM-DD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133&amp;"%22')),sort:!(Time,asc))"</f>
        <v>https://search-rtdc-monitor-bjffxe2xuh6vdkpspy63sjmuny.us-east-1.es.amazonaws.com/_plugin/kibana/#/discover/Steve-Slow-Train-Analysis-(2080s-and-2083s)?_g=(refreshInterval:(display:Off,section:0,value:0),time:(from:'2016-05-18 23:50:00-0600',mode:absolute,to:'2016-05-19 00:41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U133" s="74" t="str">
        <f t="shared" ref="U133:U139" si="29">IF(Y133&lt;23,"Y","N")</f>
        <v>N</v>
      </c>
      <c r="V133" s="74">
        <f t="shared" ref="V133:V139" si="30">VALUE(LEFT(A133,3))-VALUE(LEFT(A132,3))</f>
        <v>1</v>
      </c>
      <c r="W133" s="74">
        <f t="shared" ref="W133:W139" si="31">RIGHT(D133,LEN(D133)-4)/10000</f>
        <v>23.299399999999999</v>
      </c>
      <c r="X133" s="74">
        <f t="shared" ref="X133:X139" si="32">RIGHT(H133,LEN(H133)-4)/10000</f>
        <v>1.54E-2</v>
      </c>
      <c r="Y133" s="74">
        <f t="shared" ref="Y133:Y139" si="33">ABS(X133-W133)</f>
        <v>23.283999999999999</v>
      </c>
      <c r="Z133" s="75" t="e">
        <f>VLOOKUP(A133,Enforcements!$C$3:$J$48,8,0)</f>
        <v>#N/A</v>
      </c>
      <c r="AA133" s="75" t="e">
        <f>VLOOKUP(A133,Enforcements!$C$3:$J$48,3,0)</f>
        <v>#N/A</v>
      </c>
    </row>
    <row r="134" spans="1:27" s="2" customFormat="1" x14ac:dyDescent="0.25">
      <c r="A134" s="61" t="s">
        <v>453</v>
      </c>
      <c r="B134" s="61">
        <v>4044</v>
      </c>
      <c r="C134" s="61" t="s">
        <v>66</v>
      </c>
      <c r="D134" s="61" t="s">
        <v>129</v>
      </c>
      <c r="E134" s="30">
        <v>42508.974641203706</v>
      </c>
      <c r="F134" s="30">
        <v>42508.975810185184</v>
      </c>
      <c r="G134" s="38">
        <v>1</v>
      </c>
      <c r="H134" s="30" t="s">
        <v>202</v>
      </c>
      <c r="I134" s="30">
        <v>42509.004988425928</v>
      </c>
      <c r="J134" s="61">
        <v>0</v>
      </c>
      <c r="K134" s="61" t="str">
        <f t="shared" si="26"/>
        <v>4043/4044</v>
      </c>
      <c r="L134" s="61" t="str">
        <f>VLOOKUP(A134,'Trips&amp;Operators'!$C$1:$E$9999,3,FALSE)</f>
        <v>ADANE</v>
      </c>
      <c r="M134" s="12">
        <f t="shared" si="27"/>
        <v>2.9178240743931383E-2</v>
      </c>
      <c r="N134" s="13">
        <f t="shared" si="25"/>
        <v>42.016666671261191</v>
      </c>
      <c r="O134" s="13"/>
      <c r="P134" s="13"/>
      <c r="Q134" s="62"/>
      <c r="R134" s="62"/>
      <c r="T134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https://search-rtdc-monitor-bjffxe2xuh6vdkpspy63sjmuny.us-east-1.es.amazonaws.com/_plugin/kibana/#/discover/Steve-Slow-Train-Analysis-(2080s-and-2083s)?_g=(refreshInterval:(display:Off,section:0,value:0),time:(from:'2016-05-18 23:22:29-0600',mode:absolute,to:'2016-05-19 00:08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134" s="74" t="str">
        <f t="shared" si="29"/>
        <v>N</v>
      </c>
      <c r="V134" s="74">
        <f t="shared" si="30"/>
        <v>1</v>
      </c>
      <c r="W134" s="74">
        <f t="shared" si="31"/>
        <v>4.4400000000000002E-2</v>
      </c>
      <c r="X134" s="74">
        <f t="shared" si="32"/>
        <v>23.327400000000001</v>
      </c>
      <c r="Y134" s="74">
        <f t="shared" si="33"/>
        <v>23.283000000000001</v>
      </c>
      <c r="Z134" s="75" t="e">
        <f>VLOOKUP(A134,Enforcements!$C$3:$J$48,8,0)</f>
        <v>#N/A</v>
      </c>
      <c r="AA134" s="75" t="e">
        <f>VLOOKUP(A134,Enforcements!$C$3:$J$48,3,0)</f>
        <v>#N/A</v>
      </c>
    </row>
    <row r="135" spans="1:27" s="2" customFormat="1" x14ac:dyDescent="0.25">
      <c r="A135" s="61" t="s">
        <v>454</v>
      </c>
      <c r="B135" s="61">
        <v>4043</v>
      </c>
      <c r="C135" s="61" t="s">
        <v>66</v>
      </c>
      <c r="D135" s="61" t="s">
        <v>193</v>
      </c>
      <c r="E135" s="30">
        <v>42509.013726851852</v>
      </c>
      <c r="F135" s="30">
        <v>42509.014988425923</v>
      </c>
      <c r="G135" s="38">
        <v>1</v>
      </c>
      <c r="H135" s="30" t="s">
        <v>70</v>
      </c>
      <c r="I135" s="30">
        <v>42509.044317129628</v>
      </c>
      <c r="J135" s="61">
        <v>0</v>
      </c>
      <c r="K135" s="61" t="str">
        <f t="shared" si="26"/>
        <v>4043/4044</v>
      </c>
      <c r="L135" s="61" t="str">
        <f>VLOOKUP(A135,'Trips&amp;Operators'!$C$1:$E$9999,3,FALSE)</f>
        <v>ADANE</v>
      </c>
      <c r="M135" s="12">
        <f t="shared" si="27"/>
        <v>2.9328703705687076E-2</v>
      </c>
      <c r="N135" s="13">
        <f t="shared" si="25"/>
        <v>42.233333336189389</v>
      </c>
      <c r="O135" s="13"/>
      <c r="P135" s="13"/>
      <c r="Q135" s="62"/>
      <c r="R135" s="62"/>
      <c r="T135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https://search-rtdc-monitor-bjffxe2xuh6vdkpspy63sjmuny.us-east-1.es.amazonaws.com/_plugin/kibana/#/discover/Steve-Slow-Train-Analysis-(2080s-and-2083s)?_g=(refreshInterval:(display:Off,section:0,value:0),time:(from:'2016-05-19 00:18:46-0600',mode:absolute,to:'2016-05-19 01:04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135" s="74" t="str">
        <f t="shared" si="29"/>
        <v>N</v>
      </c>
      <c r="V135" s="74">
        <f t="shared" si="30"/>
        <v>1</v>
      </c>
      <c r="W135" s="74">
        <f t="shared" si="31"/>
        <v>23.2987</v>
      </c>
      <c r="X135" s="74">
        <f t="shared" si="32"/>
        <v>1.5599999999999999E-2</v>
      </c>
      <c r="Y135" s="74">
        <f t="shared" si="33"/>
        <v>23.283100000000001</v>
      </c>
      <c r="Z135" s="75" t="e">
        <f>VLOOKUP(A135,Enforcements!$C$3:$J$48,8,0)</f>
        <v>#N/A</v>
      </c>
      <c r="AA135" s="75" t="e">
        <f>VLOOKUP(A135,Enforcements!$C$3:$J$48,3,0)</f>
        <v>#N/A</v>
      </c>
    </row>
    <row r="136" spans="1:27" s="2" customFormat="1" x14ac:dyDescent="0.25">
      <c r="A136" s="61" t="s">
        <v>455</v>
      </c>
      <c r="B136" s="61">
        <v>4040</v>
      </c>
      <c r="C136" s="61" t="s">
        <v>66</v>
      </c>
      <c r="D136" s="61" t="s">
        <v>82</v>
      </c>
      <c r="E136" s="30">
        <v>42508.989490740743</v>
      </c>
      <c r="F136" s="30">
        <v>42508.990428240744</v>
      </c>
      <c r="G136" s="38">
        <v>1</v>
      </c>
      <c r="H136" s="30" t="s">
        <v>195</v>
      </c>
      <c r="I136" s="30">
        <v>42509.024699074071</v>
      </c>
      <c r="J136" s="61">
        <v>0</v>
      </c>
      <c r="K136" s="61" t="str">
        <f t="shared" si="26"/>
        <v>4039/4040</v>
      </c>
      <c r="L136" s="61" t="str">
        <f>VLOOKUP(A136,'Trips&amp;Operators'!$C$1:$E$9999,3,FALSE)</f>
        <v>GOLIGHTLY</v>
      </c>
      <c r="M136" s="12">
        <f t="shared" si="27"/>
        <v>3.4270833326445427E-2</v>
      </c>
      <c r="N136" s="13">
        <f t="shared" si="25"/>
        <v>49.349999990081415</v>
      </c>
      <c r="O136" s="13"/>
      <c r="P136" s="13"/>
      <c r="Q136" s="62"/>
      <c r="R136" s="62"/>
      <c r="T136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https://search-rtdc-monitor-bjffxe2xuh6vdkpspy63sjmuny.us-east-1.es.amazonaws.com/_plugin/kibana/#/discover/Steve-Slow-Train-Analysis-(2080s-and-2083s)?_g=(refreshInterval:(display:Off,section:0,value:0),time:(from:'2016-05-18 23:43:52-0600',mode:absolute,to:'2016-05-19 00:36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136" s="74" t="str">
        <f t="shared" si="29"/>
        <v>N</v>
      </c>
      <c r="V136" s="74">
        <f t="shared" si="30"/>
        <v>1</v>
      </c>
      <c r="W136" s="74">
        <f t="shared" si="31"/>
        <v>4.5100000000000001E-2</v>
      </c>
      <c r="X136" s="74">
        <f t="shared" si="32"/>
        <v>23.331399999999999</v>
      </c>
      <c r="Y136" s="74">
        <f t="shared" si="33"/>
        <v>23.286299999999997</v>
      </c>
      <c r="Z136" s="75" t="e">
        <f>VLOOKUP(A136,Enforcements!$C$3:$J$48,8,0)</f>
        <v>#N/A</v>
      </c>
      <c r="AA136" s="75" t="e">
        <f>VLOOKUP(A136,Enforcements!$C$3:$J$48,3,0)</f>
        <v>#N/A</v>
      </c>
    </row>
    <row r="137" spans="1:27" s="2" customFormat="1" x14ac:dyDescent="0.25">
      <c r="A137" s="61" t="s">
        <v>456</v>
      </c>
      <c r="B137" s="61">
        <v>4039</v>
      </c>
      <c r="C137" s="61" t="s">
        <v>66</v>
      </c>
      <c r="D137" s="61" t="s">
        <v>197</v>
      </c>
      <c r="E137" s="30">
        <v>42509.028483796297</v>
      </c>
      <c r="F137" s="30">
        <v>42509.029965277776</v>
      </c>
      <c r="G137" s="38">
        <v>2</v>
      </c>
      <c r="H137" s="30" t="s">
        <v>70</v>
      </c>
      <c r="I137" s="30">
        <v>42509.064710648148</v>
      </c>
      <c r="J137" s="61">
        <v>0</v>
      </c>
      <c r="K137" s="61" t="str">
        <f t="shared" si="26"/>
        <v>4039/4040</v>
      </c>
      <c r="L137" s="61" t="str">
        <f>VLOOKUP(A137,'Trips&amp;Operators'!$C$1:$E$9999,3,FALSE)</f>
        <v>GOLIGHTLY</v>
      </c>
      <c r="M137" s="12">
        <f t="shared" si="27"/>
        <v>3.4745370372547768E-2</v>
      </c>
      <c r="N137" s="13">
        <f t="shared" si="25"/>
        <v>50.033333336468786</v>
      </c>
      <c r="O137" s="13"/>
      <c r="P137" s="13"/>
      <c r="Q137" s="62"/>
      <c r="R137" s="62"/>
      <c r="T137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https://search-rtdc-monitor-bjffxe2xuh6vdkpspy63sjmuny.us-east-1.es.amazonaws.com/_plugin/kibana/#/discover/Steve-Slow-Train-Analysis-(2080s-and-2083s)?_g=(refreshInterval:(display:Off,section:0,value:0),time:(from:'2016-05-19 00:40:01-0600',mode:absolute,to:'2016-05-19 01:34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137" s="74" t="str">
        <f t="shared" si="29"/>
        <v>N</v>
      </c>
      <c r="V137" s="74">
        <f t="shared" si="30"/>
        <v>1</v>
      </c>
      <c r="W137" s="74">
        <f t="shared" si="31"/>
        <v>23.299299999999999</v>
      </c>
      <c r="X137" s="74">
        <f t="shared" si="32"/>
        <v>1.5599999999999999E-2</v>
      </c>
      <c r="Y137" s="74">
        <f t="shared" si="33"/>
        <v>23.2837</v>
      </c>
      <c r="Z137" s="75" t="e">
        <f>VLOOKUP(A137,Enforcements!$C$3:$J$48,8,0)</f>
        <v>#N/A</v>
      </c>
      <c r="AA137" s="75" t="e">
        <f>VLOOKUP(A137,Enforcements!$C$3:$J$48,3,0)</f>
        <v>#N/A</v>
      </c>
    </row>
    <row r="138" spans="1:27" s="2" customFormat="1" x14ac:dyDescent="0.25">
      <c r="A138" s="61" t="s">
        <v>457</v>
      </c>
      <c r="B138" s="61">
        <v>4020</v>
      </c>
      <c r="C138" s="61" t="s">
        <v>66</v>
      </c>
      <c r="D138" s="61" t="s">
        <v>155</v>
      </c>
      <c r="E138" s="30">
        <v>42509.016203703701</v>
      </c>
      <c r="F138" s="30">
        <v>42509.017002314817</v>
      </c>
      <c r="G138" s="38">
        <v>1</v>
      </c>
      <c r="H138" s="30" t="s">
        <v>104</v>
      </c>
      <c r="I138" s="30">
        <v>42509.046342592592</v>
      </c>
      <c r="J138" s="61">
        <v>0</v>
      </c>
      <c r="K138" s="61" t="str">
        <f t="shared" si="26"/>
        <v>4019/4020</v>
      </c>
      <c r="L138" s="61" t="str">
        <f>VLOOKUP(A138,'Trips&amp;Operators'!$C$1:$E$9999,3,FALSE)</f>
        <v>NEWELL</v>
      </c>
      <c r="M138" s="12">
        <f t="shared" si="27"/>
        <v>2.9340277775190771E-2</v>
      </c>
      <c r="N138" s="13">
        <f t="shared" si="25"/>
        <v>42.24999999627471</v>
      </c>
      <c r="O138" s="13"/>
      <c r="P138" s="13"/>
      <c r="Q138" s="62"/>
      <c r="R138" s="62"/>
      <c r="T138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https://search-rtdc-monitor-bjffxe2xuh6vdkpspy63sjmuny.us-east-1.es.amazonaws.com/_plugin/kibana/#/discover/Steve-Slow-Train-Analysis-(2080s-and-2083s)?_g=(refreshInterval:(display:Off,section:0,value:0),time:(from:'2016-05-19 00:22:20-0600',mode:absolute,to:'2016-05-19 01:07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138" s="74" t="str">
        <f t="shared" si="29"/>
        <v>N</v>
      </c>
      <c r="V138" s="74">
        <f t="shared" si="30"/>
        <v>1</v>
      </c>
      <c r="W138" s="74">
        <f t="shared" si="31"/>
        <v>4.5999999999999999E-2</v>
      </c>
      <c r="X138" s="74">
        <f t="shared" si="32"/>
        <v>23.331499999999998</v>
      </c>
      <c r="Y138" s="74">
        <f t="shared" si="33"/>
        <v>23.285499999999999</v>
      </c>
      <c r="Z138" s="75" t="e">
        <f>VLOOKUP(A138,Enforcements!$C$3:$J$48,8,0)</f>
        <v>#N/A</v>
      </c>
      <c r="AA138" s="75" t="e">
        <f>VLOOKUP(A138,Enforcements!$C$3:$J$48,3,0)</f>
        <v>#N/A</v>
      </c>
    </row>
    <row r="139" spans="1:27" s="2" customFormat="1" x14ac:dyDescent="0.25">
      <c r="A139" s="61" t="s">
        <v>458</v>
      </c>
      <c r="B139" s="61">
        <v>4019</v>
      </c>
      <c r="C139" s="61" t="s">
        <v>66</v>
      </c>
      <c r="D139" s="61" t="s">
        <v>207</v>
      </c>
      <c r="E139" s="30">
        <v>42509.053564814814</v>
      </c>
      <c r="F139" s="30">
        <v>42509.0544212963</v>
      </c>
      <c r="G139" s="38">
        <v>1</v>
      </c>
      <c r="H139" s="30" t="s">
        <v>459</v>
      </c>
      <c r="I139" s="30">
        <v>42509.086967592593</v>
      </c>
      <c r="J139" s="61">
        <v>1</v>
      </c>
      <c r="K139" s="61" t="str">
        <f t="shared" si="26"/>
        <v>4019/4020</v>
      </c>
      <c r="L139" s="61" t="str">
        <f>VLOOKUP(A139,'Trips&amp;Operators'!$C$1:$E$9999,3,FALSE)</f>
        <v>NEWELL</v>
      </c>
      <c r="M139" s="12">
        <f t="shared" si="27"/>
        <v>3.2546296293730848E-2</v>
      </c>
      <c r="N139" s="13">
        <f t="shared" si="25"/>
        <v>46.86666666297242</v>
      </c>
      <c r="O139" s="13"/>
      <c r="P139" s="13"/>
      <c r="Q139" s="62"/>
      <c r="R139" s="62"/>
      <c r="T139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https://search-rtdc-monitor-bjffxe2xuh6vdkpspy63sjmuny.us-east-1.es.amazonaws.com/_plugin/kibana/#/discover/Steve-Slow-Train-Analysis-(2080s-and-2083s)?_g=(refreshInterval:(display:Off,section:0,value:0),time:(from:'2016-05-19 01:16:08-0600',mode:absolute,to:'2016-05-19 02:06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139" s="74" t="str">
        <f t="shared" si="29"/>
        <v>N</v>
      </c>
      <c r="V139" s="74">
        <f t="shared" si="30"/>
        <v>1</v>
      </c>
      <c r="W139" s="74">
        <f t="shared" si="31"/>
        <v>23.3002</v>
      </c>
      <c r="X139" s="74">
        <f t="shared" si="32"/>
        <v>0.1237</v>
      </c>
      <c r="Y139" s="74">
        <f t="shared" si="33"/>
        <v>23.176500000000001</v>
      </c>
      <c r="Z139" s="75" t="e">
        <f>VLOOKUP(A139,Enforcements!$C$3:$J$48,8,0)</f>
        <v>#N/A</v>
      </c>
      <c r="AA139" s="75" t="e">
        <f>VLOOKUP(A139,Enforcements!$C$3:$J$48,3,0)</f>
        <v>#N/A</v>
      </c>
    </row>
    <row r="140" spans="1:27" s="2" customFormat="1" ht="15.75" thickBot="1" x14ac:dyDescent="0.3">
      <c r="A140" s="63"/>
      <c r="B140" s="63"/>
      <c r="C140" s="63"/>
      <c r="D140" s="63"/>
      <c r="E140" s="64"/>
      <c r="F140" s="64"/>
      <c r="G140" s="65"/>
      <c r="H140" s="64"/>
      <c r="I140" s="64"/>
      <c r="J140" s="63"/>
      <c r="K140" s="63"/>
      <c r="L140" s="63"/>
      <c r="M140" s="66"/>
      <c r="N140" s="67"/>
      <c r="O140" s="67"/>
      <c r="P140" s="67"/>
      <c r="Q140" s="68"/>
      <c r="R140" s="68"/>
      <c r="T140" s="69"/>
      <c r="U140" s="69"/>
      <c r="V140" s="69"/>
      <c r="W140" s="69"/>
      <c r="X140" s="69"/>
      <c r="Y140" s="69"/>
      <c r="Z140" s="70"/>
      <c r="AA140" s="70"/>
    </row>
    <row r="141" spans="1:27" s="2" customFormat="1" ht="15.75" thickBot="1" x14ac:dyDescent="0.3">
      <c r="E141" s="31"/>
      <c r="F141" s="31"/>
      <c r="G141" s="39"/>
      <c r="H141" s="31"/>
      <c r="I141" s="84">
        <f>Variables!A2</f>
        <v>42508</v>
      </c>
      <c r="J141" s="85"/>
      <c r="K141" s="76"/>
      <c r="L141" s="76"/>
      <c r="M141" s="86" t="s">
        <v>8</v>
      </c>
      <c r="N141" s="87"/>
      <c r="O141" s="88"/>
      <c r="P141" s="5"/>
      <c r="T141" s="57"/>
      <c r="U141" s="57"/>
      <c r="V141" s="57"/>
      <c r="W141" s="57"/>
      <c r="X141" s="57"/>
      <c r="Y141" s="57"/>
      <c r="Z141" s="58"/>
      <c r="AA141" s="58"/>
    </row>
    <row r="142" spans="1:27" s="2" customFormat="1" ht="15.75" thickBot="1" x14ac:dyDescent="0.3">
      <c r="E142" s="31"/>
      <c r="F142" s="31"/>
      <c r="G142" s="39"/>
      <c r="H142" s="31"/>
      <c r="I142" s="89" t="s">
        <v>10</v>
      </c>
      <c r="J142" s="90"/>
      <c r="K142" s="35"/>
      <c r="L142" s="59"/>
      <c r="M142" s="9" t="s">
        <v>11</v>
      </c>
      <c r="N142" s="6" t="s">
        <v>12</v>
      </c>
      <c r="O142" s="7" t="s">
        <v>13</v>
      </c>
      <c r="P142" s="5"/>
      <c r="T142" s="57"/>
      <c r="U142" s="57"/>
      <c r="V142" s="57"/>
      <c r="W142" s="57"/>
      <c r="X142" s="57"/>
      <c r="Y142" s="57"/>
      <c r="Z142" s="58"/>
      <c r="AA142" s="58"/>
    </row>
    <row r="143" spans="1:27" s="2" customFormat="1" ht="15.75" thickBot="1" x14ac:dyDescent="0.3">
      <c r="E143" s="31"/>
      <c r="F143" s="31"/>
      <c r="G143" s="39"/>
      <c r="H143" s="31"/>
      <c r="I143" s="32" t="s">
        <v>14</v>
      </c>
      <c r="J143" s="3">
        <f>COUNT(N3:P139)</f>
        <v>133</v>
      </c>
      <c r="K143" s="3"/>
      <c r="L143" s="3"/>
      <c r="M143" s="71" t="s">
        <v>15</v>
      </c>
      <c r="N143" s="6" t="s">
        <v>15</v>
      </c>
      <c r="O143" s="7" t="s">
        <v>15</v>
      </c>
      <c r="P143" s="5"/>
      <c r="T143" s="57"/>
      <c r="U143" s="57"/>
      <c r="V143" s="57"/>
      <c r="W143" s="57"/>
      <c r="X143" s="57"/>
      <c r="Y143" s="57"/>
      <c r="Z143" s="58"/>
      <c r="AA143" s="58"/>
    </row>
    <row r="144" spans="1:27" s="2" customFormat="1" ht="15.75" thickBot="1" x14ac:dyDescent="0.3">
      <c r="E144" s="31"/>
      <c r="F144" s="31"/>
      <c r="G144" s="39"/>
      <c r="H144" s="31"/>
      <c r="I144" s="32" t="s">
        <v>17</v>
      </c>
      <c r="J144" s="3">
        <f>COUNT(N3:N139)</f>
        <v>127</v>
      </c>
      <c r="K144" s="3"/>
      <c r="L144" s="3"/>
      <c r="M144" s="71">
        <f>AVERAGE(N3:N139)</f>
        <v>44.668241469812848</v>
      </c>
      <c r="N144" s="6">
        <f>MIN(N3:N139)</f>
        <v>35.550000001676381</v>
      </c>
      <c r="O144" s="7">
        <f>MAX(N3:N139)</f>
        <v>67.416666668141261</v>
      </c>
      <c r="P144" s="5"/>
      <c r="T144" s="57"/>
      <c r="U144" s="57"/>
      <c r="V144" s="57"/>
      <c r="W144" s="57"/>
      <c r="X144" s="57"/>
      <c r="Y144" s="57"/>
      <c r="Z144" s="58"/>
      <c r="AA144" s="58"/>
    </row>
    <row r="145" spans="2:27" s="2" customFormat="1" ht="15.75" thickBot="1" x14ac:dyDescent="0.3">
      <c r="B145" s="60"/>
      <c r="C145" s="60"/>
      <c r="D145" s="60"/>
      <c r="E145" s="14"/>
      <c r="F145" s="14"/>
      <c r="G145" s="40"/>
      <c r="H145" s="14"/>
      <c r="I145" s="33" t="s">
        <v>45</v>
      </c>
      <c r="J145" s="3">
        <f>COUNT(O3:O139)</f>
        <v>0</v>
      </c>
      <c r="K145" s="3"/>
      <c r="L145" s="3"/>
      <c r="M145" s="71">
        <f>IFERROR(AVERAGE(O3:O139),0)</f>
        <v>0</v>
      </c>
      <c r="N145" s="6">
        <f>MIN(O3:O139)</f>
        <v>0</v>
      </c>
      <c r="O145" s="7">
        <f>MAX(O3:O139)</f>
        <v>0</v>
      </c>
      <c r="P145" s="4"/>
      <c r="Q145"/>
      <c r="R145"/>
      <c r="S145"/>
      <c r="T145" s="55"/>
      <c r="U145" s="55"/>
      <c r="V145" s="55"/>
      <c r="W145" s="55"/>
      <c r="X145" s="55"/>
      <c r="Y145" s="55"/>
      <c r="Z145" s="56"/>
      <c r="AA145" s="56"/>
    </row>
    <row r="146" spans="2:27" s="2" customFormat="1" ht="15.75" thickBot="1" x14ac:dyDescent="0.3">
      <c r="B146" s="60"/>
      <c r="C146" s="60"/>
      <c r="D146" s="60"/>
      <c r="E146" s="14"/>
      <c r="F146" s="14"/>
      <c r="G146" s="40"/>
      <c r="H146" s="14"/>
      <c r="I146" s="34" t="s">
        <v>9</v>
      </c>
      <c r="J146" s="3">
        <f>COUNT(P3:P139)</f>
        <v>6</v>
      </c>
      <c r="K146" s="3"/>
      <c r="L146" s="3"/>
      <c r="M146" s="71" t="s">
        <v>15</v>
      </c>
      <c r="N146" s="6" t="s">
        <v>15</v>
      </c>
      <c r="O146" s="7" t="s">
        <v>15</v>
      </c>
      <c r="P146" s="4"/>
      <c r="Q146"/>
      <c r="R146"/>
      <c r="S146"/>
      <c r="T146" s="55"/>
      <c r="U146" s="55"/>
      <c r="V146" s="55"/>
      <c r="W146" s="55"/>
      <c r="X146" s="55"/>
      <c r="Y146" s="55"/>
      <c r="Z146" s="56"/>
      <c r="AA146" s="56"/>
    </row>
    <row r="147" spans="2:27" s="2" customFormat="1" ht="30.75" thickBot="1" x14ac:dyDescent="0.3">
      <c r="E147" s="31"/>
      <c r="F147" s="31"/>
      <c r="G147" s="39"/>
      <c r="H147" s="31"/>
      <c r="I147" s="32" t="s">
        <v>16</v>
      </c>
      <c r="J147" s="3">
        <f>COUNT(N3:O139)</f>
        <v>127</v>
      </c>
      <c r="K147" s="3"/>
      <c r="L147" s="3"/>
      <c r="M147" s="71">
        <f>AVERAGE(N3:P139)</f>
        <v>44.217167919802769</v>
      </c>
      <c r="N147" s="6">
        <f>MIN(N3:O139)</f>
        <v>35.550000001676381</v>
      </c>
      <c r="O147" s="7">
        <f>MAX(N3:O139)</f>
        <v>67.416666668141261</v>
      </c>
      <c r="P147" s="5"/>
      <c r="T147" s="57"/>
      <c r="U147" s="57"/>
      <c r="V147" s="57"/>
      <c r="W147" s="57"/>
      <c r="X147" s="57"/>
      <c r="Y147" s="57"/>
      <c r="Z147" s="58"/>
      <c r="AA147" s="58"/>
    </row>
    <row r="148" spans="2:27" s="2" customFormat="1" ht="30.75" thickBot="1" x14ac:dyDescent="0.3">
      <c r="B148" s="60"/>
      <c r="C148" s="60"/>
      <c r="D148" s="60"/>
      <c r="E148" s="14"/>
      <c r="F148" s="14"/>
      <c r="G148" s="40"/>
      <c r="H148" s="14"/>
      <c r="I148" s="32" t="s">
        <v>19</v>
      </c>
      <c r="J148" s="8">
        <f>J147/J143</f>
        <v>0.95488721804511278</v>
      </c>
      <c r="K148" s="8"/>
      <c r="L148" s="8"/>
      <c r="M148" s="1"/>
      <c r="N148" s="4"/>
      <c r="O148" s="4"/>
      <c r="P148" s="4"/>
      <c r="Q148"/>
      <c r="R148"/>
      <c r="S148"/>
      <c r="T148" s="55"/>
      <c r="U148" s="55"/>
      <c r="V148" s="55"/>
      <c r="W148" s="55"/>
      <c r="X148" s="55"/>
      <c r="Y148" s="55"/>
      <c r="Z148" s="56"/>
      <c r="AA148" s="56"/>
    </row>
    <row r="149" spans="2:27" s="2" customFormat="1" x14ac:dyDescent="0.25">
      <c r="B149" s="60"/>
      <c r="C149" s="60"/>
      <c r="D149" s="60"/>
      <c r="E149" s="14"/>
      <c r="F149" s="14"/>
      <c r="G149" s="40"/>
      <c r="H149" s="14"/>
      <c r="I149" s="14"/>
      <c r="J149" s="60"/>
      <c r="K149"/>
      <c r="L149" s="60"/>
      <c r="M149" s="1"/>
      <c r="N149" s="4"/>
      <c r="O149" s="4"/>
      <c r="P149" s="4"/>
      <c r="Q149"/>
      <c r="R149"/>
      <c r="S149"/>
      <c r="T149" s="55"/>
      <c r="U149" s="55"/>
      <c r="V149" s="55"/>
      <c r="W149" s="55"/>
      <c r="X149" s="55"/>
      <c r="Y149" s="55"/>
      <c r="Z149" s="56"/>
      <c r="AA149" s="56"/>
    </row>
    <row r="150" spans="2:27" s="2" customFormat="1" x14ac:dyDescent="0.25">
      <c r="B150"/>
      <c r="C150"/>
      <c r="D150"/>
      <c r="E150" s="14"/>
      <c r="F150" s="14"/>
      <c r="G150" s="40"/>
      <c r="H150" s="14"/>
      <c r="I150" s="14"/>
      <c r="J150"/>
      <c r="K150"/>
      <c r="L150" s="60"/>
      <c r="M150" s="1"/>
      <c r="N150" s="4"/>
      <c r="O150" s="4"/>
      <c r="P150" s="4"/>
      <c r="Q150"/>
      <c r="R150"/>
      <c r="S150"/>
      <c r="T150" s="55"/>
      <c r="U150" s="55"/>
      <c r="V150" s="55"/>
      <c r="W150" s="55"/>
      <c r="X150" s="55"/>
      <c r="Y150" s="55"/>
      <c r="Z150" s="56"/>
      <c r="AA150" s="56"/>
    </row>
    <row r="151" spans="2:27" s="2" customFormat="1" x14ac:dyDescent="0.25">
      <c r="B151"/>
      <c r="C151"/>
      <c r="D151"/>
      <c r="E151" s="14"/>
      <c r="F151" s="14"/>
      <c r="G151" s="40"/>
      <c r="H151" s="14"/>
      <c r="I151" s="14"/>
      <c r="J151"/>
      <c r="K151"/>
      <c r="L151" s="60"/>
      <c r="M151" s="1"/>
      <c r="N151" s="4"/>
      <c r="O151" s="4"/>
      <c r="P151" s="4"/>
      <c r="Q151"/>
      <c r="R151"/>
      <c r="S151"/>
      <c r="T151" s="55"/>
      <c r="U151" s="55"/>
      <c r="V151" s="55"/>
      <c r="W151" s="55"/>
      <c r="X151" s="55"/>
      <c r="Y151" s="55"/>
      <c r="Z151" s="56"/>
      <c r="AA151" s="56"/>
    </row>
    <row r="152" spans="2:27" s="2" customFormat="1" x14ac:dyDescent="0.25">
      <c r="B152"/>
      <c r="C152"/>
      <c r="D152"/>
      <c r="E152" s="14"/>
      <c r="F152" s="14"/>
      <c r="G152" s="40"/>
      <c r="H152" s="14"/>
      <c r="I152" s="14"/>
      <c r="J152"/>
      <c r="K152"/>
      <c r="L152" s="60"/>
      <c r="M152" s="1"/>
      <c r="N152" s="4"/>
      <c r="O152" s="4"/>
      <c r="P152" s="4"/>
      <c r="Q152"/>
      <c r="R152"/>
      <c r="S152"/>
      <c r="T152" s="55"/>
      <c r="U152" s="55"/>
      <c r="V152" s="55"/>
      <c r="W152" s="55"/>
      <c r="X152" s="55"/>
      <c r="Y152" s="55"/>
      <c r="Z152" s="56"/>
      <c r="AA152" s="56"/>
    </row>
    <row r="153" spans="2:27" s="2" customFormat="1" x14ac:dyDescent="0.25">
      <c r="B153"/>
      <c r="C153"/>
      <c r="D153"/>
      <c r="E153" s="14"/>
      <c r="F153" s="14"/>
      <c r="G153" s="40"/>
      <c r="H153" s="14"/>
      <c r="I153" s="14"/>
      <c r="J153"/>
      <c r="K153"/>
      <c r="L153" s="60"/>
      <c r="M153" s="1"/>
      <c r="N153" s="4"/>
      <c r="O153" s="4"/>
      <c r="P153" s="4"/>
      <c r="Q153"/>
      <c r="R153"/>
      <c r="S153"/>
      <c r="T153" s="55"/>
      <c r="U153" s="55"/>
      <c r="V153" s="55"/>
      <c r="W153" s="55"/>
      <c r="X153" s="55"/>
      <c r="Y153" s="55"/>
      <c r="Z153" s="56"/>
      <c r="AA153" s="56"/>
    </row>
    <row r="156" spans="2:27" s="2" customFormat="1" x14ac:dyDescent="0.25">
      <c r="B156"/>
      <c r="C156"/>
      <c r="D156"/>
      <c r="E156" s="14"/>
      <c r="F156" s="14"/>
      <c r="G156" s="40"/>
      <c r="H156" s="14"/>
      <c r="I156" s="14"/>
      <c r="J156"/>
      <c r="K156"/>
      <c r="L156" s="60"/>
      <c r="M156" s="1"/>
      <c r="N156" s="4"/>
      <c r="O156" s="4"/>
      <c r="P156" s="4"/>
      <c r="Q156"/>
      <c r="R156"/>
      <c r="S156"/>
      <c r="T156" s="55"/>
      <c r="U156" s="55"/>
      <c r="V156" s="55"/>
      <c r="W156" s="55"/>
      <c r="X156" s="55"/>
      <c r="Y156" s="55"/>
      <c r="Z156" s="56"/>
      <c r="AA156" s="56"/>
    </row>
  </sheetData>
  <autoFilter ref="A2:AA139"/>
  <sortState ref="A3:Y144">
    <sortCondition ref="A3:A144"/>
  </sortState>
  <mergeCells count="4">
    <mergeCell ref="I141:J141"/>
    <mergeCell ref="M141:O141"/>
    <mergeCell ref="I142:J142"/>
    <mergeCell ref="A1:P1"/>
  </mergeCells>
  <conditionalFormatting sqref="U1:U2 U3:V1048576">
    <cfRule type="cellIs" dxfId="9" priority="21" operator="equal">
      <formula>"Y"</formula>
    </cfRule>
  </conditionalFormatting>
  <conditionalFormatting sqref="V3:V1048576">
    <cfRule type="cellIs" dxfId="8" priority="4" operator="greaterThan">
      <formula>1</formula>
    </cfRule>
  </conditionalFormatting>
  <conditionalFormatting sqref="A140:P140 A3:R139">
    <cfRule type="expression" dxfId="7" priority="35">
      <formula>$P3&gt;0</formula>
    </cfRule>
    <cfRule type="expression" dxfId="6" priority="36">
      <formula>$O3&gt;0</formula>
    </cfRule>
  </conditionalFormatting>
  <conditionalFormatting sqref="Q140:R140">
    <cfRule type="expression" dxfId="5" priority="77">
      <formula>$P140&gt;0</formula>
    </cfRule>
    <cfRule type="expression" dxfId="4" priority="78">
      <formula>$O159&gt;0</formula>
    </cfRule>
  </conditionalFormatting>
  <conditionalFormatting sqref="V2:V1048576">
    <cfRule type="cellIs" dxfId="3" priority="1" operator="equal">
      <formula>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4" id="{BC54A837-71A9-4A94-B0E2-11F0B57C895C}">
            <xm:f>$N3&gt;Variables!$C$2</xm:f>
            <x14:dxf>
              <fill>
                <patternFill>
                  <bgColor theme="5" tint="0.79998168889431442"/>
                </patternFill>
              </fill>
            </x14:dxf>
          </x14:cfRule>
          <xm:sqref>A3:R140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1"/>
  <sheetViews>
    <sheetView showGridLines="0" tabSelected="1" topLeftCell="A22" zoomScale="85" zoomScaleNormal="85" workbookViewId="0">
      <selection activeCell="N48" sqref="N48"/>
    </sheetView>
  </sheetViews>
  <sheetFormatPr defaultRowHeight="15" x14ac:dyDescent="0.25"/>
  <cols>
    <col min="1" max="1" width="18.42578125" style="14" customWidth="1"/>
    <col min="2" max="2" width="17.5703125" customWidth="1"/>
    <col min="3" max="3" width="9.140625" customWidth="1"/>
    <col min="4" max="4" width="26.5703125" customWidth="1"/>
    <col min="5" max="5" width="30.5703125" bestFit="1" customWidth="1"/>
    <col min="6" max="6" width="7.5703125" customWidth="1"/>
    <col min="7" max="7" width="7.140625" customWidth="1"/>
    <col min="8" max="8" width="9" customWidth="1"/>
    <col min="9" max="9" width="23.85546875" bestFit="1" customWidth="1"/>
    <col min="10" max="10" width="10.85546875" customWidth="1"/>
    <col min="11" max="11" width="24" customWidth="1"/>
    <col min="12" max="12" width="13.5703125" bestFit="1" customWidth="1"/>
    <col min="13" max="13" width="6.7109375" customWidth="1"/>
    <col min="14" max="14" width="43.5703125" bestFit="1" customWidth="1"/>
    <col min="16" max="16" width="9.140625" style="82"/>
  </cols>
  <sheetData>
    <row r="1" spans="1:16" s="26" customFormat="1" ht="15" customHeight="1" x14ac:dyDescent="0.25">
      <c r="A1" s="92" t="str">
        <f>"Eagle P3 Braking Events - "&amp;TEXT(Variables!$A$2,"YYYY-mm-dd")</f>
        <v>Eagle P3 Braking Events - 2016-05-18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27"/>
      <c r="P1" s="80"/>
    </row>
    <row r="2" spans="1:16" s="2" customFormat="1" ht="75" x14ac:dyDescent="0.25">
      <c r="A2" s="25" t="s">
        <v>40</v>
      </c>
      <c r="B2" s="24" t="s">
        <v>39</v>
      </c>
      <c r="C2" s="24" t="s">
        <v>38</v>
      </c>
      <c r="D2" s="24" t="s">
        <v>37</v>
      </c>
      <c r="E2" s="24" t="s">
        <v>36</v>
      </c>
      <c r="F2" s="24" t="s">
        <v>35</v>
      </c>
      <c r="G2" s="24" t="s">
        <v>34</v>
      </c>
      <c r="H2" s="24" t="s">
        <v>33</v>
      </c>
      <c r="I2" s="24" t="s">
        <v>32</v>
      </c>
      <c r="J2" s="24" t="s">
        <v>31</v>
      </c>
      <c r="K2" s="24" t="s">
        <v>30</v>
      </c>
      <c r="L2" s="24" t="s">
        <v>50</v>
      </c>
      <c r="M2" s="24" t="s">
        <v>29</v>
      </c>
      <c r="N2" s="24" t="s">
        <v>24</v>
      </c>
      <c r="P2" s="83" t="s">
        <v>510</v>
      </c>
    </row>
    <row r="3" spans="1:16" s="19" customFormat="1" x14ac:dyDescent="0.25">
      <c r="A3" s="23">
        <v>42508.456666666665</v>
      </c>
      <c r="B3" s="22" t="s">
        <v>262</v>
      </c>
      <c r="C3" s="22" t="s">
        <v>334</v>
      </c>
      <c r="D3" s="22" t="s">
        <v>52</v>
      </c>
      <c r="E3" s="22" t="s">
        <v>182</v>
      </c>
      <c r="F3" s="22">
        <v>0</v>
      </c>
      <c r="G3" s="22">
        <v>54</v>
      </c>
      <c r="H3" s="22">
        <v>59049</v>
      </c>
      <c r="I3" s="22" t="s">
        <v>183</v>
      </c>
      <c r="J3" s="22">
        <v>58904</v>
      </c>
      <c r="K3" s="21" t="s">
        <v>56</v>
      </c>
      <c r="L3" s="21" t="str">
        <f>VLOOKUP(C3,'Trips&amp;Operators'!$C$1:$E$9999,3,FALSE)</f>
        <v>RIVERA</v>
      </c>
      <c r="M3" s="20" t="s">
        <v>93</v>
      </c>
      <c r="N3" s="21" t="s">
        <v>511</v>
      </c>
      <c r="P3" s="81" t="str">
        <f>VLOOKUP(C3,'Train Runs'!$A$3:$T$248,20,0)</f>
        <v>https://search-rtdc-monitor-bjffxe2xuh6vdkpspy63sjmuny.us-east-1.es.amazonaws.com/_plugin/kibana/#/discover/Steve-Slow-Train-Analysis-(2080s-and-2083s)?_g=(refreshInterval:(display:Off,section:0,value:0),time:(from:'2016-05-18 10:19:03-0600',mode:absolute,to:'2016-05-18 11:15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</row>
    <row r="4" spans="1:16" s="19" customFormat="1" x14ac:dyDescent="0.25">
      <c r="A4" s="23">
        <v>42508.478912037041</v>
      </c>
      <c r="B4" s="22" t="s">
        <v>64</v>
      </c>
      <c r="C4" s="22" t="s">
        <v>352</v>
      </c>
      <c r="D4" s="22" t="s">
        <v>52</v>
      </c>
      <c r="E4" s="22" t="s">
        <v>182</v>
      </c>
      <c r="F4" s="22">
        <v>0</v>
      </c>
      <c r="G4" s="22">
        <v>20</v>
      </c>
      <c r="H4" s="22">
        <v>62938</v>
      </c>
      <c r="I4" s="22" t="s">
        <v>183</v>
      </c>
      <c r="J4" s="22">
        <v>63068</v>
      </c>
      <c r="K4" s="21" t="s">
        <v>55</v>
      </c>
      <c r="L4" s="21" t="str">
        <f>VLOOKUP(C4,'Trips&amp;Operators'!$C$1:$E$9999,3,FALSE)</f>
        <v>CHANDLER</v>
      </c>
      <c r="M4" s="20" t="s">
        <v>93</v>
      </c>
      <c r="N4" s="21" t="s">
        <v>512</v>
      </c>
      <c r="P4" s="81" t="str">
        <f>VLOOKUP(C4,'Train Runs'!$A$3:$T$248,20,0)</f>
        <v>https://search-rtdc-monitor-bjffxe2xuh6vdkpspy63sjmuny.us-east-1.es.amazonaws.com/_plugin/kibana/#/discover/Steve-Slow-Train-Analysis-(2080s-and-2083s)?_g=(refreshInterval:(display:Off,section:0,value:0),time:(from:'2016-05-18 10:55:32-0600',mode:absolute,to:'2016-05-18 12:06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</row>
    <row r="5" spans="1:16" s="19" customFormat="1" x14ac:dyDescent="0.25">
      <c r="A5" s="23">
        <v>42508.556967592594</v>
      </c>
      <c r="B5" s="22" t="s">
        <v>181</v>
      </c>
      <c r="C5" s="22" t="s">
        <v>376</v>
      </c>
      <c r="D5" s="22" t="s">
        <v>52</v>
      </c>
      <c r="E5" s="22" t="s">
        <v>182</v>
      </c>
      <c r="F5" s="22">
        <v>630</v>
      </c>
      <c r="G5" s="22">
        <v>685</v>
      </c>
      <c r="H5" s="22">
        <v>57434</v>
      </c>
      <c r="I5" s="22" t="s">
        <v>183</v>
      </c>
      <c r="J5" s="22">
        <v>58783</v>
      </c>
      <c r="K5" s="21" t="s">
        <v>55</v>
      </c>
      <c r="L5" s="21" t="str">
        <f>VLOOKUP(C5,'Trips&amp;Operators'!$C$1:$E$9999,3,FALSE)</f>
        <v>SPECTOR</v>
      </c>
      <c r="M5" s="20" t="s">
        <v>93</v>
      </c>
      <c r="N5" s="21" t="s">
        <v>511</v>
      </c>
      <c r="P5" s="81" t="str">
        <f>VLOOKUP(C5,'Train Runs'!$A$3:$T$248,20,0)</f>
        <v>https://search-rtdc-monitor-bjffxe2xuh6vdkpspy63sjmuny.us-east-1.es.amazonaws.com/_plugin/kibana/#/discover/Steve-Slow-Train-Analysis-(2080s-and-2083s)?_g=(refreshInterval:(display:Off,section:0,value:0),time:(from:'2016-05-18 13:03:32-0600',mode:absolute,to:'2016-05-18 13:50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</row>
    <row r="6" spans="1:16" s="19" customFormat="1" x14ac:dyDescent="0.25">
      <c r="A6" s="23">
        <v>42508.608530092592</v>
      </c>
      <c r="B6" s="22" t="s">
        <v>65</v>
      </c>
      <c r="C6" s="22" t="s">
        <v>380</v>
      </c>
      <c r="D6" s="22" t="s">
        <v>52</v>
      </c>
      <c r="E6" s="22" t="s">
        <v>182</v>
      </c>
      <c r="F6" s="22">
        <v>50</v>
      </c>
      <c r="G6" s="22">
        <v>158</v>
      </c>
      <c r="H6" s="22">
        <v>63868</v>
      </c>
      <c r="I6" s="22" t="s">
        <v>183</v>
      </c>
      <c r="J6" s="22">
        <v>63309</v>
      </c>
      <c r="K6" s="21" t="s">
        <v>56</v>
      </c>
      <c r="L6" s="21" t="str">
        <f>VLOOKUP(C6,'Trips&amp;Operators'!$C$1:$E$9999,3,FALSE)</f>
        <v>YOUNG</v>
      </c>
      <c r="M6" s="20" t="s">
        <v>93</v>
      </c>
      <c r="N6" s="21" t="s">
        <v>512</v>
      </c>
      <c r="P6" s="81" t="str">
        <f>VLOOKUP(C6,'Train Runs'!$A$3:$T$248,20,0)</f>
        <v>https://search-rtdc-monitor-bjffxe2xuh6vdkpspy63sjmuny.us-east-1.es.amazonaws.com/_plugin/kibana/#/discover/Steve-Slow-Train-Analysis-(2080s-and-2083s)?_g=(refreshInterval:(display:Off,section:0,value:0),time:(from:'2016-05-18 14:05:57-0600',mode:absolute,to:'2016-05-18 14:52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</row>
    <row r="7" spans="1:16" s="19" customFormat="1" x14ac:dyDescent="0.25">
      <c r="A7" s="23">
        <v>42508.868738425925</v>
      </c>
      <c r="B7" s="22" t="s">
        <v>173</v>
      </c>
      <c r="C7" s="22" t="s">
        <v>436</v>
      </c>
      <c r="D7" s="22" t="s">
        <v>52</v>
      </c>
      <c r="E7" s="22" t="s">
        <v>182</v>
      </c>
      <c r="F7" s="22">
        <v>180</v>
      </c>
      <c r="G7" s="22">
        <v>487</v>
      </c>
      <c r="H7" s="22">
        <v>60010</v>
      </c>
      <c r="I7" s="22" t="s">
        <v>183</v>
      </c>
      <c r="J7" s="22">
        <v>58904</v>
      </c>
      <c r="K7" s="21" t="s">
        <v>56</v>
      </c>
      <c r="L7" s="21" t="str">
        <f>VLOOKUP(C7,'Trips&amp;Operators'!$C$1:$E$9999,3,FALSE)</f>
        <v>ADANE</v>
      </c>
      <c r="M7" s="20" t="s">
        <v>93</v>
      </c>
      <c r="N7" s="21" t="s">
        <v>511</v>
      </c>
      <c r="P7" s="81" t="str">
        <f>VLOOKUP(C7,'Train Runs'!$A$3:$T$248,20,0)</f>
        <v>https://search-rtdc-monitor-bjffxe2xuh6vdkpspy63sjmuny.us-east-1.es.amazonaws.com/_plugin/kibana/#/discover/Steve-Slow-Train-Analysis-(2080s-and-2083s)?_g=(refreshInterval:(display:Off,section:0,value:0),time:(from:'2016-05-18 20:19:22-0600',mode:absolute,to:'2016-05-18 21:08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</row>
    <row r="8" spans="1:16" s="19" customFormat="1" x14ac:dyDescent="0.25">
      <c r="A8" s="23">
        <v>42508.931990740741</v>
      </c>
      <c r="B8" s="22" t="s">
        <v>119</v>
      </c>
      <c r="C8" s="22" t="s">
        <v>446</v>
      </c>
      <c r="D8" s="22" t="s">
        <v>52</v>
      </c>
      <c r="E8" s="22" t="s">
        <v>182</v>
      </c>
      <c r="F8" s="22">
        <v>0</v>
      </c>
      <c r="G8" s="22">
        <v>343</v>
      </c>
      <c r="H8" s="22">
        <v>127329</v>
      </c>
      <c r="I8" s="22" t="s">
        <v>183</v>
      </c>
      <c r="J8" s="22">
        <v>127562</v>
      </c>
      <c r="K8" s="21" t="s">
        <v>55</v>
      </c>
      <c r="L8" s="21" t="str">
        <f>VLOOKUP(C8,'Trips&amp;Operators'!$C$1:$E$9999,3,FALSE)</f>
        <v>GOLIGHTLY</v>
      </c>
      <c r="M8" s="20" t="s">
        <v>191</v>
      </c>
      <c r="N8" s="21" t="s">
        <v>513</v>
      </c>
      <c r="P8" s="81" t="str">
        <f>VLOOKUP(C8,'Train Runs'!$A$3:$T$248,20,0)</f>
        <v>https://search-rtdc-monitor-bjffxe2xuh6vdkpspy63sjmuny.us-east-1.es.amazonaws.com/_plugin/kibana/#/discover/Steve-Slow-Train-Analysis-(2080s-and-2083s)?_g=(refreshInterval:(display:Off,section:0,value:0),time:(from:'2016-05-18 21:46:25-0600',mode:absolute,to:'2016-05-18 22:39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</row>
    <row r="9" spans="1:16" s="19" customFormat="1" x14ac:dyDescent="0.25">
      <c r="A9" s="23">
        <v>42508.273576388892</v>
      </c>
      <c r="B9" s="22" t="s">
        <v>65</v>
      </c>
      <c r="C9" s="22" t="s">
        <v>252</v>
      </c>
      <c r="D9" s="22" t="s">
        <v>57</v>
      </c>
      <c r="E9" s="22" t="s">
        <v>60</v>
      </c>
      <c r="F9" s="22">
        <v>700</v>
      </c>
      <c r="G9" s="22">
        <v>750</v>
      </c>
      <c r="H9" s="22">
        <v>179620</v>
      </c>
      <c r="I9" s="22" t="s">
        <v>61</v>
      </c>
      <c r="J9" s="22">
        <v>183829</v>
      </c>
      <c r="K9" s="21" t="s">
        <v>56</v>
      </c>
      <c r="L9" s="21" t="str">
        <f>VLOOKUP(C9,'Trips&amp;Operators'!$C$1:$E$9999,3,FALSE)</f>
        <v>CHANDLER</v>
      </c>
      <c r="M9" s="20" t="s">
        <v>93</v>
      </c>
      <c r="N9" s="21"/>
      <c r="P9" s="81" t="str">
        <f>VLOOKUP(C9,'Train Runs'!$A$3:$T$248,20,0)</f>
        <v>https://search-rtdc-monitor-bjffxe2xuh6vdkpspy63sjmuny.us-east-1.es.amazonaws.com/_plugin/kibana/#/discover/Steve-Slow-Train-Analysis-(2080s-and-2083s)?_g=(refreshInterval:(display:Off,section:0,value:0),time:(from:'2016-05-18 06:18:59-0600',mode:absolute,to:'2016-05-18 07:06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</row>
    <row r="10" spans="1:16" s="19" customFormat="1" x14ac:dyDescent="0.25">
      <c r="A10" s="23">
        <v>42508.326747685183</v>
      </c>
      <c r="B10" s="22" t="s">
        <v>98</v>
      </c>
      <c r="C10" s="22" t="s">
        <v>303</v>
      </c>
      <c r="D10" s="22" t="s">
        <v>52</v>
      </c>
      <c r="E10" s="22" t="s">
        <v>60</v>
      </c>
      <c r="F10" s="22">
        <v>400</v>
      </c>
      <c r="G10" s="22">
        <v>648</v>
      </c>
      <c r="H10" s="22">
        <v>113869</v>
      </c>
      <c r="I10" s="22" t="s">
        <v>61</v>
      </c>
      <c r="J10" s="22">
        <v>116838</v>
      </c>
      <c r="K10" s="21" t="s">
        <v>55</v>
      </c>
      <c r="L10" s="21" t="str">
        <f>VLOOKUP(C10,'Trips&amp;Operators'!$C$1:$E$9999,3,FALSE)</f>
        <v>STARKS</v>
      </c>
      <c r="M10" s="20" t="s">
        <v>93</v>
      </c>
      <c r="N10" s="21"/>
      <c r="P10" s="81" t="str">
        <f>VLOOKUP(C10,'Train Runs'!$A$3:$T$248,20,0)</f>
        <v>https://search-rtdc-monitor-bjffxe2xuh6vdkpspy63sjmuny.us-east-1.es.amazonaws.com/_plugin/kibana/#/discover/Steve-Slow-Train-Analysis-(2080s-and-2083s)?_g=(refreshInterval:(display:Off,section:0,value:0),time:(from:'2016-05-18 07:23:23-0600',mode:absolute,to:'2016-05-18 08:09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</row>
    <row r="11" spans="1:16" s="19" customFormat="1" x14ac:dyDescent="0.25">
      <c r="A11" s="23">
        <v>42508.383043981485</v>
      </c>
      <c r="B11" s="22" t="s">
        <v>262</v>
      </c>
      <c r="C11" s="22" t="s">
        <v>310</v>
      </c>
      <c r="D11" s="22" t="s">
        <v>52</v>
      </c>
      <c r="E11" s="22" t="s">
        <v>60</v>
      </c>
      <c r="F11" s="22">
        <v>200</v>
      </c>
      <c r="G11" s="22">
        <v>326</v>
      </c>
      <c r="H11" s="22">
        <v>31832</v>
      </c>
      <c r="I11" s="22" t="s">
        <v>61</v>
      </c>
      <c r="J11" s="22">
        <v>30562</v>
      </c>
      <c r="K11" s="21" t="s">
        <v>56</v>
      </c>
      <c r="L11" s="21" t="str">
        <f>VLOOKUP(C11,'Trips&amp;Operators'!$C$1:$E$9999,3,FALSE)</f>
        <v>RIVERA</v>
      </c>
      <c r="M11" s="20" t="s">
        <v>93</v>
      </c>
      <c r="N11" s="21"/>
      <c r="P11" s="81" t="str">
        <f>VLOOKUP(C11,'Train Runs'!$A$3:$T$248,20,0)</f>
        <v>https://search-rtdc-monitor-bjffxe2xuh6vdkpspy63sjmuny.us-east-1.es.amazonaws.com/_plugin/kibana/#/discover/Steve-Slow-Train-Analysis-(2080s-and-2083s)?_g=(refreshInterval:(display:Off,section:0,value:0),time:(from:'2016-05-18 08:26:32-0600',mode:absolute,to:'2016-05-18 09:22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</row>
    <row r="12" spans="1:16" s="19" customFormat="1" x14ac:dyDescent="0.25">
      <c r="A12" s="23">
        <v>42508.387245370373</v>
      </c>
      <c r="B12" s="22" t="s">
        <v>262</v>
      </c>
      <c r="C12" s="22" t="s">
        <v>310</v>
      </c>
      <c r="D12" s="22" t="s">
        <v>52</v>
      </c>
      <c r="E12" s="22" t="s">
        <v>60</v>
      </c>
      <c r="F12" s="22">
        <v>200</v>
      </c>
      <c r="G12" s="22">
        <v>349</v>
      </c>
      <c r="H12" s="22">
        <v>6787</v>
      </c>
      <c r="I12" s="22" t="s">
        <v>61</v>
      </c>
      <c r="J12" s="22">
        <v>5439</v>
      </c>
      <c r="K12" s="21" t="s">
        <v>56</v>
      </c>
      <c r="L12" s="21" t="str">
        <f>VLOOKUP(C12,'Trips&amp;Operators'!$C$1:$E$9999,3,FALSE)</f>
        <v>RIVERA</v>
      </c>
      <c r="M12" s="20" t="s">
        <v>93</v>
      </c>
      <c r="N12" s="21"/>
      <c r="P12" s="81" t="str">
        <f>VLOOKUP(C12,'Train Runs'!$A$3:$T$248,20,0)</f>
        <v>https://search-rtdc-monitor-bjffxe2xuh6vdkpspy63sjmuny.us-east-1.es.amazonaws.com/_plugin/kibana/#/discover/Steve-Slow-Train-Analysis-(2080s-and-2083s)?_g=(refreshInterval:(display:Off,section:0,value:0),time:(from:'2016-05-18 08:26:32-0600',mode:absolute,to:'2016-05-18 09:22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</row>
    <row r="13" spans="1:16" s="19" customFormat="1" x14ac:dyDescent="0.25">
      <c r="A13" s="23">
        <v>42508.407465277778</v>
      </c>
      <c r="B13" s="22" t="s">
        <v>126</v>
      </c>
      <c r="C13" s="22" t="s">
        <v>322</v>
      </c>
      <c r="D13" s="22" t="s">
        <v>52</v>
      </c>
      <c r="E13" s="22" t="s">
        <v>60</v>
      </c>
      <c r="F13" s="22">
        <v>450</v>
      </c>
      <c r="G13" s="22">
        <v>456</v>
      </c>
      <c r="H13" s="22">
        <v>191853</v>
      </c>
      <c r="I13" s="22" t="s">
        <v>61</v>
      </c>
      <c r="J13" s="22">
        <v>191108</v>
      </c>
      <c r="K13" s="21" t="s">
        <v>56</v>
      </c>
      <c r="L13" s="21" t="str">
        <f>VLOOKUP(C13,'Trips&amp;Operators'!$C$1:$E$9999,3,FALSE)</f>
        <v>REBOLETTI</v>
      </c>
      <c r="M13" s="20" t="s">
        <v>93</v>
      </c>
      <c r="N13" s="21"/>
      <c r="P13" s="81" t="str">
        <f>VLOOKUP(C13,'Train Runs'!$A$3:$T$248,20,0)</f>
        <v>https://search-rtdc-monitor-bjffxe2xuh6vdkpspy63sjmuny.us-east-1.es.amazonaws.com/_plugin/kibana/#/discover/Steve-Slow-Train-Analysis-(2080s-and-2083s)?_g=(refreshInterval:(display:Off,section:0,value:0),time:(from:'2016-05-18 09:35:08-0600',mode:absolute,to:'2016-05-18 10:19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</row>
    <row r="14" spans="1:16" s="19" customFormat="1" x14ac:dyDescent="0.25">
      <c r="A14" s="23">
        <v>42508.465752314813</v>
      </c>
      <c r="B14" s="22" t="s">
        <v>262</v>
      </c>
      <c r="C14" s="22" t="s">
        <v>334</v>
      </c>
      <c r="D14" s="22" t="s">
        <v>52</v>
      </c>
      <c r="E14" s="22" t="s">
        <v>60</v>
      </c>
      <c r="F14" s="22">
        <v>200</v>
      </c>
      <c r="G14" s="22">
        <v>289</v>
      </c>
      <c r="H14" s="22">
        <v>6351</v>
      </c>
      <c r="I14" s="22" t="s">
        <v>61</v>
      </c>
      <c r="J14" s="22">
        <v>5457</v>
      </c>
      <c r="K14" s="21" t="s">
        <v>56</v>
      </c>
      <c r="L14" s="21" t="str">
        <f>VLOOKUP(C14,'Trips&amp;Operators'!$C$1:$E$9999,3,FALSE)</f>
        <v>RIVERA</v>
      </c>
      <c r="M14" s="20" t="s">
        <v>93</v>
      </c>
      <c r="N14" s="21"/>
      <c r="P14" s="81" t="str">
        <f>VLOOKUP(C14,'Train Runs'!$A$3:$T$248,20,0)</f>
        <v>https://search-rtdc-monitor-bjffxe2xuh6vdkpspy63sjmuny.us-east-1.es.amazonaws.com/_plugin/kibana/#/discover/Steve-Slow-Train-Analysis-(2080s-and-2083s)?_g=(refreshInterval:(display:Off,section:0,value:0),time:(from:'2016-05-18 10:19:03-0600',mode:absolute,to:'2016-05-18 11:15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</row>
    <row r="15" spans="1:16" s="19" customFormat="1" x14ac:dyDescent="0.25">
      <c r="A15" s="23">
        <v>42508.754143518519</v>
      </c>
      <c r="B15" s="22" t="s">
        <v>135</v>
      </c>
      <c r="C15" s="22" t="s">
        <v>421</v>
      </c>
      <c r="D15" s="22" t="s">
        <v>52</v>
      </c>
      <c r="E15" s="22" t="s">
        <v>60</v>
      </c>
      <c r="F15" s="22">
        <v>150</v>
      </c>
      <c r="G15" s="22">
        <v>141</v>
      </c>
      <c r="H15" s="22">
        <v>231516</v>
      </c>
      <c r="I15" s="22" t="s">
        <v>61</v>
      </c>
      <c r="J15" s="22">
        <v>232107</v>
      </c>
      <c r="K15" s="21" t="s">
        <v>55</v>
      </c>
      <c r="L15" s="21" t="str">
        <f>VLOOKUP(C15,'Trips&amp;Operators'!$C$1:$E$9999,3,FALSE)</f>
        <v>JACKSON</v>
      </c>
      <c r="M15" s="20" t="s">
        <v>93</v>
      </c>
      <c r="N15" s="21"/>
      <c r="P15" s="81" t="str">
        <f>VLOOKUP(C15,'Train Runs'!$A$3:$T$248,20,0)</f>
        <v>https://search-rtdc-monitor-bjffxe2xuh6vdkpspy63sjmuny.us-east-1.es.amazonaws.com/_plugin/kibana/#/discover/Steve-Slow-Train-Analysis-(2080s-and-2083s)?_g=(refreshInterval:(display:Off,section:0,value:0),time:(from:'2016-05-18 17:22:18-0600',mode:absolute,to:'2016-05-18 18:08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</row>
    <row r="16" spans="1:16" s="19" customFormat="1" x14ac:dyDescent="0.25">
      <c r="A16" s="23">
        <v>42508.463159722225</v>
      </c>
      <c r="B16" s="22" t="s">
        <v>137</v>
      </c>
      <c r="C16" s="22" t="s">
        <v>336</v>
      </c>
      <c r="D16" s="22" t="s">
        <v>52</v>
      </c>
      <c r="E16" s="22" t="s">
        <v>58</v>
      </c>
      <c r="F16" s="22">
        <v>0</v>
      </c>
      <c r="G16" s="22">
        <v>33</v>
      </c>
      <c r="H16" s="22">
        <v>64096</v>
      </c>
      <c r="I16" s="22" t="s">
        <v>59</v>
      </c>
      <c r="J16" s="22">
        <v>64008</v>
      </c>
      <c r="K16" s="21" t="s">
        <v>56</v>
      </c>
      <c r="L16" s="21" t="str">
        <f>VLOOKUP(C16,'Trips&amp;Operators'!$C$1:$E$9999,3,FALSE)</f>
        <v>STRICKLAND</v>
      </c>
      <c r="M16" s="20" t="s">
        <v>191</v>
      </c>
      <c r="N16" s="21" t="s">
        <v>507</v>
      </c>
      <c r="P16" s="81" t="str">
        <f>VLOOKUP(C16,'Train Runs'!$A$3:$T$248,20,0)</f>
        <v>https://search-rtdc-monitor-bjffxe2xuh6vdkpspy63sjmuny.us-east-1.es.amazonaws.com/_plugin/kibana/#/discover/Steve-Slow-Train-Analysis-(2080s-and-2083s)?_g=(refreshInterval:(display:Off,section:0,value:0),time:(from:'2016-05-18 10:28:50-0600',mode:absolute,to:'2016-05-18 11:09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</row>
    <row r="17" spans="1:16" s="19" customFormat="1" x14ac:dyDescent="0.25">
      <c r="A17" s="23">
        <v>42508.463541666664</v>
      </c>
      <c r="B17" s="22" t="s">
        <v>137</v>
      </c>
      <c r="C17" s="22" t="s">
        <v>336</v>
      </c>
      <c r="D17" s="22" t="s">
        <v>52</v>
      </c>
      <c r="E17" s="22" t="s">
        <v>58</v>
      </c>
      <c r="F17" s="22">
        <v>0</v>
      </c>
      <c r="G17" s="22">
        <v>24</v>
      </c>
      <c r="H17" s="22">
        <v>64049</v>
      </c>
      <c r="I17" s="22" t="s">
        <v>59</v>
      </c>
      <c r="J17" s="22">
        <v>64008</v>
      </c>
      <c r="K17" s="21" t="s">
        <v>56</v>
      </c>
      <c r="L17" s="21" t="str">
        <f>VLOOKUP(C17,'Trips&amp;Operators'!$C$1:$E$9999,3,FALSE)</f>
        <v>STRICKLAND</v>
      </c>
      <c r="M17" s="20" t="s">
        <v>93</v>
      </c>
      <c r="N17" s="21" t="s">
        <v>509</v>
      </c>
      <c r="P17" s="81" t="str">
        <f>VLOOKUP(C17,'Train Runs'!$A$3:$T$248,20,0)</f>
        <v>https://search-rtdc-monitor-bjffxe2xuh6vdkpspy63sjmuny.us-east-1.es.amazonaws.com/_plugin/kibana/#/discover/Steve-Slow-Train-Analysis-(2080s-and-2083s)?_g=(refreshInterval:(display:Off,section:0,value:0),time:(from:'2016-05-18 10:28:50-0600',mode:absolute,to:'2016-05-18 11:09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</row>
    <row r="18" spans="1:16" s="19" customFormat="1" x14ac:dyDescent="0.25">
      <c r="A18" s="23">
        <v>42508.464259259257</v>
      </c>
      <c r="B18" s="22" t="s">
        <v>137</v>
      </c>
      <c r="C18" s="22" t="s">
        <v>336</v>
      </c>
      <c r="D18" s="22" t="s">
        <v>52</v>
      </c>
      <c r="E18" s="22" t="s">
        <v>58</v>
      </c>
      <c r="F18" s="22">
        <v>0</v>
      </c>
      <c r="G18" s="22">
        <v>20</v>
      </c>
      <c r="H18" s="22">
        <v>64027</v>
      </c>
      <c r="I18" s="22" t="s">
        <v>59</v>
      </c>
      <c r="J18" s="22">
        <v>64008</v>
      </c>
      <c r="K18" s="21" t="s">
        <v>56</v>
      </c>
      <c r="L18" s="21" t="str">
        <f>VLOOKUP(C18,'Trips&amp;Operators'!$C$1:$E$9999,3,FALSE)</f>
        <v>STRICKLAND</v>
      </c>
      <c r="M18" s="20" t="s">
        <v>93</v>
      </c>
      <c r="N18" s="21" t="s">
        <v>509</v>
      </c>
      <c r="P18" s="81" t="str">
        <f>VLOOKUP(C18,'Train Runs'!$A$3:$T$248,20,0)</f>
        <v>https://search-rtdc-monitor-bjffxe2xuh6vdkpspy63sjmuny.us-east-1.es.amazonaws.com/_plugin/kibana/#/discover/Steve-Slow-Train-Analysis-(2080s-and-2083s)?_g=(refreshInterval:(display:Off,section:0,value:0),time:(from:'2016-05-18 10:28:50-0600',mode:absolute,to:'2016-05-18 11:09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</row>
    <row r="19" spans="1:16" s="19" customFormat="1" x14ac:dyDescent="0.25">
      <c r="A19" s="23">
        <v>42508.472500000003</v>
      </c>
      <c r="B19" s="22" t="s">
        <v>190</v>
      </c>
      <c r="C19" s="22" t="s">
        <v>341</v>
      </c>
      <c r="D19" s="22" t="s">
        <v>52</v>
      </c>
      <c r="E19" s="22" t="s">
        <v>58</v>
      </c>
      <c r="F19" s="22">
        <v>0</v>
      </c>
      <c r="G19" s="22">
        <v>31</v>
      </c>
      <c r="H19" s="22">
        <v>64064</v>
      </c>
      <c r="I19" s="22" t="s">
        <v>59</v>
      </c>
      <c r="J19" s="22">
        <v>64008</v>
      </c>
      <c r="K19" s="21" t="s">
        <v>56</v>
      </c>
      <c r="L19" s="21" t="str">
        <f>VLOOKUP(C19,'Trips&amp;Operators'!$C$1:$E$9999,3,FALSE)</f>
        <v>ACKERMAN</v>
      </c>
      <c r="M19" s="20" t="s">
        <v>93</v>
      </c>
      <c r="N19" s="21" t="s">
        <v>508</v>
      </c>
      <c r="P19" s="81" t="str">
        <f>VLOOKUP(C19,'Train Runs'!$A$3:$T$248,20,0)</f>
        <v>https://search-rtdc-monitor-bjffxe2xuh6vdkpspy63sjmuny.us-east-1.es.amazonaws.com/_plugin/kibana/#/discover/Steve-Slow-Train-Analysis-(2080s-and-2083s)?_g=(refreshInterval:(display:Off,section:0,value:0),time:(from:'2016-05-18 11:30:46-0600',mode:absolute,to:'2016-05-18 11:42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</row>
    <row r="20" spans="1:16" s="19" customFormat="1" x14ac:dyDescent="0.25">
      <c r="A20" s="23">
        <v>42508.524050925924</v>
      </c>
      <c r="B20" s="22" t="s">
        <v>135</v>
      </c>
      <c r="C20" s="22" t="s">
        <v>363</v>
      </c>
      <c r="D20" s="22" t="s">
        <v>52</v>
      </c>
      <c r="E20" s="22" t="s">
        <v>58</v>
      </c>
      <c r="F20" s="22">
        <v>0</v>
      </c>
      <c r="G20" s="22">
        <v>23</v>
      </c>
      <c r="H20" s="22">
        <v>228018</v>
      </c>
      <c r="I20" s="22" t="s">
        <v>59</v>
      </c>
      <c r="J20" s="22">
        <v>228572</v>
      </c>
      <c r="K20" s="21" t="s">
        <v>55</v>
      </c>
      <c r="L20" s="21" t="str">
        <f>VLOOKUP(C20,'Trips&amp;Operators'!$C$1:$E$9999,3,FALSE)</f>
        <v>HAUSER</v>
      </c>
      <c r="M20" s="20" t="s">
        <v>191</v>
      </c>
      <c r="N20" s="21" t="s">
        <v>515</v>
      </c>
      <c r="P20" s="81" t="str">
        <f>VLOOKUP(C20,'Train Runs'!$A$3:$T$248,20,0)</f>
        <v>https://search-rtdc-monitor-bjffxe2xuh6vdkpspy63sjmuny.us-east-1.es.amazonaws.com/_plugin/kibana/#/discover/Steve-Slow-Train-Analysis-(2080s-and-2083s)?_g=(refreshInterval:(display:Off,section:0,value:0),time:(from:'2016-05-18 11:37:33-0600',mode:absolute,to:'2016-05-18 12:40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</row>
    <row r="21" spans="1:16" s="19" customFormat="1" x14ac:dyDescent="0.25">
      <c r="A21" s="23">
        <v>42508.524421296293</v>
      </c>
      <c r="B21" s="22" t="s">
        <v>135</v>
      </c>
      <c r="C21" s="22" t="s">
        <v>363</v>
      </c>
      <c r="D21" s="22" t="s">
        <v>52</v>
      </c>
      <c r="E21" s="22" t="s">
        <v>58</v>
      </c>
      <c r="F21" s="22">
        <v>0</v>
      </c>
      <c r="G21" s="22">
        <v>14</v>
      </c>
      <c r="H21" s="22">
        <v>228083</v>
      </c>
      <c r="I21" s="22" t="s">
        <v>59</v>
      </c>
      <c r="J21" s="22">
        <v>228572</v>
      </c>
      <c r="K21" s="21" t="s">
        <v>55</v>
      </c>
      <c r="L21" s="21" t="str">
        <f>VLOOKUP(C21,'Trips&amp;Operators'!$C$1:$E$9999,3,FALSE)</f>
        <v>HAUSER</v>
      </c>
      <c r="M21" s="20" t="s">
        <v>191</v>
      </c>
      <c r="N21" s="21" t="s">
        <v>509</v>
      </c>
      <c r="P21" s="81" t="str">
        <f>VLOOKUP(C21,'Train Runs'!$A$3:$T$248,20,0)</f>
        <v>https://search-rtdc-monitor-bjffxe2xuh6vdkpspy63sjmuny.us-east-1.es.amazonaws.com/_plugin/kibana/#/discover/Steve-Slow-Train-Analysis-(2080s-and-2083s)?_g=(refreshInterval:(display:Off,section:0,value:0),time:(from:'2016-05-18 11:37:33-0600',mode:absolute,to:'2016-05-18 12:40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</row>
    <row r="22" spans="1:16" s="19" customFormat="1" x14ac:dyDescent="0.25">
      <c r="A22" s="23">
        <v>42508.794293981482</v>
      </c>
      <c r="B22" s="22" t="s">
        <v>64</v>
      </c>
      <c r="C22" s="22" t="s">
        <v>430</v>
      </c>
      <c r="D22" s="22" t="s">
        <v>52</v>
      </c>
      <c r="E22" s="22" t="s">
        <v>58</v>
      </c>
      <c r="F22" s="22">
        <v>0</v>
      </c>
      <c r="G22" s="22">
        <v>432</v>
      </c>
      <c r="H22" s="22">
        <v>222745</v>
      </c>
      <c r="I22" s="22" t="s">
        <v>59</v>
      </c>
      <c r="J22" s="22">
        <v>224231</v>
      </c>
      <c r="K22" s="21" t="s">
        <v>55</v>
      </c>
      <c r="L22" s="21" t="str">
        <f>VLOOKUP(C22,'Trips&amp;Operators'!$C$1:$E$9999,3,FALSE)</f>
        <v>NEWELL</v>
      </c>
      <c r="M22" s="20" t="s">
        <v>191</v>
      </c>
      <c r="N22" s="21" t="s">
        <v>516</v>
      </c>
      <c r="P22" s="81" t="str">
        <f>VLOOKUP(C22,'Train Runs'!$A$3:$T$248,20,0)</f>
        <v>https://search-rtdc-monitor-bjffxe2xuh6vdkpspy63sjmuny.us-east-1.es.amazonaws.com/_plugin/kibana/#/discover/Steve-Slow-Train-Analysis-(2080s-and-2083s)?_g=(refreshInterval:(display:Off,section:0,value:0),time:(from:'2016-05-18 18:28:47-0600',mode:absolute,to:'2016-05-18 19:08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</row>
    <row r="23" spans="1:16" s="19" customFormat="1" x14ac:dyDescent="0.25">
      <c r="A23" s="23">
        <v>42508.815046296295</v>
      </c>
      <c r="B23" s="22" t="s">
        <v>258</v>
      </c>
      <c r="C23" s="22" t="s">
        <v>432</v>
      </c>
      <c r="D23" s="22" t="s">
        <v>57</v>
      </c>
      <c r="E23" s="22" t="s">
        <v>58</v>
      </c>
      <c r="F23" s="22">
        <v>0</v>
      </c>
      <c r="G23" s="22">
        <v>352</v>
      </c>
      <c r="H23" s="22">
        <v>224298</v>
      </c>
      <c r="I23" s="22" t="s">
        <v>59</v>
      </c>
      <c r="J23" s="22">
        <v>224231</v>
      </c>
      <c r="K23" s="21" t="s">
        <v>55</v>
      </c>
      <c r="L23" s="21" t="str">
        <f>VLOOKUP(C23,'Trips&amp;Operators'!$C$1:$E$9999,3,FALSE)</f>
        <v>BARTLETT</v>
      </c>
      <c r="M23" s="20" t="s">
        <v>191</v>
      </c>
      <c r="N23" s="21" t="s">
        <v>516</v>
      </c>
      <c r="P23" s="81" t="str">
        <f>VLOOKUP(C23,'Train Runs'!$A$3:$T$248,20,0)</f>
        <v>https://search-rtdc-monitor-bjffxe2xuh6vdkpspy63sjmuny.us-east-1.es.amazonaws.com/_plugin/kibana/#/discover/Steve-Slow-Train-Analysis-(2080s-and-2083s)?_g=(refreshInterval:(display:Off,section:0,value:0),time:(from:'2016-05-18 18:49:43-0600',mode:absolute,to:'2016-05-18 19:40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</row>
    <row r="24" spans="1:16" s="19" customFormat="1" x14ac:dyDescent="0.25">
      <c r="A24" s="23">
        <v>42508.181250000001</v>
      </c>
      <c r="B24" s="22" t="s">
        <v>64</v>
      </c>
      <c r="C24" s="22" t="s">
        <v>266</v>
      </c>
      <c r="D24" s="22" t="s">
        <v>52</v>
      </c>
      <c r="E24" s="22" t="s">
        <v>53</v>
      </c>
      <c r="F24" s="22">
        <v>0</v>
      </c>
      <c r="G24" s="22">
        <v>43</v>
      </c>
      <c r="H24" s="22">
        <v>233340</v>
      </c>
      <c r="I24" s="22" t="s">
        <v>54</v>
      </c>
      <c r="J24" s="22">
        <v>233491</v>
      </c>
      <c r="K24" s="21" t="s">
        <v>55</v>
      </c>
      <c r="L24" s="21" t="str">
        <f>VLOOKUP(C24,'Trips&amp;Operators'!$C$1:$E$9999,3,FALSE)</f>
        <v>STARKS</v>
      </c>
      <c r="M24" s="20" t="s">
        <v>93</v>
      </c>
      <c r="N24" s="21"/>
      <c r="P24" s="81" t="str">
        <f>VLOOKUP(C24,'Train Runs'!$A$3:$T$248,20,0)</f>
        <v>https://search-rtdc-monitor-bjffxe2xuh6vdkpspy63sjmuny.us-east-1.es.amazonaws.com/_plugin/kibana/#/discover/Steve-Slow-Train-Analysis-(2080s-and-2083s)?_g=(refreshInterval:(display:Off,section:0,value:0),time:(from:'2016-05-18 03:39:57-0600',mode:absolute,to:'2016-05-18 04:22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</row>
    <row r="25" spans="1:16" s="19" customFormat="1" x14ac:dyDescent="0.25">
      <c r="A25" s="23">
        <v>42508.202025462961</v>
      </c>
      <c r="B25" s="22" t="s">
        <v>258</v>
      </c>
      <c r="C25" s="22" t="s">
        <v>259</v>
      </c>
      <c r="D25" s="22" t="s">
        <v>52</v>
      </c>
      <c r="E25" s="22" t="s">
        <v>53</v>
      </c>
      <c r="F25" s="22">
        <v>0</v>
      </c>
      <c r="G25" s="22">
        <v>60</v>
      </c>
      <c r="H25" s="22">
        <v>233221</v>
      </c>
      <c r="I25" s="22" t="s">
        <v>54</v>
      </c>
      <c r="J25" s="22">
        <v>233491</v>
      </c>
      <c r="K25" s="21" t="s">
        <v>55</v>
      </c>
      <c r="L25" s="21" t="str">
        <f>VLOOKUP(C25,'Trips&amp;Operators'!$C$1:$E$9999,3,FALSE)</f>
        <v>STORY</v>
      </c>
      <c r="M25" s="20" t="s">
        <v>93</v>
      </c>
      <c r="N25" s="21"/>
      <c r="P25" s="81" t="str">
        <f>VLOOKUP(C25,'Train Runs'!$A$3:$T$248,20,0)</f>
        <v>https://search-rtdc-monitor-bjffxe2xuh6vdkpspy63sjmuny.us-east-1.es.amazonaws.com/_plugin/kibana/#/discover/Steve-Slow-Train-Analysis-(2080s-and-2083s)?_g=(refreshInterval:(display:Off,section:0,value:0),time:(from:'2016-05-18 03:56:57-0600',mode:absolute,to:'2016-05-18 04:52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</row>
    <row r="26" spans="1:16" s="19" customFormat="1" x14ac:dyDescent="0.25">
      <c r="A26" s="23">
        <v>42508.235844907409</v>
      </c>
      <c r="B26" s="22" t="s">
        <v>181</v>
      </c>
      <c r="C26" s="22" t="s">
        <v>250</v>
      </c>
      <c r="D26" s="22" t="s">
        <v>52</v>
      </c>
      <c r="E26" s="22" t="s">
        <v>53</v>
      </c>
      <c r="F26" s="22">
        <v>0</v>
      </c>
      <c r="G26" s="22">
        <v>8</v>
      </c>
      <c r="H26" s="22">
        <v>233320</v>
      </c>
      <c r="I26" s="22" t="s">
        <v>54</v>
      </c>
      <c r="J26" s="22">
        <v>233491</v>
      </c>
      <c r="K26" s="21" t="s">
        <v>55</v>
      </c>
      <c r="L26" s="21" t="str">
        <f>VLOOKUP(C26,'Trips&amp;Operators'!$C$1:$E$9999,3,FALSE)</f>
        <v>BRUDER</v>
      </c>
      <c r="M26" s="20" t="s">
        <v>93</v>
      </c>
      <c r="N26" s="21"/>
      <c r="P26" s="81" t="str">
        <f>VLOOKUP(C26,'Train Runs'!$A$3:$T$248,20,0)</f>
        <v>https://search-rtdc-monitor-bjffxe2xuh6vdkpspy63sjmuny.us-east-1.es.amazonaws.com/_plugin/kibana/#/discover/Steve-Slow-Train-Analysis-(2080s-and-2083s)?_g=(refreshInterval:(display:Off,section:0,value:0),time:(from:'2016-05-18 05:06:11-0600',mode:absolute,to:'2016-05-18 05:41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</row>
    <row r="27" spans="1:16" s="19" customFormat="1" x14ac:dyDescent="0.25">
      <c r="A27" s="23">
        <v>42508.306226851855</v>
      </c>
      <c r="B27" s="22" t="s">
        <v>181</v>
      </c>
      <c r="C27" s="22" t="s">
        <v>254</v>
      </c>
      <c r="D27" s="22" t="s">
        <v>52</v>
      </c>
      <c r="E27" s="22" t="s">
        <v>53</v>
      </c>
      <c r="F27" s="22">
        <v>0</v>
      </c>
      <c r="G27" s="22">
        <v>8</v>
      </c>
      <c r="H27" s="22">
        <v>233334</v>
      </c>
      <c r="I27" s="22" t="s">
        <v>54</v>
      </c>
      <c r="J27" s="22">
        <v>233491</v>
      </c>
      <c r="K27" s="21" t="s">
        <v>55</v>
      </c>
      <c r="L27" s="21" t="str">
        <f>VLOOKUP(C27,'Trips&amp;Operators'!$C$1:$E$9999,3,FALSE)</f>
        <v>BRUDER</v>
      </c>
      <c r="M27" s="20" t="s">
        <v>93</v>
      </c>
      <c r="N27" s="21"/>
      <c r="P27" s="81" t="str">
        <f>VLOOKUP(C27,'Train Runs'!$A$3:$T$248,20,0)</f>
        <v>https://search-rtdc-monitor-bjffxe2xuh6vdkpspy63sjmuny.us-east-1.es.amazonaws.com/_plugin/kibana/#/discover/Steve-Slow-Train-Analysis-(2080s-and-2083s)?_g=(refreshInterval:(display:Off,section:0,value:0),time:(from:'2016-05-18 06:35:29-0600',mode:absolute,to:'2016-05-18 07:22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</row>
    <row r="28" spans="1:16" s="19" customFormat="1" x14ac:dyDescent="0.25">
      <c r="A28" s="23">
        <v>42508.314733796295</v>
      </c>
      <c r="B28" s="22" t="s">
        <v>262</v>
      </c>
      <c r="C28" s="22" t="s">
        <v>263</v>
      </c>
      <c r="D28" s="22" t="s">
        <v>52</v>
      </c>
      <c r="E28" s="22" t="s">
        <v>53</v>
      </c>
      <c r="F28" s="22">
        <v>0</v>
      </c>
      <c r="G28" s="22">
        <v>6</v>
      </c>
      <c r="H28" s="22">
        <v>158</v>
      </c>
      <c r="I28" s="22" t="s">
        <v>54</v>
      </c>
      <c r="J28" s="22">
        <v>1</v>
      </c>
      <c r="K28" s="21" t="s">
        <v>56</v>
      </c>
      <c r="L28" s="21" t="str">
        <f>VLOOKUP(C28,'Trips&amp;Operators'!$C$1:$E$9999,3,FALSE)</f>
        <v>RIVERA</v>
      </c>
      <c r="M28" s="20" t="s">
        <v>93</v>
      </c>
      <c r="N28" s="21"/>
      <c r="P28" s="81" t="str">
        <f>VLOOKUP(C28,'Train Runs'!$A$3:$T$248,20,0)</f>
        <v>https://search-rtdc-monitor-bjffxe2xuh6vdkpspy63sjmuny.us-east-1.es.amazonaws.com/_plugin/kibana/#/discover/Steve-Slow-Train-Analysis-(2080s-and-2083s)?_g=(refreshInterval:(display:Off,section:0,value:0),time:(from:'2016-05-18 06:49:32-0600',mode:absolute,to:'2016-05-18 07:34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</row>
    <row r="29" spans="1:16" s="19" customFormat="1" x14ac:dyDescent="0.25">
      <c r="A29" s="23">
        <v>42508.316400462965</v>
      </c>
      <c r="B29" s="22" t="s">
        <v>130</v>
      </c>
      <c r="C29" s="22" t="s">
        <v>273</v>
      </c>
      <c r="D29" s="22" t="s">
        <v>52</v>
      </c>
      <c r="E29" s="22" t="s">
        <v>53</v>
      </c>
      <c r="F29" s="22">
        <v>0</v>
      </c>
      <c r="G29" s="22">
        <v>5</v>
      </c>
      <c r="H29" s="22">
        <v>233330</v>
      </c>
      <c r="I29" s="22" t="s">
        <v>54</v>
      </c>
      <c r="J29" s="22">
        <v>233491</v>
      </c>
      <c r="K29" s="21" t="s">
        <v>55</v>
      </c>
      <c r="L29" s="21" t="str">
        <f>VLOOKUP(C29,'Trips&amp;Operators'!$C$1:$E$9999,3,FALSE)</f>
        <v>REBOLETTI</v>
      </c>
      <c r="M29" s="20" t="s">
        <v>93</v>
      </c>
      <c r="N29" s="21"/>
      <c r="P29" s="81" t="str">
        <f>VLOOKUP(C29,'Train Runs'!$A$3:$T$248,20,0)</f>
        <v>https://search-rtdc-monitor-bjffxe2xuh6vdkpspy63sjmuny.us-east-1.es.amazonaws.com/_plugin/kibana/#/discover/Steve-Slow-Train-Analysis-(2080s-and-2083s)?_g=(refreshInterval:(display:Off,section:0,value:0),time:(from:'2016-05-18 06:49:38-0600',mode:absolute,to:'2016-05-18 07:36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</row>
    <row r="30" spans="1:16" s="19" customFormat="1" x14ac:dyDescent="0.25">
      <c r="A30" s="23">
        <v>42508.32739583333</v>
      </c>
      <c r="B30" s="22" t="s">
        <v>64</v>
      </c>
      <c r="C30" s="22" t="s">
        <v>301</v>
      </c>
      <c r="D30" s="22" t="s">
        <v>52</v>
      </c>
      <c r="E30" s="22" t="s">
        <v>53</v>
      </c>
      <c r="F30" s="22">
        <v>0</v>
      </c>
      <c r="G30" s="22">
        <v>6</v>
      </c>
      <c r="H30" s="22">
        <v>233334</v>
      </c>
      <c r="I30" s="22" t="s">
        <v>54</v>
      </c>
      <c r="J30" s="22">
        <v>233491</v>
      </c>
      <c r="K30" s="21" t="s">
        <v>55</v>
      </c>
      <c r="L30" s="21" t="str">
        <f>VLOOKUP(C30,'Trips&amp;Operators'!$C$1:$E$9999,3,FALSE)</f>
        <v>CHANDLER</v>
      </c>
      <c r="M30" s="20" t="s">
        <v>93</v>
      </c>
      <c r="N30" s="21"/>
      <c r="P30" s="81" t="str">
        <f>VLOOKUP(C30,'Train Runs'!$A$3:$T$248,20,0)</f>
        <v>https://search-rtdc-monitor-bjffxe2xuh6vdkpspy63sjmuny.us-east-1.es.amazonaws.com/_plugin/kibana/#/discover/Steve-Slow-Train-Analysis-(2080s-and-2083s)?_g=(refreshInterval:(display:Off,section:0,value:0),time:(from:'2016-05-18 07:07:10-0600',mode:absolute,to:'2016-05-18 07:52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</row>
    <row r="31" spans="1:16" s="19" customFormat="1" x14ac:dyDescent="0.25">
      <c r="A31" s="23">
        <v>42508.339282407411</v>
      </c>
      <c r="B31" s="22" t="s">
        <v>98</v>
      </c>
      <c r="C31" s="22" t="s">
        <v>303</v>
      </c>
      <c r="D31" s="22" t="s">
        <v>52</v>
      </c>
      <c r="E31" s="22" t="s">
        <v>53</v>
      </c>
      <c r="F31" s="22">
        <v>0</v>
      </c>
      <c r="G31" s="22">
        <v>45</v>
      </c>
      <c r="H31" s="22">
        <v>233324</v>
      </c>
      <c r="I31" s="22" t="s">
        <v>54</v>
      </c>
      <c r="J31" s="22">
        <v>233491</v>
      </c>
      <c r="K31" s="21" t="s">
        <v>55</v>
      </c>
      <c r="L31" s="21" t="str">
        <f>VLOOKUP(C31,'Trips&amp;Operators'!$C$1:$E$9999,3,FALSE)</f>
        <v>STARKS</v>
      </c>
      <c r="M31" s="20" t="s">
        <v>93</v>
      </c>
      <c r="N31" s="21"/>
      <c r="P31" s="81" t="str">
        <f>VLOOKUP(C31,'Train Runs'!$A$3:$T$248,20,0)</f>
        <v>https://search-rtdc-monitor-bjffxe2xuh6vdkpspy63sjmuny.us-east-1.es.amazonaws.com/_plugin/kibana/#/discover/Steve-Slow-Train-Analysis-(2080s-and-2083s)?_g=(refreshInterval:(display:Off,section:0,value:0),time:(from:'2016-05-18 07:23:23-0600',mode:absolute,to:'2016-05-18 08:09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</row>
    <row r="32" spans="1:16" s="19" customFormat="1" x14ac:dyDescent="0.25">
      <c r="A32" s="23">
        <v>42508.34783564815</v>
      </c>
      <c r="B32" s="22" t="s">
        <v>258</v>
      </c>
      <c r="C32" s="22" t="s">
        <v>307</v>
      </c>
      <c r="D32" s="22" t="s">
        <v>52</v>
      </c>
      <c r="E32" s="22" t="s">
        <v>53</v>
      </c>
      <c r="F32" s="22">
        <v>0</v>
      </c>
      <c r="G32" s="22">
        <v>35</v>
      </c>
      <c r="H32" s="22">
        <v>233340</v>
      </c>
      <c r="I32" s="22" t="s">
        <v>54</v>
      </c>
      <c r="J32" s="22">
        <v>233491</v>
      </c>
      <c r="K32" s="21" t="s">
        <v>55</v>
      </c>
      <c r="L32" s="21" t="str">
        <f>VLOOKUP(C32,'Trips&amp;Operators'!$C$1:$E$9999,3,FALSE)</f>
        <v>STORY</v>
      </c>
      <c r="M32" s="20" t="s">
        <v>93</v>
      </c>
      <c r="N32" s="21"/>
      <c r="P32" s="81" t="str">
        <f>VLOOKUP(C32,'Train Runs'!$A$3:$T$248,20,0)</f>
        <v>https://search-rtdc-monitor-bjffxe2xuh6vdkpspy63sjmuny.us-east-1.es.amazonaws.com/_plugin/kibana/#/discover/Steve-Slow-Train-Analysis-(2080s-and-2083s)?_g=(refreshInterval:(display:Off,section:0,value:0),time:(from:'2016-05-18 07:35:44-0600',mode:absolute,to:'2016-05-18 08:22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</row>
    <row r="33" spans="1:16" s="19" customFormat="1" x14ac:dyDescent="0.25">
      <c r="A33" s="23">
        <v>42508.367708333331</v>
      </c>
      <c r="B33" s="22" t="s">
        <v>65</v>
      </c>
      <c r="C33" s="22" t="s">
        <v>302</v>
      </c>
      <c r="D33" s="22" t="s">
        <v>52</v>
      </c>
      <c r="E33" s="22" t="s">
        <v>53</v>
      </c>
      <c r="F33" s="22">
        <v>0</v>
      </c>
      <c r="G33" s="22">
        <v>8</v>
      </c>
      <c r="H33" s="22">
        <v>132</v>
      </c>
      <c r="I33" s="22" t="s">
        <v>54</v>
      </c>
      <c r="J33" s="22">
        <v>1</v>
      </c>
      <c r="K33" s="21" t="s">
        <v>56</v>
      </c>
      <c r="L33" s="21" t="str">
        <f>VLOOKUP(C33,'Trips&amp;Operators'!$C$1:$E$9999,3,FALSE)</f>
        <v>CHANDLER</v>
      </c>
      <c r="M33" s="20" t="s">
        <v>93</v>
      </c>
      <c r="N33" s="21"/>
      <c r="P33" s="81" t="str">
        <f>VLOOKUP(C33,'Train Runs'!$A$3:$T$248,20,0)</f>
        <v>https://search-rtdc-monitor-bjffxe2xuh6vdkpspy63sjmuny.us-east-1.es.amazonaws.com/_plugin/kibana/#/discover/Steve-Slow-Train-Analysis-(2080s-and-2083s)?_g=(refreshInterval:(display:Off,section:0,value:0),time:(from:'2016-05-18 08:00:28-0600',mode:absolute,to:'2016-05-18 08:50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</row>
    <row r="34" spans="1:16" s="19" customFormat="1" x14ac:dyDescent="0.25">
      <c r="A34" s="23">
        <v>42508.429444444446</v>
      </c>
      <c r="B34" s="22" t="s">
        <v>126</v>
      </c>
      <c r="C34" s="22" t="s">
        <v>322</v>
      </c>
      <c r="D34" s="22" t="s">
        <v>52</v>
      </c>
      <c r="E34" s="22" t="s">
        <v>53</v>
      </c>
      <c r="F34" s="22">
        <v>0</v>
      </c>
      <c r="G34" s="22">
        <v>35</v>
      </c>
      <c r="H34" s="22">
        <v>145</v>
      </c>
      <c r="I34" s="22" t="s">
        <v>54</v>
      </c>
      <c r="J34" s="22">
        <v>1</v>
      </c>
      <c r="K34" s="21" t="s">
        <v>56</v>
      </c>
      <c r="L34" s="21" t="str">
        <f>VLOOKUP(C34,'Trips&amp;Operators'!$C$1:$E$9999,3,FALSE)</f>
        <v>REBOLETTI</v>
      </c>
      <c r="M34" s="20" t="s">
        <v>93</v>
      </c>
      <c r="N34" s="21"/>
      <c r="P34" s="81" t="str">
        <f>VLOOKUP(C34,'Train Runs'!$A$3:$T$248,20,0)</f>
        <v>https://search-rtdc-monitor-bjffxe2xuh6vdkpspy63sjmuny.us-east-1.es.amazonaws.com/_plugin/kibana/#/discover/Steve-Slow-Train-Analysis-(2080s-and-2083s)?_g=(refreshInterval:(display:Off,section:0,value:0),time:(from:'2016-05-18 09:35:08-0600',mode:absolute,to:'2016-05-18 10:19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</row>
    <row r="35" spans="1:16" s="19" customFormat="1" x14ac:dyDescent="0.25">
      <c r="A35" s="23">
        <v>42508.462453703702</v>
      </c>
      <c r="B35" s="22" t="s">
        <v>97</v>
      </c>
      <c r="C35" s="22" t="s">
        <v>330</v>
      </c>
      <c r="D35" s="22" t="s">
        <v>52</v>
      </c>
      <c r="E35" s="22" t="s">
        <v>53</v>
      </c>
      <c r="F35" s="22">
        <v>0</v>
      </c>
      <c r="G35" s="22">
        <v>5</v>
      </c>
      <c r="H35" s="22">
        <v>296</v>
      </c>
      <c r="I35" s="22" t="s">
        <v>54</v>
      </c>
      <c r="J35" s="22">
        <v>1</v>
      </c>
      <c r="K35" s="21" t="s">
        <v>56</v>
      </c>
      <c r="L35" s="21" t="str">
        <f>VLOOKUP(C35,'Trips&amp;Operators'!$C$1:$E$9999,3,FALSE)</f>
        <v>STARKS</v>
      </c>
      <c r="M35" s="20" t="s">
        <v>93</v>
      </c>
      <c r="N35" s="21"/>
      <c r="P35" s="81" t="str">
        <f>VLOOKUP(C35,'Train Runs'!$A$3:$T$248,20,0)</f>
        <v>https://search-rtdc-monitor-bjffxe2xuh6vdkpspy63sjmuny.us-east-1.es.amazonaws.com/_plugin/kibana/#/discover/Steve-Slow-Train-Analysis-(2080s-and-2083s)?_g=(refreshInterval:(display:Off,section:0,value:0),time:(from:'2016-05-18 10:07:17-0600',mode:absolute,to:'2016-05-18 11:07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</row>
    <row r="36" spans="1:16" s="19" customFormat="1" x14ac:dyDescent="0.25">
      <c r="A36" s="23">
        <v>42508.479375000003</v>
      </c>
      <c r="B36" s="22" t="s">
        <v>137</v>
      </c>
      <c r="C36" s="22" t="s">
        <v>336</v>
      </c>
      <c r="D36" s="22" t="s">
        <v>52</v>
      </c>
      <c r="E36" s="22" t="s">
        <v>53</v>
      </c>
      <c r="F36" s="22">
        <v>0</v>
      </c>
      <c r="G36" s="22">
        <v>9</v>
      </c>
      <c r="H36" s="22">
        <v>314</v>
      </c>
      <c r="I36" s="22" t="s">
        <v>54</v>
      </c>
      <c r="J36" s="22">
        <v>1</v>
      </c>
      <c r="K36" s="21" t="s">
        <v>56</v>
      </c>
      <c r="L36" s="21" t="str">
        <f>VLOOKUP(C36,'Trips&amp;Operators'!$C$1:$E$9999,3,FALSE)</f>
        <v>STRICKLAND</v>
      </c>
      <c r="M36" s="20" t="s">
        <v>93</v>
      </c>
      <c r="N36" s="21"/>
      <c r="P36" s="81" t="str">
        <f>VLOOKUP(C36,'Train Runs'!$A$3:$T$248,20,0)</f>
        <v>https://search-rtdc-monitor-bjffxe2xuh6vdkpspy63sjmuny.us-east-1.es.amazonaws.com/_plugin/kibana/#/discover/Steve-Slow-Train-Analysis-(2080s-and-2083s)?_g=(refreshInterval:(display:Off,section:0,value:0),time:(from:'2016-05-18 10:28:50-0600',mode:absolute,to:'2016-05-18 11:09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</row>
    <row r="37" spans="1:16" s="19" customFormat="1" x14ac:dyDescent="0.25">
      <c r="A37" s="23">
        <v>42508.480057870373</v>
      </c>
      <c r="B37" s="22" t="s">
        <v>130</v>
      </c>
      <c r="C37" s="22" t="s">
        <v>347</v>
      </c>
      <c r="D37" s="22" t="s">
        <v>52</v>
      </c>
      <c r="E37" s="22" t="s">
        <v>53</v>
      </c>
      <c r="F37" s="22">
        <v>0</v>
      </c>
      <c r="G37" s="22">
        <v>9</v>
      </c>
      <c r="H37" s="22">
        <v>233338</v>
      </c>
      <c r="I37" s="22" t="s">
        <v>54</v>
      </c>
      <c r="J37" s="22">
        <v>233491</v>
      </c>
      <c r="K37" s="21" t="s">
        <v>55</v>
      </c>
      <c r="L37" s="21" t="str">
        <f>VLOOKUP(C37,'Trips&amp;Operators'!$C$1:$E$9999,3,FALSE)</f>
        <v>BRUDER</v>
      </c>
      <c r="M37" s="20" t="s">
        <v>93</v>
      </c>
      <c r="N37" s="21"/>
      <c r="P37" s="81" t="str">
        <f>VLOOKUP(C37,'Train Runs'!$A$3:$T$248,20,0)</f>
        <v>https://search-rtdc-monitor-bjffxe2xuh6vdkpspy63sjmuny.us-east-1.es.amazonaws.com/_plugin/kibana/#/discover/Steve-Slow-Train-Analysis-(2080s-and-2083s)?_g=(refreshInterval:(display:Off,section:0,value:0),time:(from:'2016-05-18 10:24:46-0600',mode:absolute,to:'2016-05-18 11:32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</row>
    <row r="38" spans="1:16" s="19" customFormat="1" x14ac:dyDescent="0.25">
      <c r="A38" s="23">
        <v>42508.651203703703</v>
      </c>
      <c r="B38" s="22" t="s">
        <v>64</v>
      </c>
      <c r="C38" s="22" t="s">
        <v>399</v>
      </c>
      <c r="D38" s="22" t="s">
        <v>52</v>
      </c>
      <c r="E38" s="22" t="s">
        <v>53</v>
      </c>
      <c r="F38" s="22">
        <v>0</v>
      </c>
      <c r="G38" s="22">
        <v>8</v>
      </c>
      <c r="H38" s="22">
        <v>233344</v>
      </c>
      <c r="I38" s="22" t="s">
        <v>54</v>
      </c>
      <c r="J38" s="22">
        <v>233491</v>
      </c>
      <c r="K38" s="21" t="s">
        <v>55</v>
      </c>
      <c r="L38" s="21" t="str">
        <f>VLOOKUP(C38,'Trips&amp;Operators'!$C$1:$E$9999,3,FALSE)</f>
        <v>YOUNG</v>
      </c>
      <c r="M38" s="20" t="s">
        <v>93</v>
      </c>
      <c r="N38" s="21"/>
      <c r="P38" s="81" t="str">
        <f>VLOOKUP(C38,'Train Runs'!$A$3:$T$248,20,0)</f>
        <v>https://search-rtdc-monitor-bjffxe2xuh6vdkpspy63sjmuny.us-east-1.es.amazonaws.com/_plugin/kibana/#/discover/Steve-Slow-Train-Analysis-(2080s-and-2083s)?_g=(refreshInterval:(display:Off,section:0,value:0),time:(from:'2016-05-18 14:57:21-0600',mode:absolute,to:'2016-05-18 15:38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</row>
    <row r="39" spans="1:16" s="19" customFormat="1" x14ac:dyDescent="0.25">
      <c r="A39" s="23">
        <v>42508.659548611111</v>
      </c>
      <c r="B39" s="22" t="s">
        <v>190</v>
      </c>
      <c r="C39" s="22" t="s">
        <v>391</v>
      </c>
      <c r="D39" s="22" t="s">
        <v>52</v>
      </c>
      <c r="E39" s="22" t="s">
        <v>53</v>
      </c>
      <c r="F39" s="22">
        <v>0</v>
      </c>
      <c r="G39" s="22">
        <v>73</v>
      </c>
      <c r="H39" s="22">
        <v>251</v>
      </c>
      <c r="I39" s="22" t="s">
        <v>54</v>
      </c>
      <c r="J39" s="22">
        <v>1</v>
      </c>
      <c r="K39" s="21" t="s">
        <v>56</v>
      </c>
      <c r="L39" s="21" t="str">
        <f>VLOOKUP(C39,'Trips&amp;Operators'!$C$1:$E$9999,3,FALSE)</f>
        <v>STEWART</v>
      </c>
      <c r="M39" s="20" t="s">
        <v>93</v>
      </c>
      <c r="N39" s="21"/>
      <c r="P39" s="81" t="str">
        <f>VLOOKUP(C39,'Train Runs'!$A$3:$T$248,20,0)</f>
        <v>https://search-rtdc-monitor-bjffxe2xuh6vdkpspy63sjmuny.us-east-1.es.amazonaws.com/_plugin/kibana/#/discover/Steve-Slow-Train-Analysis-(2080s-and-2083s)?_g=(refreshInterval:(display:Off,section:0,value:0),time:(from:'2016-05-18 15:02:07-0600',mode:absolute,to:'2016-05-18 15:50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</row>
    <row r="40" spans="1:16" s="19" customFormat="1" x14ac:dyDescent="0.25">
      <c r="A40" s="23">
        <v>42508.73265046296</v>
      </c>
      <c r="B40" s="22" t="s">
        <v>190</v>
      </c>
      <c r="C40" s="22" t="s">
        <v>407</v>
      </c>
      <c r="D40" s="22" t="s">
        <v>52</v>
      </c>
      <c r="E40" s="22" t="s">
        <v>53</v>
      </c>
      <c r="F40" s="22">
        <v>0</v>
      </c>
      <c r="G40" s="22">
        <v>5</v>
      </c>
      <c r="H40" s="22">
        <v>1628</v>
      </c>
      <c r="I40" s="22" t="s">
        <v>54</v>
      </c>
      <c r="J40" s="22">
        <v>839</v>
      </c>
      <c r="K40" s="21" t="s">
        <v>56</v>
      </c>
      <c r="L40" s="21" t="str">
        <f>VLOOKUP(C40,'Trips&amp;Operators'!$C$1:$E$9999,3,FALSE)</f>
        <v>STEWART</v>
      </c>
      <c r="M40" s="20" t="s">
        <v>93</v>
      </c>
      <c r="N40" s="21"/>
      <c r="P40" s="81" t="str">
        <f>VLOOKUP(C40,'Train Runs'!$A$3:$T$248,20,0)</f>
        <v>https://search-rtdc-monitor-bjffxe2xuh6vdkpspy63sjmuny.us-east-1.es.amazonaws.com/_plugin/kibana/#/discover/Steve-Slow-Train-Analysis-(2080s-and-2083s)?_g=(refreshInterval:(display:Off,section:0,value:0),time:(from:'2016-05-18 16:52:31-0600',mode:absolute,to:'2016-05-18 17:38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</row>
    <row r="41" spans="1:16" s="19" customFormat="1" x14ac:dyDescent="0.25">
      <c r="A41" s="23">
        <v>42508.733402777776</v>
      </c>
      <c r="B41" s="22" t="s">
        <v>190</v>
      </c>
      <c r="C41" s="22" t="s">
        <v>407</v>
      </c>
      <c r="D41" s="22" t="s">
        <v>52</v>
      </c>
      <c r="E41" s="22" t="s">
        <v>53</v>
      </c>
      <c r="F41" s="22">
        <v>0</v>
      </c>
      <c r="G41" s="22">
        <v>64</v>
      </c>
      <c r="H41" s="22">
        <v>1069</v>
      </c>
      <c r="I41" s="22" t="s">
        <v>54</v>
      </c>
      <c r="J41" s="22">
        <v>839</v>
      </c>
      <c r="K41" s="21" t="s">
        <v>56</v>
      </c>
      <c r="L41" s="21" t="str">
        <f>VLOOKUP(C41,'Trips&amp;Operators'!$C$1:$E$9999,3,FALSE)</f>
        <v>STEWART</v>
      </c>
      <c r="M41" s="20" t="s">
        <v>93</v>
      </c>
      <c r="N41" s="21"/>
      <c r="P41" s="81" t="str">
        <f>VLOOKUP(C41,'Train Runs'!$A$3:$T$248,20,0)</f>
        <v>https://search-rtdc-monitor-bjffxe2xuh6vdkpspy63sjmuny.us-east-1.es.amazonaws.com/_plugin/kibana/#/discover/Steve-Slow-Train-Analysis-(2080s-and-2083s)?_g=(refreshInterval:(display:Off,section:0,value:0),time:(from:'2016-05-18 16:52:31-0600',mode:absolute,to:'2016-05-18 17:38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</row>
    <row r="42" spans="1:16" s="19" customFormat="1" x14ac:dyDescent="0.25">
      <c r="A42" s="23">
        <v>42508.734050925923</v>
      </c>
      <c r="B42" s="22" t="s">
        <v>190</v>
      </c>
      <c r="C42" s="22" t="s">
        <v>407</v>
      </c>
      <c r="D42" s="22" t="s">
        <v>52</v>
      </c>
      <c r="E42" s="22" t="s">
        <v>53</v>
      </c>
      <c r="F42" s="22">
        <v>0</v>
      </c>
      <c r="G42" s="22">
        <v>4</v>
      </c>
      <c r="H42" s="22">
        <v>965</v>
      </c>
      <c r="I42" s="22" t="s">
        <v>54</v>
      </c>
      <c r="J42" s="22">
        <v>839</v>
      </c>
      <c r="K42" s="21" t="s">
        <v>56</v>
      </c>
      <c r="L42" s="21" t="str">
        <f>VLOOKUP(C42,'Trips&amp;Operators'!$C$1:$E$9999,3,FALSE)</f>
        <v>STEWART</v>
      </c>
      <c r="M42" s="20" t="s">
        <v>93</v>
      </c>
      <c r="N42" s="21"/>
      <c r="P42" s="81" t="str">
        <f>VLOOKUP(C42,'Train Runs'!$A$3:$T$248,20,0)</f>
        <v>https://search-rtdc-monitor-bjffxe2xuh6vdkpspy63sjmuny.us-east-1.es.amazonaws.com/_plugin/kibana/#/discover/Steve-Slow-Train-Analysis-(2080s-and-2083s)?_g=(refreshInterval:(display:Off,section:0,value:0),time:(from:'2016-05-18 16:52:31-0600',mode:absolute,to:'2016-05-18 17:38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</row>
    <row r="43" spans="1:16" s="19" customFormat="1" x14ac:dyDescent="0.25">
      <c r="A43" s="23">
        <v>42508.751215277778</v>
      </c>
      <c r="B43" s="22" t="s">
        <v>121</v>
      </c>
      <c r="C43" s="22" t="s">
        <v>413</v>
      </c>
      <c r="D43" s="22" t="s">
        <v>52</v>
      </c>
      <c r="E43" s="22" t="s">
        <v>53</v>
      </c>
      <c r="F43" s="22">
        <v>0</v>
      </c>
      <c r="G43" s="22">
        <v>7</v>
      </c>
      <c r="H43" s="22">
        <v>3039</v>
      </c>
      <c r="I43" s="22" t="s">
        <v>54</v>
      </c>
      <c r="J43" s="22">
        <v>1</v>
      </c>
      <c r="K43" s="21" t="s">
        <v>56</v>
      </c>
      <c r="L43" s="21" t="str">
        <f>VLOOKUP(C43,'Trips&amp;Operators'!$C$1:$E$9999,3,FALSE)</f>
        <v>YANAI</v>
      </c>
      <c r="M43" s="20" t="s">
        <v>93</v>
      </c>
      <c r="N43" s="21"/>
      <c r="P43" s="81" t="str">
        <f>VLOOKUP(C43,'Train Runs'!$A$3:$T$248,20,0)</f>
        <v>https://search-rtdc-monitor-bjffxe2xuh6vdkpspy63sjmuny.us-east-1.es.amazonaws.com/_plugin/kibana/#/discover/Steve-Slow-Train-Analysis-(2080s-and-2083s)?_g=(refreshInterval:(display:Off,section:0,value:0),time:(from:'2016-05-18 17:23:07-0600',mode:absolute,to:'2016-05-18 18:04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</row>
    <row r="44" spans="1:16" s="19" customFormat="1" x14ac:dyDescent="0.25">
      <c r="A44" s="23">
        <v>42508.786481481482</v>
      </c>
      <c r="B44" s="22" t="s">
        <v>119</v>
      </c>
      <c r="C44" s="22" t="s">
        <v>428</v>
      </c>
      <c r="D44" s="22" t="s">
        <v>52</v>
      </c>
      <c r="E44" s="22" t="s">
        <v>53</v>
      </c>
      <c r="F44" s="22">
        <v>0</v>
      </c>
      <c r="G44" s="22">
        <v>8</v>
      </c>
      <c r="H44" s="22">
        <v>233332</v>
      </c>
      <c r="I44" s="22" t="s">
        <v>54</v>
      </c>
      <c r="J44" s="22">
        <v>233491</v>
      </c>
      <c r="K44" s="21" t="s">
        <v>55</v>
      </c>
      <c r="L44" s="21" t="str">
        <f>VLOOKUP(C44,'Trips&amp;Operators'!$C$1:$E$9999,3,FALSE)</f>
        <v>GOLIGHTLY</v>
      </c>
      <c r="M44" s="20" t="s">
        <v>93</v>
      </c>
      <c r="N44" s="21"/>
      <c r="P44" s="81" t="str">
        <f>VLOOKUP(C44,'Train Runs'!$A$3:$T$248,20,0)</f>
        <v>https://search-rtdc-monitor-bjffxe2xuh6vdkpspy63sjmuny.us-east-1.es.amazonaws.com/_plugin/kibana/#/discover/Steve-Slow-Train-Analysis-(2080s-and-2083s)?_g=(refreshInterval:(display:Off,section:0,value:0),time:(from:'2016-05-18 18:10:06-0600',mode:absolute,to:'2016-05-18 18:53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</row>
    <row r="45" spans="1:16" s="19" customFormat="1" x14ac:dyDescent="0.25">
      <c r="A45" s="23">
        <v>42508.815416666665</v>
      </c>
      <c r="B45" s="22" t="s">
        <v>126</v>
      </c>
      <c r="C45" s="22" t="s">
        <v>425</v>
      </c>
      <c r="D45" s="22" t="s">
        <v>52</v>
      </c>
      <c r="E45" s="22" t="s">
        <v>53</v>
      </c>
      <c r="F45" s="22">
        <v>0</v>
      </c>
      <c r="G45" s="22">
        <v>64</v>
      </c>
      <c r="H45" s="22">
        <v>223</v>
      </c>
      <c r="I45" s="22" t="s">
        <v>54</v>
      </c>
      <c r="J45" s="22">
        <v>1</v>
      </c>
      <c r="K45" s="21" t="s">
        <v>56</v>
      </c>
      <c r="L45" s="21" t="str">
        <f>VLOOKUP(C45,'Trips&amp;Operators'!$C$1:$E$9999,3,FALSE)</f>
        <v>COOLAHAN</v>
      </c>
      <c r="M45" s="20" t="s">
        <v>93</v>
      </c>
      <c r="N45" s="21"/>
      <c r="P45" s="81" t="str">
        <f>VLOOKUP(C45,'Train Runs'!$A$3:$T$248,20,0)</f>
        <v>https://search-rtdc-monitor-bjffxe2xuh6vdkpspy63sjmuny.us-east-1.es.amazonaws.com/_plugin/kibana/#/discover/Steve-Slow-Train-Analysis-(2080s-and-2083s)?_g=(refreshInterval:(display:Off,section:0,value:0),time:(from:'2016-05-18 18:45:38-0600',mode:absolute,to:'2016-05-18 19:35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</row>
    <row r="46" spans="1:16" s="19" customFormat="1" x14ac:dyDescent="0.25">
      <c r="A46" s="23">
        <v>42508.944398148145</v>
      </c>
      <c r="B46" s="22" t="s">
        <v>262</v>
      </c>
      <c r="C46" s="22" t="s">
        <v>443</v>
      </c>
      <c r="D46" s="22" t="s">
        <v>52</v>
      </c>
      <c r="E46" s="22" t="s">
        <v>53</v>
      </c>
      <c r="F46" s="22">
        <v>0</v>
      </c>
      <c r="G46" s="22">
        <v>5</v>
      </c>
      <c r="H46" s="22">
        <v>154</v>
      </c>
      <c r="I46" s="22" t="s">
        <v>54</v>
      </c>
      <c r="J46" s="22">
        <v>1</v>
      </c>
      <c r="K46" s="21" t="s">
        <v>56</v>
      </c>
      <c r="L46" s="21" t="str">
        <f>VLOOKUP(C46,'Trips&amp;Operators'!$C$1:$E$9999,3,FALSE)</f>
        <v>BARTLETT</v>
      </c>
      <c r="M46" s="20" t="s">
        <v>93</v>
      </c>
      <c r="N46" s="21"/>
      <c r="P46" s="81" t="str">
        <f>VLOOKUP(C46,'Train Runs'!$A$3:$T$248,20,0)</f>
        <v>https://search-rtdc-monitor-bjffxe2xuh6vdkpspy63sjmuny.us-east-1.es.amazonaws.com/_plugin/kibana/#/discover/Steve-Slow-Train-Analysis-(2080s-and-2083s)?_g=(refreshInterval:(display:Off,section:0,value:0),time:(from:'2016-05-18 21:50:22-0600',mode:absolute,to:'2016-05-18 22:41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</row>
    <row r="47" spans="1:16" s="19" customFormat="1" x14ac:dyDescent="0.25">
      <c r="A47" s="23">
        <v>42509.007233796299</v>
      </c>
      <c r="B47" s="22" t="s">
        <v>65</v>
      </c>
      <c r="C47" s="22" t="s">
        <v>449</v>
      </c>
      <c r="D47" s="22" t="s">
        <v>52</v>
      </c>
      <c r="E47" s="22" t="s">
        <v>53</v>
      </c>
      <c r="F47" s="22">
        <v>0</v>
      </c>
      <c r="G47" s="22">
        <v>7</v>
      </c>
      <c r="H47" s="22">
        <v>116</v>
      </c>
      <c r="I47" s="22" t="s">
        <v>54</v>
      </c>
      <c r="J47" s="22">
        <v>1</v>
      </c>
      <c r="K47" s="21" t="s">
        <v>56</v>
      </c>
      <c r="L47" s="21" t="str">
        <f>VLOOKUP(C47,'Trips&amp;Operators'!$C$1:$E$9999,3,FALSE)</f>
        <v>NEWELL</v>
      </c>
      <c r="M47" s="20" t="s">
        <v>93</v>
      </c>
      <c r="N47" s="21"/>
      <c r="P47" s="81" t="str">
        <f>VLOOKUP(C47,'Train Runs'!$A$3:$T$248,20,0)</f>
        <v>https://search-rtdc-monitor-bjffxe2xuh6vdkpspy63sjmuny.us-east-1.es.amazonaws.com/_plugin/kibana/#/discover/Steve-Slow-Train-Analysis-(2080s-and-2083s)?_g=(refreshInterval:(display:Off,section:0,value:0),time:(from:'2016-05-18 23:13:32-0600',mode:absolute,to:'2016-05-19 00:13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</row>
    <row r="48" spans="1:16" s="19" customFormat="1" x14ac:dyDescent="0.25">
      <c r="A48" s="23">
        <v>42508.552372685182</v>
      </c>
      <c r="B48" s="22" t="s">
        <v>181</v>
      </c>
      <c r="C48" s="22" t="s">
        <v>376</v>
      </c>
      <c r="D48" s="22" t="s">
        <v>57</v>
      </c>
      <c r="E48" s="22" t="s">
        <v>461</v>
      </c>
      <c r="F48" s="22">
        <v>230</v>
      </c>
      <c r="G48" s="22">
        <v>295</v>
      </c>
      <c r="H48" s="22">
        <v>31031</v>
      </c>
      <c r="I48" s="22" t="s">
        <v>462</v>
      </c>
      <c r="J48" s="22">
        <v>30830</v>
      </c>
      <c r="K48" s="21" t="s">
        <v>55</v>
      </c>
      <c r="L48" s="21" t="str">
        <f>VLOOKUP(C48,'Trips&amp;Operators'!$C$1:$E$9999,3,FALSE)</f>
        <v>SPECTOR</v>
      </c>
      <c r="M48" s="20" t="s">
        <v>191</v>
      </c>
      <c r="N48" s="21" t="s">
        <v>522</v>
      </c>
      <c r="P48" s="81" t="str">
        <f>VLOOKUP(C48,'Train Runs'!$A$3:$T$248,20,0)</f>
        <v>https://search-rtdc-monitor-bjffxe2xuh6vdkpspy63sjmuny.us-east-1.es.amazonaws.com/_plugin/kibana/#/discover/Steve-Slow-Train-Analysis-(2080s-and-2083s)?_g=(refreshInterval:(display:Off,section:0,value:0),time:(from:'2016-05-18 13:03:32-0600',mode:absolute,to:'2016-05-18 13:50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</row>
    <row r="49" spans="1:16" s="19" customFormat="1" ht="15.75" thickBot="1" x14ac:dyDescent="0.3">
      <c r="A49" s="41"/>
      <c r="B49" s="42"/>
      <c r="C49" s="42"/>
      <c r="D49" s="42"/>
      <c r="E49" s="42"/>
      <c r="F49" s="42"/>
      <c r="G49" s="42"/>
      <c r="H49" s="42"/>
      <c r="I49" s="42"/>
      <c r="J49" s="42"/>
      <c r="K49" s="43"/>
      <c r="L49" s="43"/>
      <c r="M49" s="44"/>
      <c r="N49" s="43"/>
      <c r="P49" s="81"/>
    </row>
    <row r="50" spans="1:16" ht="30" x14ac:dyDescent="0.25">
      <c r="B50" s="60"/>
      <c r="C50" s="60"/>
      <c r="D50" s="60"/>
      <c r="E50" s="60"/>
      <c r="F50" s="60"/>
      <c r="G50" s="60"/>
      <c r="H50" s="60"/>
      <c r="I50" s="60"/>
      <c r="J50" s="60"/>
      <c r="K50" s="18" t="s">
        <v>28</v>
      </c>
      <c r="L50" s="53"/>
      <c r="M50" s="17">
        <f>COUNTIF(M3:M48,"=Y")</f>
        <v>7</v>
      </c>
    </row>
    <row r="51" spans="1:16" ht="15.75" thickBot="1" x14ac:dyDescent="0.3">
      <c r="B51" s="60"/>
      <c r="C51" s="60"/>
      <c r="D51" s="60"/>
      <c r="E51" s="60"/>
      <c r="F51" s="60"/>
      <c r="G51" s="60"/>
      <c r="H51" s="60"/>
      <c r="I51" s="60"/>
      <c r="J51" s="60"/>
      <c r="K51" s="16" t="s">
        <v>27</v>
      </c>
      <c r="L51" s="54"/>
      <c r="M51" s="15">
        <f>COUNTA(M3:M48)-M50</f>
        <v>39</v>
      </c>
    </row>
  </sheetData>
  <autoFilter ref="A2:N48"/>
  <sortState ref="A3:N63">
    <sortCondition ref="E3:E63"/>
  </sortState>
  <mergeCells count="1">
    <mergeCell ref="A1:M1"/>
  </mergeCells>
  <conditionalFormatting sqref="N2 M2:M1048576 P2">
    <cfRule type="cellIs" dxfId="1" priority="7" operator="equal">
      <formula>"Y"</formula>
    </cfRule>
  </conditionalFormatting>
  <conditionalFormatting sqref="B3:N49">
    <cfRule type="expression" dxfId="0" priority="6">
      <formula>$M3="Y"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B2" sqref="B2"/>
    </sheetView>
  </sheetViews>
  <sheetFormatPr defaultRowHeight="15" x14ac:dyDescent="0.25"/>
  <cols>
    <col min="2" max="2" width="26.42578125" bestFit="1" customWidth="1"/>
  </cols>
  <sheetData>
    <row r="1" spans="1:2" s="60" customFormat="1" x14ac:dyDescent="0.25">
      <c r="A1" s="77" t="str">
        <f>"Trips that did not appear in PTC Data "&amp;TEXT(Variables!$A$2,"YYYY-mm-dd")</f>
        <v>Trips that did not appear in PTC Data 2016-05-18</v>
      </c>
      <c r="B1" s="78"/>
    </row>
    <row r="2" spans="1:2" x14ac:dyDescent="0.25">
      <c r="A2" s="78" t="s">
        <v>470</v>
      </c>
      <c r="B2" s="78" t="s">
        <v>505</v>
      </c>
    </row>
    <row r="3" spans="1:2" x14ac:dyDescent="0.25">
      <c r="A3" s="78" t="s">
        <v>496</v>
      </c>
      <c r="B3" s="78" t="s">
        <v>506</v>
      </c>
    </row>
    <row r="4" spans="1:2" x14ac:dyDescent="0.25">
      <c r="A4" s="78" t="s">
        <v>497</v>
      </c>
      <c r="B4" s="78" t="s">
        <v>506</v>
      </c>
    </row>
    <row r="5" spans="1:2" x14ac:dyDescent="0.25">
      <c r="A5" s="79" t="s">
        <v>498</v>
      </c>
      <c r="B5" s="78" t="s">
        <v>506</v>
      </c>
    </row>
    <row r="6" spans="1:2" x14ac:dyDescent="0.25">
      <c r="A6" s="79" t="s">
        <v>471</v>
      </c>
      <c r="B6" s="78" t="s">
        <v>505</v>
      </c>
    </row>
    <row r="7" spans="1:2" x14ac:dyDescent="0.25">
      <c r="A7" s="79" t="s">
        <v>499</v>
      </c>
      <c r="B7" s="78" t="s">
        <v>506</v>
      </c>
    </row>
    <row r="8" spans="1:2" x14ac:dyDescent="0.25">
      <c r="A8" s="79" t="s">
        <v>500</v>
      </c>
      <c r="B8" s="78" t="s">
        <v>506</v>
      </c>
    </row>
    <row r="9" spans="1:2" x14ac:dyDescent="0.25">
      <c r="A9" s="79" t="s">
        <v>501</v>
      </c>
      <c r="B9" s="78" t="s">
        <v>506</v>
      </c>
    </row>
    <row r="10" spans="1:2" x14ac:dyDescent="0.25">
      <c r="A10" s="79" t="s">
        <v>502</v>
      </c>
      <c r="B10" s="78" t="s">
        <v>506</v>
      </c>
    </row>
    <row r="11" spans="1:2" x14ac:dyDescent="0.25">
      <c r="A11" s="79" t="s">
        <v>489</v>
      </c>
      <c r="B11" s="78" t="s">
        <v>505</v>
      </c>
    </row>
    <row r="12" spans="1:2" x14ac:dyDescent="0.25">
      <c r="A12" s="79" t="s">
        <v>503</v>
      </c>
      <c r="B12" s="78" t="s">
        <v>506</v>
      </c>
    </row>
    <row r="13" spans="1:2" x14ac:dyDescent="0.25">
      <c r="A13" s="79" t="s">
        <v>504</v>
      </c>
      <c r="B13" s="78" t="s">
        <v>506</v>
      </c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E237"/>
  <sheetViews>
    <sheetView workbookViewId="0">
      <selection sqref="A1:E220"/>
    </sheetView>
  </sheetViews>
  <sheetFormatPr defaultRowHeight="15" x14ac:dyDescent="0.25"/>
  <cols>
    <col min="1" max="1" width="18.28515625" style="14" bestFit="1" customWidth="1"/>
    <col min="2" max="2" width="17" bestFit="1" customWidth="1"/>
    <col min="3" max="3" width="6.7109375" bestFit="1" customWidth="1"/>
    <col min="4" max="4" width="8" bestFit="1" customWidth="1"/>
    <col min="5" max="5" width="12.140625" bestFit="1" customWidth="1"/>
  </cols>
  <sheetData>
    <row r="1" spans="1:5" x14ac:dyDescent="0.25">
      <c r="A1" s="14">
        <v>42507.809016203704</v>
      </c>
      <c r="B1" t="s">
        <v>244</v>
      </c>
      <c r="C1" t="s">
        <v>221</v>
      </c>
      <c r="D1">
        <v>1820000</v>
      </c>
      <c r="E1" t="s">
        <v>186</v>
      </c>
    </row>
    <row r="2" spans="1:5" x14ac:dyDescent="0.25">
      <c r="A2" s="14">
        <v>42508.824374999997</v>
      </c>
      <c r="B2" t="s">
        <v>262</v>
      </c>
      <c r="C2" t="s">
        <v>433</v>
      </c>
      <c r="D2">
        <v>1280000</v>
      </c>
      <c r="E2" t="s">
        <v>63</v>
      </c>
    </row>
    <row r="3" spans="1:5" x14ac:dyDescent="0.25">
      <c r="A3" s="14">
        <v>42508.908576388887</v>
      </c>
      <c r="B3" t="s">
        <v>119</v>
      </c>
      <c r="C3" t="s">
        <v>446</v>
      </c>
      <c r="D3">
        <v>1410000</v>
      </c>
      <c r="E3" t="s">
        <v>247</v>
      </c>
    </row>
    <row r="4" spans="1:5" x14ac:dyDescent="0.25">
      <c r="A4" s="14">
        <v>42508.529594907406</v>
      </c>
      <c r="B4" t="s">
        <v>173</v>
      </c>
      <c r="C4" t="s">
        <v>354</v>
      </c>
      <c r="D4">
        <v>1090000</v>
      </c>
      <c r="E4" t="s">
        <v>463</v>
      </c>
    </row>
    <row r="5" spans="1:5" x14ac:dyDescent="0.25">
      <c r="A5" s="14">
        <v>42508.71465277778</v>
      </c>
      <c r="B5" t="s">
        <v>258</v>
      </c>
      <c r="C5" t="s">
        <v>419</v>
      </c>
      <c r="D5">
        <v>1280000</v>
      </c>
      <c r="E5" t="s">
        <v>63</v>
      </c>
    </row>
    <row r="6" spans="1:5" x14ac:dyDescent="0.25">
      <c r="A6" s="14">
        <v>42508.951122685183</v>
      </c>
      <c r="B6" t="s">
        <v>258</v>
      </c>
      <c r="C6" t="s">
        <v>450</v>
      </c>
      <c r="D6">
        <v>1280000</v>
      </c>
      <c r="E6" t="s">
        <v>63</v>
      </c>
    </row>
    <row r="7" spans="1:5" x14ac:dyDescent="0.25">
      <c r="A7" s="14">
        <v>42507.866284722222</v>
      </c>
      <c r="B7" t="s">
        <v>137</v>
      </c>
      <c r="C7" t="s">
        <v>224</v>
      </c>
      <c r="D7">
        <v>1410000</v>
      </c>
      <c r="E7" t="s">
        <v>247</v>
      </c>
    </row>
    <row r="8" spans="1:5" x14ac:dyDescent="0.25">
      <c r="A8" s="14">
        <v>42507.976053240738</v>
      </c>
      <c r="B8" t="s">
        <v>244</v>
      </c>
      <c r="C8" t="s">
        <v>238</v>
      </c>
      <c r="D8">
        <v>1820000</v>
      </c>
      <c r="E8" t="s">
        <v>186</v>
      </c>
    </row>
    <row r="9" spans="1:5" x14ac:dyDescent="0.25">
      <c r="A9" s="14">
        <v>42508.364768518521</v>
      </c>
      <c r="B9" t="s">
        <v>137</v>
      </c>
      <c r="C9" t="s">
        <v>312</v>
      </c>
      <c r="D9">
        <v>1760000</v>
      </c>
      <c r="E9" t="s">
        <v>189</v>
      </c>
    </row>
    <row r="10" spans="1:5" x14ac:dyDescent="0.25">
      <c r="A10" s="14">
        <v>42508.431076388886</v>
      </c>
      <c r="B10" t="s">
        <v>262</v>
      </c>
      <c r="C10" t="s">
        <v>334</v>
      </c>
      <c r="D10">
        <v>1470000</v>
      </c>
      <c r="E10" t="s">
        <v>107</v>
      </c>
    </row>
    <row r="11" spans="1:5" x14ac:dyDescent="0.25">
      <c r="A11" s="14">
        <v>42508.674560185187</v>
      </c>
      <c r="B11" t="s">
        <v>130</v>
      </c>
      <c r="C11" t="s">
        <v>409</v>
      </c>
      <c r="D11">
        <v>1470000</v>
      </c>
      <c r="E11" t="s">
        <v>107</v>
      </c>
    </row>
    <row r="12" spans="1:5" x14ac:dyDescent="0.25">
      <c r="A12" s="14">
        <v>42508.454016203701</v>
      </c>
      <c r="B12" t="s">
        <v>181</v>
      </c>
      <c r="C12" t="s">
        <v>348</v>
      </c>
      <c r="D12">
        <v>1090000</v>
      </c>
      <c r="E12" t="s">
        <v>463</v>
      </c>
    </row>
    <row r="13" spans="1:5" x14ac:dyDescent="0.25">
      <c r="A13" s="14">
        <v>42508.597766203704</v>
      </c>
      <c r="B13" t="s">
        <v>130</v>
      </c>
      <c r="C13" t="s">
        <v>393</v>
      </c>
      <c r="D13">
        <v>1470000</v>
      </c>
      <c r="E13" t="s">
        <v>107</v>
      </c>
    </row>
    <row r="14" spans="1:5" x14ac:dyDescent="0.25">
      <c r="A14" s="14">
        <v>42508.545266203706</v>
      </c>
      <c r="B14" t="s">
        <v>181</v>
      </c>
      <c r="C14" t="s">
        <v>376</v>
      </c>
      <c r="D14">
        <v>1090000</v>
      </c>
      <c r="E14" t="s">
        <v>463</v>
      </c>
    </row>
    <row r="15" spans="1:5" x14ac:dyDescent="0.25">
      <c r="A15" s="14">
        <v>42508.592974537038</v>
      </c>
      <c r="B15" t="s">
        <v>244</v>
      </c>
      <c r="C15" t="s">
        <v>390</v>
      </c>
      <c r="D15">
        <v>880000</v>
      </c>
      <c r="E15" t="s">
        <v>123</v>
      </c>
    </row>
    <row r="16" spans="1:5" x14ac:dyDescent="0.25">
      <c r="A16" s="14">
        <v>42508.771145833336</v>
      </c>
      <c r="B16" t="s">
        <v>64</v>
      </c>
      <c r="C16" t="s">
        <v>430</v>
      </c>
      <c r="D16">
        <v>1810000</v>
      </c>
      <c r="E16" t="s">
        <v>245</v>
      </c>
    </row>
    <row r="17" spans="1:5" x14ac:dyDescent="0.25">
      <c r="A17" s="14">
        <v>42508.570277777777</v>
      </c>
      <c r="B17" t="s">
        <v>258</v>
      </c>
      <c r="C17" t="s">
        <v>383</v>
      </c>
      <c r="D17">
        <v>1780000</v>
      </c>
      <c r="E17" t="s">
        <v>124</v>
      </c>
    </row>
    <row r="18" spans="1:5" x14ac:dyDescent="0.25">
      <c r="A18" s="14">
        <v>42508.911215277774</v>
      </c>
      <c r="B18" t="s">
        <v>262</v>
      </c>
      <c r="C18" t="s">
        <v>443</v>
      </c>
      <c r="D18">
        <v>1280000</v>
      </c>
      <c r="E18" t="s">
        <v>63</v>
      </c>
    </row>
    <row r="19" spans="1:5" x14ac:dyDescent="0.25">
      <c r="A19" s="14">
        <v>42508.485648148147</v>
      </c>
      <c r="B19" t="s">
        <v>126</v>
      </c>
      <c r="C19" t="s">
        <v>350</v>
      </c>
      <c r="D19">
        <v>1770000</v>
      </c>
      <c r="E19" t="s">
        <v>109</v>
      </c>
    </row>
    <row r="20" spans="1:5" x14ac:dyDescent="0.25">
      <c r="A20" s="14">
        <v>42508.968854166669</v>
      </c>
      <c r="B20" t="s">
        <v>65</v>
      </c>
      <c r="C20" t="s">
        <v>449</v>
      </c>
      <c r="D20">
        <v>1810000</v>
      </c>
      <c r="E20" t="s">
        <v>245</v>
      </c>
    </row>
    <row r="21" spans="1:5" x14ac:dyDescent="0.25">
      <c r="A21" s="14">
        <v>42508.94809027778</v>
      </c>
      <c r="B21" t="s">
        <v>121</v>
      </c>
      <c r="C21" t="s">
        <v>447</v>
      </c>
      <c r="D21">
        <v>1410000</v>
      </c>
      <c r="E21" t="s">
        <v>247</v>
      </c>
    </row>
    <row r="22" spans="1:5" x14ac:dyDescent="0.25">
      <c r="A22" s="14">
        <v>42509.029386574075</v>
      </c>
      <c r="B22" t="s">
        <v>121</v>
      </c>
      <c r="C22" t="s">
        <v>456</v>
      </c>
      <c r="D22">
        <v>1410000</v>
      </c>
      <c r="E22" t="s">
        <v>247</v>
      </c>
    </row>
    <row r="23" spans="1:5" x14ac:dyDescent="0.25">
      <c r="A23" s="14">
        <v>42508.864502314813</v>
      </c>
      <c r="B23" t="s">
        <v>258</v>
      </c>
      <c r="C23" t="s">
        <v>442</v>
      </c>
      <c r="D23">
        <v>1280000</v>
      </c>
      <c r="E23" t="s">
        <v>63</v>
      </c>
    </row>
    <row r="24" spans="1:5" x14ac:dyDescent="0.25">
      <c r="A24" s="14">
        <v>42509.21398148148</v>
      </c>
      <c r="B24" t="s">
        <v>97</v>
      </c>
      <c r="C24" t="s">
        <v>464</v>
      </c>
      <c r="D24">
        <v>1430000</v>
      </c>
      <c r="E24" t="s">
        <v>164</v>
      </c>
    </row>
    <row r="25" spans="1:5" x14ac:dyDescent="0.25">
      <c r="A25" s="14">
        <v>42508.84783564815</v>
      </c>
      <c r="B25" t="s">
        <v>173</v>
      </c>
      <c r="C25" t="s">
        <v>436</v>
      </c>
      <c r="D25">
        <v>1820000</v>
      </c>
      <c r="E25" t="s">
        <v>186</v>
      </c>
    </row>
    <row r="26" spans="1:5" x14ac:dyDescent="0.25">
      <c r="A26" s="14">
        <v>42509.255127314813</v>
      </c>
      <c r="B26" t="s">
        <v>119</v>
      </c>
      <c r="C26" t="s">
        <v>465</v>
      </c>
      <c r="D26">
        <v>1760000</v>
      </c>
      <c r="E26" t="s">
        <v>189</v>
      </c>
    </row>
    <row r="27" spans="1:5" x14ac:dyDescent="0.25">
      <c r="A27" s="14">
        <v>42508.724930555552</v>
      </c>
      <c r="B27" t="s">
        <v>135</v>
      </c>
      <c r="C27" t="s">
        <v>421</v>
      </c>
      <c r="D27">
        <v>970000</v>
      </c>
      <c r="E27" t="s">
        <v>466</v>
      </c>
    </row>
    <row r="28" spans="1:5" x14ac:dyDescent="0.25">
      <c r="A28" s="14">
        <v>42509.232766203706</v>
      </c>
      <c r="B28" t="s">
        <v>142</v>
      </c>
      <c r="C28" t="s">
        <v>467</v>
      </c>
      <c r="D28">
        <v>1110000</v>
      </c>
      <c r="E28" t="s">
        <v>162</v>
      </c>
    </row>
    <row r="29" spans="1:5" x14ac:dyDescent="0.25">
      <c r="A29" s="14">
        <v>42508.68540509259</v>
      </c>
      <c r="B29" t="s">
        <v>262</v>
      </c>
      <c r="C29" t="s">
        <v>404</v>
      </c>
      <c r="D29">
        <v>1780000</v>
      </c>
      <c r="E29" t="s">
        <v>124</v>
      </c>
    </row>
    <row r="30" spans="1:5" x14ac:dyDescent="0.25">
      <c r="A30" s="14">
        <v>42509.279687499999</v>
      </c>
      <c r="B30" t="s">
        <v>135</v>
      </c>
      <c r="C30" t="s">
        <v>468</v>
      </c>
      <c r="D30">
        <v>1100000</v>
      </c>
      <c r="E30" t="s">
        <v>163</v>
      </c>
    </row>
    <row r="31" spans="1:5" x14ac:dyDescent="0.25">
      <c r="A31" s="14">
        <v>42508.547094907408</v>
      </c>
      <c r="B31" t="s">
        <v>190</v>
      </c>
      <c r="C31" t="s">
        <v>371</v>
      </c>
      <c r="D31">
        <v>880000</v>
      </c>
      <c r="E31" t="s">
        <v>123</v>
      </c>
    </row>
    <row r="32" spans="1:5" x14ac:dyDescent="0.25">
      <c r="A32" s="14">
        <v>42508.232604166667</v>
      </c>
      <c r="B32" t="s">
        <v>190</v>
      </c>
      <c r="C32" t="s">
        <v>260</v>
      </c>
      <c r="D32">
        <v>1260000</v>
      </c>
      <c r="E32" t="s">
        <v>167</v>
      </c>
    </row>
    <row r="33" spans="1:5" x14ac:dyDescent="0.25">
      <c r="A33" s="14">
        <v>42508.545474537037</v>
      </c>
      <c r="B33" t="s">
        <v>190</v>
      </c>
      <c r="C33" t="s">
        <v>371</v>
      </c>
      <c r="D33">
        <v>880000</v>
      </c>
      <c r="E33" t="s">
        <v>123</v>
      </c>
    </row>
    <row r="34" spans="1:5" x14ac:dyDescent="0.25">
      <c r="A34" s="14">
        <v>42508.297789351855</v>
      </c>
      <c r="B34" t="s">
        <v>64</v>
      </c>
      <c r="C34" t="s">
        <v>301</v>
      </c>
      <c r="D34">
        <v>1800000</v>
      </c>
      <c r="E34" t="s">
        <v>110</v>
      </c>
    </row>
    <row r="35" spans="1:5" x14ac:dyDescent="0.25">
      <c r="A35" s="14">
        <v>42508.334791666668</v>
      </c>
      <c r="B35" t="s">
        <v>65</v>
      </c>
      <c r="C35" t="s">
        <v>302</v>
      </c>
      <c r="D35">
        <v>1800000</v>
      </c>
      <c r="E35" t="s">
        <v>110</v>
      </c>
    </row>
    <row r="36" spans="1:5" x14ac:dyDescent="0.25">
      <c r="A36" s="14">
        <v>42507.866307870368</v>
      </c>
      <c r="B36" t="s">
        <v>136</v>
      </c>
      <c r="C36" t="s">
        <v>227</v>
      </c>
      <c r="D36">
        <v>1810000</v>
      </c>
      <c r="E36" t="s">
        <v>245</v>
      </c>
    </row>
    <row r="37" spans="1:5" x14ac:dyDescent="0.25">
      <c r="A37" s="14">
        <v>42508.328449074077</v>
      </c>
      <c r="B37" t="s">
        <v>135</v>
      </c>
      <c r="C37" t="s">
        <v>311</v>
      </c>
      <c r="D37">
        <v>1760000</v>
      </c>
      <c r="E37" t="s">
        <v>189</v>
      </c>
    </row>
    <row r="38" spans="1:5" x14ac:dyDescent="0.25">
      <c r="A38" s="14">
        <v>42508.210219907407</v>
      </c>
      <c r="B38" t="s">
        <v>130</v>
      </c>
      <c r="C38" t="s">
        <v>257</v>
      </c>
      <c r="D38">
        <v>1750000</v>
      </c>
      <c r="E38" t="s">
        <v>116</v>
      </c>
    </row>
    <row r="39" spans="1:5" x14ac:dyDescent="0.25">
      <c r="A39" s="14">
        <v>42508.191481481481</v>
      </c>
      <c r="B39" t="s">
        <v>244</v>
      </c>
      <c r="C39" t="s">
        <v>249</v>
      </c>
      <c r="D39">
        <v>1260000</v>
      </c>
      <c r="E39" t="s">
        <v>167</v>
      </c>
    </row>
    <row r="40" spans="1:5" x14ac:dyDescent="0.25">
      <c r="A40" s="14">
        <v>42508.234166666669</v>
      </c>
      <c r="B40" t="s">
        <v>98</v>
      </c>
      <c r="C40" t="s">
        <v>261</v>
      </c>
      <c r="D40">
        <v>1110000</v>
      </c>
      <c r="E40" t="s">
        <v>162</v>
      </c>
    </row>
    <row r="41" spans="1:5" x14ac:dyDescent="0.25">
      <c r="A41" s="14">
        <v>42508.134513888886</v>
      </c>
      <c r="B41" t="s">
        <v>181</v>
      </c>
      <c r="C41" t="s">
        <v>246</v>
      </c>
      <c r="D41">
        <v>1750000</v>
      </c>
      <c r="E41" t="s">
        <v>116</v>
      </c>
    </row>
    <row r="42" spans="1:5" x14ac:dyDescent="0.25">
      <c r="A42" s="14">
        <v>42508.256990740738</v>
      </c>
      <c r="B42" t="s">
        <v>135</v>
      </c>
      <c r="C42" t="s">
        <v>253</v>
      </c>
      <c r="D42">
        <v>1760000</v>
      </c>
      <c r="E42" t="s">
        <v>189</v>
      </c>
    </row>
    <row r="43" spans="1:5" x14ac:dyDescent="0.25">
      <c r="A43" s="14">
        <v>42507.971076388887</v>
      </c>
      <c r="B43" t="s">
        <v>169</v>
      </c>
      <c r="C43" t="s">
        <v>235</v>
      </c>
      <c r="D43">
        <v>1280000</v>
      </c>
      <c r="E43" t="s">
        <v>63</v>
      </c>
    </row>
    <row r="44" spans="1:5" x14ac:dyDescent="0.25">
      <c r="A44" s="14">
        <v>42508.166493055556</v>
      </c>
      <c r="B44" t="s">
        <v>258</v>
      </c>
      <c r="C44" t="s">
        <v>259</v>
      </c>
      <c r="D44">
        <v>1740000</v>
      </c>
      <c r="E44" t="s">
        <v>111</v>
      </c>
    </row>
    <row r="45" spans="1:5" x14ac:dyDescent="0.25">
      <c r="A45" s="14">
        <v>42507.823807870373</v>
      </c>
      <c r="B45" t="s">
        <v>139</v>
      </c>
      <c r="C45" t="s">
        <v>220</v>
      </c>
      <c r="D45">
        <v>1810000</v>
      </c>
      <c r="E45" t="s">
        <v>245</v>
      </c>
    </row>
    <row r="46" spans="1:5" x14ac:dyDescent="0.25">
      <c r="A46" s="14">
        <v>42508.206701388888</v>
      </c>
      <c r="B46" t="s">
        <v>181</v>
      </c>
      <c r="C46" t="s">
        <v>250</v>
      </c>
      <c r="D46">
        <v>1770000</v>
      </c>
      <c r="E46" t="s">
        <v>109</v>
      </c>
    </row>
    <row r="47" spans="1:5" x14ac:dyDescent="0.25">
      <c r="A47" s="14">
        <v>42508.782916666663</v>
      </c>
      <c r="B47" t="s">
        <v>126</v>
      </c>
      <c r="C47" t="s">
        <v>425</v>
      </c>
      <c r="D47">
        <v>1290000</v>
      </c>
      <c r="E47" t="s">
        <v>248</v>
      </c>
    </row>
    <row r="48" spans="1:5" x14ac:dyDescent="0.25">
      <c r="A48" s="14">
        <v>42508.250555555554</v>
      </c>
      <c r="B48" t="s">
        <v>126</v>
      </c>
      <c r="C48" t="s">
        <v>251</v>
      </c>
      <c r="D48">
        <v>1750000</v>
      </c>
      <c r="E48" t="s">
        <v>116</v>
      </c>
    </row>
    <row r="49" spans="1:5" x14ac:dyDescent="0.25">
      <c r="A49" s="14">
        <v>42508.758506944447</v>
      </c>
      <c r="B49" t="s">
        <v>119</v>
      </c>
      <c r="C49" t="s">
        <v>428</v>
      </c>
      <c r="D49">
        <v>1410000</v>
      </c>
      <c r="E49" t="s">
        <v>247</v>
      </c>
    </row>
    <row r="50" spans="1:5" x14ac:dyDescent="0.25">
      <c r="A50" s="14">
        <v>42508.285752314812</v>
      </c>
      <c r="B50" t="s">
        <v>262</v>
      </c>
      <c r="C50" t="s">
        <v>263</v>
      </c>
      <c r="D50">
        <v>1470000</v>
      </c>
      <c r="E50" t="s">
        <v>107</v>
      </c>
    </row>
    <row r="51" spans="1:5" x14ac:dyDescent="0.25">
      <c r="A51" s="14">
        <v>42508.634363425925</v>
      </c>
      <c r="B51" t="s">
        <v>98</v>
      </c>
      <c r="C51" t="s">
        <v>400</v>
      </c>
      <c r="D51">
        <v>1830000</v>
      </c>
      <c r="E51" t="s">
        <v>185</v>
      </c>
    </row>
    <row r="52" spans="1:5" x14ac:dyDescent="0.25">
      <c r="A52" s="14">
        <v>42508.316574074073</v>
      </c>
      <c r="B52" t="s">
        <v>173</v>
      </c>
      <c r="C52" t="s">
        <v>299</v>
      </c>
      <c r="D52">
        <v>1770000</v>
      </c>
      <c r="E52" t="s">
        <v>109</v>
      </c>
    </row>
    <row r="53" spans="1:5" x14ac:dyDescent="0.25">
      <c r="A53" s="14">
        <v>42508.554988425924</v>
      </c>
      <c r="B53" t="s">
        <v>126</v>
      </c>
      <c r="C53" t="s">
        <v>375</v>
      </c>
      <c r="D53">
        <v>1470000</v>
      </c>
      <c r="E53" t="s">
        <v>107</v>
      </c>
    </row>
    <row r="54" spans="1:5" x14ac:dyDescent="0.25">
      <c r="A54" s="14">
        <v>42507.830138888887</v>
      </c>
      <c r="B54" t="s">
        <v>135</v>
      </c>
      <c r="C54" t="s">
        <v>223</v>
      </c>
      <c r="D54">
        <v>1410000</v>
      </c>
      <c r="E54" t="s">
        <v>247</v>
      </c>
    </row>
    <row r="55" spans="1:5" x14ac:dyDescent="0.25">
      <c r="A55" s="14">
        <v>42508.473576388889</v>
      </c>
      <c r="B55" t="s">
        <v>258</v>
      </c>
      <c r="C55" t="s">
        <v>360</v>
      </c>
      <c r="D55">
        <v>1780000</v>
      </c>
      <c r="E55" t="s">
        <v>124</v>
      </c>
    </row>
    <row r="56" spans="1:5" x14ac:dyDescent="0.25">
      <c r="A56" s="14">
        <v>42507.913819444446</v>
      </c>
      <c r="B56" t="s">
        <v>135</v>
      </c>
      <c r="C56" t="s">
        <v>232</v>
      </c>
      <c r="D56">
        <v>1410000</v>
      </c>
      <c r="E56" t="s">
        <v>247</v>
      </c>
    </row>
    <row r="57" spans="1:5" x14ac:dyDescent="0.25">
      <c r="A57" s="14">
        <v>42508.392928240741</v>
      </c>
      <c r="B57" t="s">
        <v>258</v>
      </c>
      <c r="C57" t="s">
        <v>333</v>
      </c>
      <c r="D57">
        <v>1740000</v>
      </c>
      <c r="E57" t="s">
        <v>111</v>
      </c>
    </row>
    <row r="58" spans="1:5" x14ac:dyDescent="0.25">
      <c r="A58" s="14">
        <v>42507.93346064815</v>
      </c>
      <c r="B58" t="s">
        <v>190</v>
      </c>
      <c r="C58" t="s">
        <v>231</v>
      </c>
      <c r="D58">
        <v>1820000</v>
      </c>
      <c r="E58" t="s">
        <v>186</v>
      </c>
    </row>
    <row r="59" spans="1:5" x14ac:dyDescent="0.25">
      <c r="A59" s="14">
        <v>42508.338645833333</v>
      </c>
      <c r="B59" t="s">
        <v>244</v>
      </c>
      <c r="C59" t="s">
        <v>313</v>
      </c>
      <c r="D59">
        <v>1260000</v>
      </c>
      <c r="E59" t="s">
        <v>167</v>
      </c>
    </row>
    <row r="60" spans="1:5" x14ac:dyDescent="0.25">
      <c r="A60" s="14">
        <v>42508.054803240739</v>
      </c>
      <c r="B60" t="s">
        <v>169</v>
      </c>
      <c r="C60" t="s">
        <v>243</v>
      </c>
      <c r="D60">
        <v>1280000</v>
      </c>
      <c r="E60" t="s">
        <v>63</v>
      </c>
    </row>
    <row r="61" spans="1:5" x14ac:dyDescent="0.25">
      <c r="A61" s="14">
        <v>42509.230567129627</v>
      </c>
      <c r="B61" t="s">
        <v>173</v>
      </c>
      <c r="C61" t="s">
        <v>469</v>
      </c>
      <c r="D61">
        <v>1800000</v>
      </c>
      <c r="E61" t="s">
        <v>110</v>
      </c>
    </row>
    <row r="62" spans="1:5" x14ac:dyDescent="0.25">
      <c r="A62" s="14">
        <v>42508.404270833336</v>
      </c>
      <c r="B62" t="s">
        <v>135</v>
      </c>
      <c r="C62" t="s">
        <v>335</v>
      </c>
      <c r="D62">
        <v>1760000</v>
      </c>
      <c r="E62" t="s">
        <v>189</v>
      </c>
    </row>
    <row r="63" spans="1:5" x14ac:dyDescent="0.25">
      <c r="A63" s="14">
        <v>42508.777453703704</v>
      </c>
      <c r="B63" t="s">
        <v>173</v>
      </c>
      <c r="C63" t="s">
        <v>470</v>
      </c>
      <c r="D63">
        <v>1820000</v>
      </c>
      <c r="E63" t="s">
        <v>186</v>
      </c>
    </row>
    <row r="64" spans="1:5" x14ac:dyDescent="0.25">
      <c r="A64" s="14">
        <v>42508.412870370368</v>
      </c>
      <c r="B64" t="s">
        <v>244</v>
      </c>
      <c r="C64" t="s">
        <v>340</v>
      </c>
      <c r="D64">
        <v>1260000</v>
      </c>
      <c r="E64" t="s">
        <v>167</v>
      </c>
    </row>
    <row r="65" spans="1:5" x14ac:dyDescent="0.25">
      <c r="A65" s="14">
        <v>42508.646053240744</v>
      </c>
      <c r="B65" t="s">
        <v>173</v>
      </c>
      <c r="C65" t="s">
        <v>471</v>
      </c>
      <c r="D65">
        <v>1090000</v>
      </c>
      <c r="E65" t="s">
        <v>463</v>
      </c>
    </row>
    <row r="66" spans="1:5" x14ac:dyDescent="0.25">
      <c r="A66" s="14">
        <v>42508.424293981479</v>
      </c>
      <c r="B66" t="s">
        <v>184</v>
      </c>
      <c r="C66" t="s">
        <v>345</v>
      </c>
      <c r="D66">
        <v>1090000</v>
      </c>
      <c r="E66" t="s">
        <v>463</v>
      </c>
    </row>
    <row r="67" spans="1:5" x14ac:dyDescent="0.25">
      <c r="A67" s="14">
        <v>42508.606956018521</v>
      </c>
      <c r="B67" t="s">
        <v>262</v>
      </c>
      <c r="C67" t="s">
        <v>386</v>
      </c>
      <c r="D67">
        <v>1780000</v>
      </c>
      <c r="E67" t="s">
        <v>124</v>
      </c>
    </row>
    <row r="68" spans="1:5" x14ac:dyDescent="0.25">
      <c r="A68" s="14">
        <v>42508.72552083333</v>
      </c>
      <c r="B68" t="s">
        <v>121</v>
      </c>
      <c r="C68" t="s">
        <v>413</v>
      </c>
      <c r="D68">
        <v>1230000</v>
      </c>
      <c r="E68" t="s">
        <v>472</v>
      </c>
    </row>
    <row r="69" spans="1:5" x14ac:dyDescent="0.25">
      <c r="A69" s="14">
        <v>42508.538831018515</v>
      </c>
      <c r="B69" t="s">
        <v>137</v>
      </c>
      <c r="C69" t="s">
        <v>370</v>
      </c>
      <c r="D69">
        <v>1760000</v>
      </c>
      <c r="E69" t="s">
        <v>189</v>
      </c>
    </row>
    <row r="70" spans="1:5" x14ac:dyDescent="0.25">
      <c r="A70" s="14">
        <v>42508.805358796293</v>
      </c>
      <c r="B70" t="s">
        <v>65</v>
      </c>
      <c r="C70" t="s">
        <v>431</v>
      </c>
      <c r="D70">
        <v>1810000</v>
      </c>
      <c r="E70" t="s">
        <v>245</v>
      </c>
    </row>
    <row r="71" spans="1:5" x14ac:dyDescent="0.25">
      <c r="A71" s="14">
        <v>42508.504178240742</v>
      </c>
      <c r="B71" t="s">
        <v>244</v>
      </c>
      <c r="C71" t="s">
        <v>368</v>
      </c>
      <c r="D71">
        <v>880000</v>
      </c>
      <c r="E71" t="s">
        <v>123</v>
      </c>
    </row>
    <row r="72" spans="1:5" x14ac:dyDescent="0.25">
      <c r="A72" s="14">
        <v>42509.262824074074</v>
      </c>
      <c r="B72" t="s">
        <v>187</v>
      </c>
      <c r="C72" t="s">
        <v>473</v>
      </c>
      <c r="D72">
        <v>1200000</v>
      </c>
      <c r="E72" t="s">
        <v>474</v>
      </c>
    </row>
    <row r="73" spans="1:5" x14ac:dyDescent="0.25">
      <c r="A73" s="14">
        <v>42508.30908564815</v>
      </c>
      <c r="B73" t="s">
        <v>98</v>
      </c>
      <c r="C73" t="s">
        <v>303</v>
      </c>
      <c r="D73">
        <v>1110000</v>
      </c>
      <c r="E73" t="s">
        <v>162</v>
      </c>
    </row>
    <row r="74" spans="1:5" x14ac:dyDescent="0.25">
      <c r="A74" s="14">
        <v>42508.471516203703</v>
      </c>
      <c r="B74" t="s">
        <v>137</v>
      </c>
      <c r="C74" t="s">
        <v>336</v>
      </c>
      <c r="D74">
        <v>1760000</v>
      </c>
      <c r="E74" t="s">
        <v>189</v>
      </c>
    </row>
    <row r="75" spans="1:5" x14ac:dyDescent="0.25">
      <c r="A75" s="14">
        <v>42508.303437499999</v>
      </c>
      <c r="B75" t="s">
        <v>190</v>
      </c>
      <c r="C75" t="s">
        <v>298</v>
      </c>
      <c r="D75">
        <v>1260000</v>
      </c>
      <c r="E75" t="s">
        <v>167</v>
      </c>
    </row>
    <row r="76" spans="1:5" x14ac:dyDescent="0.25">
      <c r="A76" s="14">
        <v>42508.480567129627</v>
      </c>
      <c r="B76" t="s">
        <v>190</v>
      </c>
      <c r="C76" t="s">
        <v>341</v>
      </c>
      <c r="D76">
        <v>1260000</v>
      </c>
      <c r="E76" t="s">
        <v>167</v>
      </c>
    </row>
    <row r="77" spans="1:5" x14ac:dyDescent="0.25">
      <c r="A77" s="14">
        <v>42508.829155092593</v>
      </c>
      <c r="B77" t="s">
        <v>119</v>
      </c>
      <c r="C77" t="s">
        <v>437</v>
      </c>
      <c r="D77">
        <v>1410000</v>
      </c>
      <c r="E77" t="s">
        <v>247</v>
      </c>
    </row>
    <row r="78" spans="1:5" x14ac:dyDescent="0.25">
      <c r="A78" s="14">
        <v>42508.747175925928</v>
      </c>
      <c r="B78" t="s">
        <v>262</v>
      </c>
      <c r="C78" t="s">
        <v>420</v>
      </c>
      <c r="D78">
        <v>1280000</v>
      </c>
      <c r="E78" t="s">
        <v>63</v>
      </c>
    </row>
    <row r="79" spans="1:5" x14ac:dyDescent="0.25">
      <c r="A79" s="14">
        <v>42508.778773148151</v>
      </c>
      <c r="B79" t="s">
        <v>173</v>
      </c>
      <c r="C79" t="s">
        <v>470</v>
      </c>
      <c r="D79">
        <v>1820000</v>
      </c>
      <c r="E79" t="s">
        <v>186</v>
      </c>
    </row>
    <row r="80" spans="1:5" x14ac:dyDescent="0.25">
      <c r="A80" s="14">
        <v>42508.775937500002</v>
      </c>
      <c r="B80" t="s">
        <v>173</v>
      </c>
      <c r="C80" t="s">
        <v>470</v>
      </c>
      <c r="D80">
        <v>1820000</v>
      </c>
      <c r="E80" t="s">
        <v>186</v>
      </c>
    </row>
    <row r="81" spans="1:5" x14ac:dyDescent="0.25">
      <c r="A81" s="14">
        <v>42508.615289351852</v>
      </c>
      <c r="B81" t="s">
        <v>181</v>
      </c>
      <c r="C81" t="s">
        <v>396</v>
      </c>
      <c r="D81">
        <v>1090000</v>
      </c>
      <c r="E81" t="s">
        <v>463</v>
      </c>
    </row>
    <row r="82" spans="1:5" x14ac:dyDescent="0.25">
      <c r="A82" s="14">
        <v>42508.864351851851</v>
      </c>
      <c r="B82" t="s">
        <v>121</v>
      </c>
      <c r="C82" t="s">
        <v>438</v>
      </c>
      <c r="D82">
        <v>1410000</v>
      </c>
      <c r="E82" t="s">
        <v>247</v>
      </c>
    </row>
    <row r="83" spans="1:5" x14ac:dyDescent="0.25">
      <c r="A83" s="14">
        <v>42508.523981481485</v>
      </c>
      <c r="B83" t="s">
        <v>130</v>
      </c>
      <c r="C83" t="s">
        <v>373</v>
      </c>
      <c r="D83">
        <v>1470000</v>
      </c>
      <c r="E83" t="s">
        <v>107</v>
      </c>
    </row>
    <row r="84" spans="1:5" x14ac:dyDescent="0.25">
      <c r="A84" s="14">
        <v>42508.598217592589</v>
      </c>
      <c r="B84" t="s">
        <v>97</v>
      </c>
      <c r="C84" t="s">
        <v>382</v>
      </c>
      <c r="D84">
        <v>1830000</v>
      </c>
      <c r="E84" t="s">
        <v>185</v>
      </c>
    </row>
    <row r="85" spans="1:5" x14ac:dyDescent="0.25">
      <c r="A85" s="14">
        <v>42508.495740740742</v>
      </c>
      <c r="B85" t="s">
        <v>173</v>
      </c>
      <c r="C85" t="s">
        <v>354</v>
      </c>
      <c r="D85">
        <v>1090000</v>
      </c>
      <c r="E85" t="s">
        <v>463</v>
      </c>
    </row>
    <row r="86" spans="1:5" x14ac:dyDescent="0.25">
      <c r="A86" s="14">
        <v>42508.809976851851</v>
      </c>
      <c r="B86" t="s">
        <v>181</v>
      </c>
      <c r="C86" t="s">
        <v>434</v>
      </c>
      <c r="D86">
        <v>1820000</v>
      </c>
      <c r="E86" t="s">
        <v>186</v>
      </c>
    </row>
    <row r="87" spans="1:5" x14ac:dyDescent="0.25">
      <c r="A87" s="14">
        <v>42508.472824074073</v>
      </c>
      <c r="B87" t="s">
        <v>119</v>
      </c>
      <c r="C87" t="s">
        <v>363</v>
      </c>
      <c r="D87">
        <v>0</v>
      </c>
      <c r="E87" t="s">
        <v>188</v>
      </c>
    </row>
    <row r="88" spans="1:5" x14ac:dyDescent="0.25">
      <c r="A88" s="14">
        <v>42508.410486111112</v>
      </c>
      <c r="B88" t="s">
        <v>65</v>
      </c>
      <c r="C88" t="s">
        <v>325</v>
      </c>
      <c r="D88">
        <v>1800000</v>
      </c>
      <c r="E88" t="s">
        <v>110</v>
      </c>
    </row>
    <row r="89" spans="1:5" x14ac:dyDescent="0.25">
      <c r="A89" s="14">
        <v>42508.429606481484</v>
      </c>
      <c r="B89" t="s">
        <v>184</v>
      </c>
      <c r="C89" t="s">
        <v>345</v>
      </c>
      <c r="D89">
        <v>1090000</v>
      </c>
      <c r="E89" t="s">
        <v>463</v>
      </c>
    </row>
    <row r="90" spans="1:5" x14ac:dyDescent="0.25">
      <c r="A90" s="14">
        <v>42508.422754629632</v>
      </c>
      <c r="B90" t="s">
        <v>97</v>
      </c>
      <c r="C90" t="s">
        <v>330</v>
      </c>
      <c r="D90">
        <v>1110000</v>
      </c>
      <c r="E90" t="s">
        <v>162</v>
      </c>
    </row>
    <row r="91" spans="1:5" x14ac:dyDescent="0.25">
      <c r="A91" s="14">
        <v>42508.370300925926</v>
      </c>
      <c r="B91" t="s">
        <v>64</v>
      </c>
      <c r="C91" t="s">
        <v>323</v>
      </c>
      <c r="D91">
        <v>1800000</v>
      </c>
      <c r="E91" t="s">
        <v>110</v>
      </c>
    </row>
    <row r="92" spans="1:5" x14ac:dyDescent="0.25">
      <c r="A92" s="14">
        <v>42508.472766203704</v>
      </c>
      <c r="B92" t="s">
        <v>98</v>
      </c>
      <c r="C92" t="s">
        <v>358</v>
      </c>
      <c r="D92">
        <v>1830000</v>
      </c>
      <c r="E92" t="s">
        <v>185</v>
      </c>
    </row>
    <row r="93" spans="1:5" x14ac:dyDescent="0.25">
      <c r="A93" s="14">
        <v>42508.350243055553</v>
      </c>
      <c r="B93" t="s">
        <v>97</v>
      </c>
      <c r="C93" t="s">
        <v>305</v>
      </c>
      <c r="D93">
        <v>1110000</v>
      </c>
      <c r="E93" t="s">
        <v>162</v>
      </c>
    </row>
    <row r="94" spans="1:5" x14ac:dyDescent="0.25">
      <c r="A94" s="14">
        <v>42508.622581018521</v>
      </c>
      <c r="B94" t="s">
        <v>64</v>
      </c>
      <c r="C94" t="s">
        <v>399</v>
      </c>
      <c r="D94">
        <v>1140000</v>
      </c>
      <c r="E94" t="s">
        <v>62</v>
      </c>
    </row>
    <row r="95" spans="1:5" x14ac:dyDescent="0.25">
      <c r="A95" s="14">
        <v>42508.264432870368</v>
      </c>
      <c r="B95" t="s">
        <v>65</v>
      </c>
      <c r="C95" t="s">
        <v>252</v>
      </c>
      <c r="D95">
        <v>1800000</v>
      </c>
      <c r="E95" t="s">
        <v>110</v>
      </c>
    </row>
    <row r="96" spans="1:5" x14ac:dyDescent="0.25">
      <c r="A96" s="14">
        <v>42508.888460648152</v>
      </c>
      <c r="B96" t="s">
        <v>65</v>
      </c>
      <c r="C96" t="s">
        <v>441</v>
      </c>
      <c r="D96">
        <v>1810000</v>
      </c>
      <c r="E96" t="s">
        <v>245</v>
      </c>
    </row>
    <row r="97" spans="1:5" x14ac:dyDescent="0.25">
      <c r="A97" s="14">
        <v>42508.213738425926</v>
      </c>
      <c r="B97" t="s">
        <v>181</v>
      </c>
      <c r="C97" t="s">
        <v>250</v>
      </c>
      <c r="D97">
        <v>1770000</v>
      </c>
      <c r="E97" t="s">
        <v>109</v>
      </c>
    </row>
    <row r="98" spans="1:5" x14ac:dyDescent="0.25">
      <c r="A98" s="14">
        <v>42509.168726851851</v>
      </c>
      <c r="B98" t="s">
        <v>170</v>
      </c>
      <c r="C98" t="s">
        <v>475</v>
      </c>
      <c r="D98">
        <v>1430000</v>
      </c>
      <c r="E98" t="s">
        <v>164</v>
      </c>
    </row>
    <row r="99" spans="1:5" x14ac:dyDescent="0.25">
      <c r="A99" s="14">
        <v>42509.156747685185</v>
      </c>
      <c r="B99" t="s">
        <v>184</v>
      </c>
      <c r="C99" t="s">
        <v>476</v>
      </c>
      <c r="D99">
        <v>1110000</v>
      </c>
      <c r="E99" t="s">
        <v>162</v>
      </c>
    </row>
    <row r="100" spans="1:5" x14ac:dyDescent="0.25">
      <c r="A100" s="14">
        <v>42509.245405092595</v>
      </c>
      <c r="B100" t="s">
        <v>170</v>
      </c>
      <c r="C100" t="s">
        <v>477</v>
      </c>
      <c r="D100">
        <v>1430000</v>
      </c>
      <c r="E100" t="s">
        <v>164</v>
      </c>
    </row>
    <row r="101" spans="1:5" x14ac:dyDescent="0.25">
      <c r="A101" s="14">
        <v>42508.704548611109</v>
      </c>
      <c r="B101" t="s">
        <v>190</v>
      </c>
      <c r="C101" t="s">
        <v>407</v>
      </c>
      <c r="D101">
        <v>880000</v>
      </c>
      <c r="E101" t="s">
        <v>123</v>
      </c>
    </row>
    <row r="102" spans="1:5" x14ac:dyDescent="0.25">
      <c r="A102" s="14">
        <v>42509.245150462964</v>
      </c>
      <c r="B102" t="s">
        <v>137</v>
      </c>
      <c r="C102" t="s">
        <v>478</v>
      </c>
      <c r="D102">
        <v>1100000</v>
      </c>
      <c r="E102" t="s">
        <v>163</v>
      </c>
    </row>
    <row r="103" spans="1:5" x14ac:dyDescent="0.25">
      <c r="A103" s="14">
        <v>42508.624212962961</v>
      </c>
      <c r="B103" t="s">
        <v>64</v>
      </c>
      <c r="C103" t="s">
        <v>399</v>
      </c>
      <c r="D103">
        <v>1140000</v>
      </c>
      <c r="E103" t="s">
        <v>62</v>
      </c>
    </row>
    <row r="104" spans="1:5" x14ac:dyDescent="0.25">
      <c r="A104" s="14">
        <v>42509.249930555554</v>
      </c>
      <c r="B104" t="s">
        <v>168</v>
      </c>
      <c r="C104" t="s">
        <v>479</v>
      </c>
      <c r="D104">
        <v>1300000</v>
      </c>
      <c r="E104" t="s">
        <v>125</v>
      </c>
    </row>
    <row r="105" spans="1:5" x14ac:dyDescent="0.25">
      <c r="A105" s="14">
        <v>42508.322881944441</v>
      </c>
      <c r="B105" t="s">
        <v>126</v>
      </c>
      <c r="C105" t="s">
        <v>300</v>
      </c>
      <c r="D105">
        <v>1750000</v>
      </c>
      <c r="E105" t="s">
        <v>116</v>
      </c>
    </row>
    <row r="106" spans="1:5" x14ac:dyDescent="0.25">
      <c r="A106" s="14">
        <v>42509.267337962963</v>
      </c>
      <c r="B106" t="s">
        <v>181</v>
      </c>
      <c r="C106" t="s">
        <v>480</v>
      </c>
      <c r="D106">
        <v>1800000</v>
      </c>
      <c r="E106" t="s">
        <v>110</v>
      </c>
    </row>
    <row r="107" spans="1:5" x14ac:dyDescent="0.25">
      <c r="A107" s="14">
        <v>42508.317615740743</v>
      </c>
      <c r="B107" t="s">
        <v>258</v>
      </c>
      <c r="C107" t="s">
        <v>307</v>
      </c>
      <c r="D107">
        <v>1740000</v>
      </c>
      <c r="E107" t="s">
        <v>111</v>
      </c>
    </row>
    <row r="108" spans="1:5" x14ac:dyDescent="0.25">
      <c r="A108" s="14">
        <v>42507.93309027778</v>
      </c>
      <c r="B108" t="s">
        <v>170</v>
      </c>
      <c r="C108" t="s">
        <v>234</v>
      </c>
      <c r="D108">
        <v>1280000</v>
      </c>
      <c r="E108" t="s">
        <v>63</v>
      </c>
    </row>
    <row r="109" spans="1:5" x14ac:dyDescent="0.25">
      <c r="A109" s="14">
        <v>42508.243645833332</v>
      </c>
      <c r="B109" t="s">
        <v>173</v>
      </c>
      <c r="C109" t="s">
        <v>255</v>
      </c>
      <c r="D109">
        <v>1770000</v>
      </c>
      <c r="E109" t="s">
        <v>109</v>
      </c>
    </row>
    <row r="110" spans="1:5" x14ac:dyDescent="0.25">
      <c r="A110" s="14">
        <v>42507.978333333333</v>
      </c>
      <c r="B110" t="s">
        <v>244</v>
      </c>
      <c r="C110" t="s">
        <v>238</v>
      </c>
      <c r="D110">
        <v>1820000</v>
      </c>
      <c r="E110" t="s">
        <v>186</v>
      </c>
    </row>
    <row r="111" spans="1:5" x14ac:dyDescent="0.25">
      <c r="A111" s="14">
        <v>42509.168993055559</v>
      </c>
      <c r="B111" t="s">
        <v>168</v>
      </c>
      <c r="C111" t="s">
        <v>481</v>
      </c>
      <c r="D111">
        <v>1300000</v>
      </c>
      <c r="E111" t="s">
        <v>125</v>
      </c>
    </row>
    <row r="112" spans="1:5" x14ac:dyDescent="0.25">
      <c r="A112" s="14">
        <v>42508.030393518522</v>
      </c>
      <c r="B112" t="s">
        <v>137</v>
      </c>
      <c r="C112" t="s">
        <v>241</v>
      </c>
      <c r="D112">
        <v>1410000</v>
      </c>
      <c r="E112" t="s">
        <v>247</v>
      </c>
    </row>
    <row r="113" spans="1:5" x14ac:dyDescent="0.25">
      <c r="A113" s="14">
        <v>42509.122523148151</v>
      </c>
      <c r="B113" t="s">
        <v>135</v>
      </c>
      <c r="C113" t="s">
        <v>482</v>
      </c>
      <c r="D113">
        <v>1300000</v>
      </c>
      <c r="E113" t="s">
        <v>125</v>
      </c>
    </row>
    <row r="114" spans="1:5" x14ac:dyDescent="0.25">
      <c r="A114" s="14">
        <v>42508.154074074075</v>
      </c>
      <c r="B114" t="s">
        <v>64</v>
      </c>
      <c r="C114" t="s">
        <v>266</v>
      </c>
      <c r="D114">
        <v>1110000</v>
      </c>
      <c r="E114" t="s">
        <v>162</v>
      </c>
    </row>
    <row r="115" spans="1:5" x14ac:dyDescent="0.25">
      <c r="A115" s="14">
        <v>42509.016562500001</v>
      </c>
      <c r="B115" t="s">
        <v>64</v>
      </c>
      <c r="C115" t="s">
        <v>457</v>
      </c>
      <c r="D115">
        <v>1810000</v>
      </c>
      <c r="E115" t="s">
        <v>245</v>
      </c>
    </row>
    <row r="116" spans="1:5" x14ac:dyDescent="0.25">
      <c r="A116" s="14">
        <v>42508.285671296297</v>
      </c>
      <c r="B116" t="s">
        <v>130</v>
      </c>
      <c r="C116" t="s">
        <v>273</v>
      </c>
      <c r="D116">
        <v>1750000</v>
      </c>
      <c r="E116" t="s">
        <v>116</v>
      </c>
    </row>
    <row r="117" spans="1:5" x14ac:dyDescent="0.25">
      <c r="A117" s="14">
        <v>42508.80091435185</v>
      </c>
      <c r="B117" t="s">
        <v>135</v>
      </c>
      <c r="C117" t="s">
        <v>460</v>
      </c>
      <c r="D117">
        <v>970000</v>
      </c>
      <c r="E117" t="s">
        <v>466</v>
      </c>
    </row>
    <row r="118" spans="1:5" x14ac:dyDescent="0.25">
      <c r="A118" s="14">
        <v>42508.400613425925</v>
      </c>
      <c r="B118" t="s">
        <v>126</v>
      </c>
      <c r="C118" t="s">
        <v>322</v>
      </c>
      <c r="D118">
        <v>1750000</v>
      </c>
      <c r="E118" t="s">
        <v>116</v>
      </c>
    </row>
    <row r="119" spans="1:5" x14ac:dyDescent="0.25">
      <c r="A119" s="14">
        <v>42508.594467592593</v>
      </c>
      <c r="B119" t="s">
        <v>130</v>
      </c>
      <c r="C119" t="s">
        <v>393</v>
      </c>
      <c r="D119">
        <v>1470000</v>
      </c>
      <c r="E119" t="s">
        <v>107</v>
      </c>
    </row>
    <row r="120" spans="1:5" x14ac:dyDescent="0.25">
      <c r="A120" s="14">
        <v>42507.98773148148</v>
      </c>
      <c r="B120" t="s">
        <v>139</v>
      </c>
      <c r="C120" t="s">
        <v>237</v>
      </c>
      <c r="D120">
        <v>1810000</v>
      </c>
      <c r="E120" t="s">
        <v>245</v>
      </c>
    </row>
    <row r="121" spans="1:5" x14ac:dyDescent="0.25">
      <c r="A121" s="14">
        <v>42508.558622685188</v>
      </c>
      <c r="B121" t="s">
        <v>98</v>
      </c>
      <c r="C121" t="s">
        <v>381</v>
      </c>
      <c r="D121">
        <v>1830000</v>
      </c>
      <c r="E121" t="s">
        <v>185</v>
      </c>
    </row>
    <row r="122" spans="1:5" x14ac:dyDescent="0.25">
      <c r="A122" s="14">
        <v>42507.90116898148</v>
      </c>
      <c r="B122" t="s">
        <v>244</v>
      </c>
      <c r="C122" t="s">
        <v>230</v>
      </c>
      <c r="D122">
        <v>1820000</v>
      </c>
      <c r="E122" t="s">
        <v>186</v>
      </c>
    </row>
    <row r="123" spans="1:5" x14ac:dyDescent="0.25">
      <c r="A123" s="14">
        <v>42508.290567129632</v>
      </c>
      <c r="B123" t="s">
        <v>137</v>
      </c>
      <c r="C123" t="s">
        <v>297</v>
      </c>
      <c r="D123">
        <v>1760000</v>
      </c>
      <c r="E123" t="s">
        <v>189</v>
      </c>
    </row>
    <row r="124" spans="1:5" x14ac:dyDescent="0.25">
      <c r="A124" s="14">
        <v>42507.99324074074</v>
      </c>
      <c r="B124" t="s">
        <v>135</v>
      </c>
      <c r="C124" t="s">
        <v>240</v>
      </c>
      <c r="D124">
        <v>1410000</v>
      </c>
      <c r="E124" t="s">
        <v>247</v>
      </c>
    </row>
    <row r="125" spans="1:5" x14ac:dyDescent="0.25">
      <c r="A125" s="14">
        <v>42508.276018518518</v>
      </c>
      <c r="B125" t="s">
        <v>181</v>
      </c>
      <c r="C125" t="s">
        <v>254</v>
      </c>
      <c r="D125">
        <v>1770000</v>
      </c>
      <c r="E125" t="s">
        <v>109</v>
      </c>
    </row>
    <row r="126" spans="1:5" x14ac:dyDescent="0.25">
      <c r="A126" s="14">
        <v>42508.221493055556</v>
      </c>
      <c r="B126" t="s">
        <v>137</v>
      </c>
      <c r="C126" t="s">
        <v>271</v>
      </c>
      <c r="D126">
        <v>1760000</v>
      </c>
      <c r="E126" t="s">
        <v>189</v>
      </c>
    </row>
    <row r="127" spans="1:5" x14ac:dyDescent="0.25">
      <c r="A127" s="14">
        <v>42508.265694444446</v>
      </c>
      <c r="B127" t="s">
        <v>244</v>
      </c>
      <c r="C127" t="s">
        <v>256</v>
      </c>
      <c r="D127">
        <v>1260000</v>
      </c>
      <c r="E127" t="s">
        <v>167</v>
      </c>
    </row>
    <row r="128" spans="1:5" x14ac:dyDescent="0.25">
      <c r="A128" s="14">
        <v>42508.226793981485</v>
      </c>
      <c r="B128" t="s">
        <v>64</v>
      </c>
      <c r="C128" t="s">
        <v>272</v>
      </c>
      <c r="D128">
        <v>1800000</v>
      </c>
      <c r="E128" t="s">
        <v>110</v>
      </c>
    </row>
    <row r="129" spans="1:5" x14ac:dyDescent="0.25">
      <c r="A129" s="14">
        <v>42507.976898148147</v>
      </c>
      <c r="B129" t="s">
        <v>244</v>
      </c>
      <c r="C129" t="s">
        <v>238</v>
      </c>
      <c r="D129">
        <v>1820000</v>
      </c>
      <c r="E129" t="s">
        <v>186</v>
      </c>
    </row>
    <row r="130" spans="1:5" x14ac:dyDescent="0.25">
      <c r="A130" s="14">
        <v>42508.352939814817</v>
      </c>
      <c r="B130" t="s">
        <v>262</v>
      </c>
      <c r="C130" t="s">
        <v>310</v>
      </c>
      <c r="D130">
        <v>1470000</v>
      </c>
      <c r="E130" t="s">
        <v>107</v>
      </c>
    </row>
    <row r="131" spans="1:5" x14ac:dyDescent="0.25">
      <c r="A131" s="14">
        <v>42508.018865740742</v>
      </c>
      <c r="B131" t="s">
        <v>170</v>
      </c>
      <c r="C131" t="s">
        <v>242</v>
      </c>
      <c r="D131">
        <v>1280000</v>
      </c>
      <c r="E131" t="s">
        <v>63</v>
      </c>
    </row>
    <row r="132" spans="1:5" x14ac:dyDescent="0.25">
      <c r="A132" s="14">
        <v>42508.382905092592</v>
      </c>
      <c r="B132" t="s">
        <v>98</v>
      </c>
      <c r="C132" t="s">
        <v>328</v>
      </c>
      <c r="D132">
        <v>1110000</v>
      </c>
      <c r="E132" t="s">
        <v>162</v>
      </c>
    </row>
    <row r="133" spans="1:5" x14ac:dyDescent="0.25">
      <c r="A133" s="14">
        <v>42507.949745370373</v>
      </c>
      <c r="B133" t="s">
        <v>136</v>
      </c>
      <c r="C133" t="s">
        <v>236</v>
      </c>
      <c r="D133">
        <v>1810000</v>
      </c>
      <c r="E133" t="s">
        <v>245</v>
      </c>
    </row>
    <row r="134" spans="1:5" x14ac:dyDescent="0.25">
      <c r="A134" s="14">
        <v>42508.435358796298</v>
      </c>
      <c r="B134" t="s">
        <v>130</v>
      </c>
      <c r="C134" t="s">
        <v>347</v>
      </c>
      <c r="D134">
        <v>1770000</v>
      </c>
      <c r="E134" t="s">
        <v>109</v>
      </c>
    </row>
    <row r="135" spans="1:5" x14ac:dyDescent="0.25">
      <c r="A135" s="14">
        <v>42507.946319444447</v>
      </c>
      <c r="B135" t="s">
        <v>137</v>
      </c>
      <c r="C135" t="s">
        <v>233</v>
      </c>
      <c r="D135">
        <v>1410000</v>
      </c>
      <c r="E135" t="s">
        <v>247</v>
      </c>
    </row>
    <row r="136" spans="1:5" x14ac:dyDescent="0.25">
      <c r="A136" s="14">
        <v>42507.800856481481</v>
      </c>
      <c r="B136" t="s">
        <v>169</v>
      </c>
      <c r="C136" t="s">
        <v>219</v>
      </c>
      <c r="D136">
        <v>1280000</v>
      </c>
      <c r="E136" t="s">
        <v>63</v>
      </c>
    </row>
    <row r="137" spans="1:5" x14ac:dyDescent="0.25">
      <c r="A137" s="14">
        <v>42509.014467592591</v>
      </c>
      <c r="B137" t="s">
        <v>173</v>
      </c>
      <c r="C137" t="s">
        <v>454</v>
      </c>
      <c r="D137">
        <v>1820000</v>
      </c>
      <c r="E137" t="s">
        <v>186</v>
      </c>
    </row>
    <row r="138" spans="1:5" x14ac:dyDescent="0.25">
      <c r="A138" s="14">
        <v>42507.838958333334</v>
      </c>
      <c r="B138" t="s">
        <v>170</v>
      </c>
      <c r="C138" t="s">
        <v>225</v>
      </c>
      <c r="D138">
        <v>1280000</v>
      </c>
      <c r="E138" t="s">
        <v>63</v>
      </c>
    </row>
    <row r="139" spans="1:5" x14ac:dyDescent="0.25">
      <c r="A139" s="14">
        <v>42509.226018518515</v>
      </c>
      <c r="B139" t="s">
        <v>121</v>
      </c>
      <c r="C139" t="s">
        <v>483</v>
      </c>
      <c r="D139">
        <v>1760000</v>
      </c>
      <c r="E139" t="s">
        <v>189</v>
      </c>
    </row>
    <row r="140" spans="1:5" x14ac:dyDescent="0.25">
      <c r="A140" s="14">
        <v>42507.901990740742</v>
      </c>
      <c r="B140" t="s">
        <v>244</v>
      </c>
      <c r="C140" t="s">
        <v>230</v>
      </c>
      <c r="D140">
        <v>1820000</v>
      </c>
      <c r="E140" t="s">
        <v>186</v>
      </c>
    </row>
    <row r="141" spans="1:5" x14ac:dyDescent="0.25">
      <c r="A141" s="14">
        <v>42509.182106481479</v>
      </c>
      <c r="B141" t="s">
        <v>119</v>
      </c>
      <c r="C141" t="s">
        <v>484</v>
      </c>
      <c r="D141">
        <v>1760000</v>
      </c>
      <c r="E141" t="s">
        <v>189</v>
      </c>
    </row>
    <row r="142" spans="1:5" x14ac:dyDescent="0.25">
      <c r="A142" s="14">
        <v>42508.016099537039</v>
      </c>
      <c r="B142" t="s">
        <v>190</v>
      </c>
      <c r="C142" t="s">
        <v>239</v>
      </c>
      <c r="D142">
        <v>1820000</v>
      </c>
      <c r="E142" t="s">
        <v>186</v>
      </c>
    </row>
    <row r="143" spans="1:5" x14ac:dyDescent="0.25">
      <c r="A143" s="14">
        <v>42509.053877314815</v>
      </c>
      <c r="B143" t="s">
        <v>65</v>
      </c>
      <c r="C143" t="s">
        <v>458</v>
      </c>
      <c r="D143">
        <v>1810000</v>
      </c>
      <c r="E143" t="s">
        <v>245</v>
      </c>
    </row>
    <row r="144" spans="1:5" x14ac:dyDescent="0.25">
      <c r="A144" s="14">
        <v>42508.399918981479</v>
      </c>
      <c r="B144" t="s">
        <v>126</v>
      </c>
      <c r="C144" t="s">
        <v>321</v>
      </c>
      <c r="D144">
        <v>1750000</v>
      </c>
      <c r="E144" t="s">
        <v>116</v>
      </c>
    </row>
    <row r="145" spans="1:5" x14ac:dyDescent="0.25">
      <c r="A145" s="14">
        <v>42508.994432870371</v>
      </c>
      <c r="B145" t="s">
        <v>262</v>
      </c>
      <c r="C145" t="s">
        <v>452</v>
      </c>
      <c r="D145">
        <v>1280000</v>
      </c>
      <c r="E145" t="s">
        <v>63</v>
      </c>
    </row>
    <row r="146" spans="1:5" x14ac:dyDescent="0.25">
      <c r="A146" s="14">
        <v>42508.349363425928</v>
      </c>
      <c r="B146" t="s">
        <v>97</v>
      </c>
      <c r="C146" t="s">
        <v>303</v>
      </c>
      <c r="D146">
        <v>1110000</v>
      </c>
      <c r="E146" t="s">
        <v>162</v>
      </c>
    </row>
    <row r="147" spans="1:5" x14ac:dyDescent="0.25">
      <c r="A147" s="14">
        <v>42509.20952546296</v>
      </c>
      <c r="B147" t="s">
        <v>138</v>
      </c>
      <c r="C147" t="s">
        <v>485</v>
      </c>
      <c r="D147">
        <v>1300000</v>
      </c>
      <c r="E147" t="s">
        <v>125</v>
      </c>
    </row>
    <row r="148" spans="1:5" x14ac:dyDescent="0.25">
      <c r="A148" s="14">
        <v>42508.354189814818</v>
      </c>
      <c r="B148" t="s">
        <v>184</v>
      </c>
      <c r="C148" t="s">
        <v>317</v>
      </c>
      <c r="D148">
        <v>1770000</v>
      </c>
      <c r="E148" t="s">
        <v>109</v>
      </c>
    </row>
    <row r="149" spans="1:5" x14ac:dyDescent="0.25">
      <c r="A149" s="14">
        <v>42508.58326388889</v>
      </c>
      <c r="B149" t="s">
        <v>173</v>
      </c>
      <c r="C149" t="s">
        <v>377</v>
      </c>
      <c r="D149">
        <v>1090000</v>
      </c>
      <c r="E149" t="s">
        <v>463</v>
      </c>
    </row>
    <row r="150" spans="1:5" x14ac:dyDescent="0.25">
      <c r="A150" s="14">
        <v>42508.456307870372</v>
      </c>
      <c r="B150" t="s">
        <v>64</v>
      </c>
      <c r="C150" t="s">
        <v>352</v>
      </c>
      <c r="D150">
        <v>1800000</v>
      </c>
      <c r="E150" t="s">
        <v>110</v>
      </c>
    </row>
    <row r="151" spans="1:5" x14ac:dyDescent="0.25">
      <c r="A151" s="14">
        <v>42508.576631944445</v>
      </c>
      <c r="B151" t="s">
        <v>135</v>
      </c>
      <c r="C151" t="s">
        <v>387</v>
      </c>
      <c r="D151">
        <v>970000</v>
      </c>
      <c r="E151" t="s">
        <v>466</v>
      </c>
    </row>
    <row r="152" spans="1:5" x14ac:dyDescent="0.25">
      <c r="A152" s="14">
        <v>42508.552916666667</v>
      </c>
      <c r="B152" t="s">
        <v>64</v>
      </c>
      <c r="C152" t="s">
        <v>378</v>
      </c>
      <c r="D152">
        <v>1140000</v>
      </c>
      <c r="E152" t="s">
        <v>62</v>
      </c>
    </row>
    <row r="153" spans="1:5" x14ac:dyDescent="0.25">
      <c r="A153" s="14">
        <v>42507.848032407404</v>
      </c>
      <c r="B153" t="s">
        <v>190</v>
      </c>
      <c r="C153" t="s">
        <v>222</v>
      </c>
      <c r="D153">
        <v>1820000</v>
      </c>
      <c r="E153" t="s">
        <v>186</v>
      </c>
    </row>
    <row r="154" spans="1:5" x14ac:dyDescent="0.25">
      <c r="A154" s="14">
        <v>42508.697442129633</v>
      </c>
      <c r="B154" t="s">
        <v>64</v>
      </c>
      <c r="C154" t="s">
        <v>414</v>
      </c>
      <c r="D154">
        <v>1140000</v>
      </c>
      <c r="E154" t="s">
        <v>62</v>
      </c>
    </row>
    <row r="155" spans="1:5" x14ac:dyDescent="0.25">
      <c r="A155" s="14">
        <v>42508.785601851851</v>
      </c>
      <c r="B155" t="s">
        <v>258</v>
      </c>
      <c r="C155" t="s">
        <v>432</v>
      </c>
      <c r="D155">
        <v>1280000</v>
      </c>
      <c r="E155" t="s">
        <v>63</v>
      </c>
    </row>
    <row r="156" spans="1:5" x14ac:dyDescent="0.25">
      <c r="A156" s="14">
        <v>42508.747372685182</v>
      </c>
      <c r="B156" t="s">
        <v>130</v>
      </c>
      <c r="C156" t="s">
        <v>424</v>
      </c>
      <c r="D156">
        <v>1290000</v>
      </c>
      <c r="E156" t="s">
        <v>248</v>
      </c>
    </row>
    <row r="157" spans="1:5" x14ac:dyDescent="0.25">
      <c r="A157" s="14">
        <v>42508.672222222223</v>
      </c>
      <c r="B157" t="s">
        <v>97</v>
      </c>
      <c r="C157" t="s">
        <v>402</v>
      </c>
      <c r="D157">
        <v>1830000</v>
      </c>
      <c r="E157" t="s">
        <v>185</v>
      </c>
    </row>
    <row r="158" spans="1:5" x14ac:dyDescent="0.25">
      <c r="A158" s="14">
        <v>42508.843541666669</v>
      </c>
      <c r="B158" t="s">
        <v>173</v>
      </c>
      <c r="C158" t="s">
        <v>436</v>
      </c>
      <c r="D158">
        <v>1820000</v>
      </c>
      <c r="E158" t="s">
        <v>186</v>
      </c>
    </row>
    <row r="159" spans="1:5" x14ac:dyDescent="0.25">
      <c r="A159" s="14">
        <v>42508.654016203705</v>
      </c>
      <c r="B159" t="s">
        <v>135</v>
      </c>
      <c r="C159" t="s">
        <v>405</v>
      </c>
      <c r="D159">
        <v>970000</v>
      </c>
      <c r="E159" t="s">
        <v>466</v>
      </c>
    </row>
    <row r="160" spans="1:5" x14ac:dyDescent="0.25">
      <c r="A160" s="14">
        <v>42509.191099537034</v>
      </c>
      <c r="B160" t="s">
        <v>181</v>
      </c>
      <c r="C160" t="s">
        <v>486</v>
      </c>
      <c r="D160">
        <v>1800000</v>
      </c>
      <c r="E160" t="s">
        <v>110</v>
      </c>
    </row>
    <row r="161" spans="1:5" x14ac:dyDescent="0.25">
      <c r="A161" s="14">
        <v>42508.452777777777</v>
      </c>
      <c r="B161" t="s">
        <v>190</v>
      </c>
      <c r="C161" t="s">
        <v>341</v>
      </c>
      <c r="D161">
        <v>1260000</v>
      </c>
      <c r="E161" t="s">
        <v>167</v>
      </c>
    </row>
    <row r="162" spans="1:5" x14ac:dyDescent="0.25">
      <c r="A162" s="14">
        <v>42509.286458333336</v>
      </c>
      <c r="B162" t="s">
        <v>169</v>
      </c>
      <c r="C162" t="s">
        <v>487</v>
      </c>
      <c r="D162">
        <v>1430000</v>
      </c>
      <c r="E162" t="s">
        <v>164</v>
      </c>
    </row>
    <row r="163" spans="1:5" x14ac:dyDescent="0.25">
      <c r="A163" s="14">
        <v>42508.437928240739</v>
      </c>
      <c r="B163" t="s">
        <v>137</v>
      </c>
      <c r="C163" t="s">
        <v>336</v>
      </c>
      <c r="D163">
        <v>1760000</v>
      </c>
      <c r="E163" t="s">
        <v>189</v>
      </c>
    </row>
    <row r="164" spans="1:5" x14ac:dyDescent="0.25">
      <c r="A164" s="14">
        <v>42508.5075462963</v>
      </c>
      <c r="B164" t="s">
        <v>65</v>
      </c>
      <c r="C164" t="s">
        <v>325</v>
      </c>
      <c r="D164">
        <v>1800000</v>
      </c>
      <c r="E164" t="s">
        <v>110</v>
      </c>
    </row>
    <row r="165" spans="1:5" x14ac:dyDescent="0.25">
      <c r="A165" s="14">
        <v>42508.425046296295</v>
      </c>
      <c r="B165" t="s">
        <v>184</v>
      </c>
      <c r="C165" t="s">
        <v>345</v>
      </c>
      <c r="D165">
        <v>1090000</v>
      </c>
      <c r="E165" t="s">
        <v>463</v>
      </c>
    </row>
    <row r="166" spans="1:5" x14ac:dyDescent="0.25">
      <c r="A166" s="14">
        <v>42509.287094907406</v>
      </c>
      <c r="B166" t="s">
        <v>138</v>
      </c>
      <c r="C166" t="s">
        <v>488</v>
      </c>
      <c r="D166">
        <v>1300000</v>
      </c>
      <c r="E166" t="s">
        <v>125</v>
      </c>
    </row>
    <row r="167" spans="1:5" x14ac:dyDescent="0.25">
      <c r="A167" s="14">
        <v>42508.627881944441</v>
      </c>
      <c r="B167" t="s">
        <v>190</v>
      </c>
      <c r="C167" t="s">
        <v>391</v>
      </c>
      <c r="D167">
        <v>880000</v>
      </c>
      <c r="E167" t="s">
        <v>123</v>
      </c>
    </row>
    <row r="168" spans="1:5" x14ac:dyDescent="0.25">
      <c r="A168" s="14">
        <v>42508.452164351853</v>
      </c>
      <c r="B168" t="s">
        <v>64</v>
      </c>
      <c r="C168" t="s">
        <v>352</v>
      </c>
      <c r="D168">
        <v>1800000</v>
      </c>
      <c r="E168" t="s">
        <v>110</v>
      </c>
    </row>
    <row r="169" spans="1:5" x14ac:dyDescent="0.25">
      <c r="A169" s="14">
        <v>42508.546099537038</v>
      </c>
      <c r="B169" t="s">
        <v>190</v>
      </c>
      <c r="C169" t="s">
        <v>371</v>
      </c>
      <c r="D169">
        <v>880000</v>
      </c>
      <c r="E169" t="s">
        <v>123</v>
      </c>
    </row>
    <row r="170" spans="1:5" x14ac:dyDescent="0.25">
      <c r="A170" s="14">
        <v>42508.523078703707</v>
      </c>
      <c r="B170" t="s">
        <v>262</v>
      </c>
      <c r="C170" t="s">
        <v>489</v>
      </c>
      <c r="D170">
        <v>1780000</v>
      </c>
      <c r="E170" t="s">
        <v>124</v>
      </c>
    </row>
    <row r="171" spans="1:5" x14ac:dyDescent="0.25">
      <c r="A171" s="14">
        <v>42508.388923611114</v>
      </c>
      <c r="B171" t="s">
        <v>187</v>
      </c>
      <c r="C171" t="s">
        <v>319</v>
      </c>
      <c r="D171">
        <v>1770000</v>
      </c>
      <c r="E171" t="s">
        <v>109</v>
      </c>
    </row>
    <row r="172" spans="1:5" x14ac:dyDescent="0.25">
      <c r="A172" s="14">
        <v>42508.595914351848</v>
      </c>
      <c r="B172" t="s">
        <v>130</v>
      </c>
      <c r="C172" t="s">
        <v>393</v>
      </c>
      <c r="D172">
        <v>1470000</v>
      </c>
      <c r="E172" t="s">
        <v>107</v>
      </c>
    </row>
    <row r="173" spans="1:5" x14ac:dyDescent="0.25">
      <c r="A173" s="14">
        <v>42508.275787037041</v>
      </c>
      <c r="B173" t="s">
        <v>97</v>
      </c>
      <c r="C173" t="s">
        <v>267</v>
      </c>
      <c r="D173">
        <v>1110000</v>
      </c>
      <c r="E173" t="s">
        <v>162</v>
      </c>
    </row>
    <row r="174" spans="1:5" x14ac:dyDescent="0.25">
      <c r="A174" s="14">
        <v>42508.618136574078</v>
      </c>
      <c r="B174" t="s">
        <v>137</v>
      </c>
      <c r="C174" t="s">
        <v>389</v>
      </c>
      <c r="D174">
        <v>970000</v>
      </c>
      <c r="E174" t="s">
        <v>466</v>
      </c>
    </row>
    <row r="175" spans="1:5" x14ac:dyDescent="0.25">
      <c r="A175" s="14">
        <v>42507.909791666665</v>
      </c>
      <c r="B175" t="s">
        <v>139</v>
      </c>
      <c r="C175" t="s">
        <v>228</v>
      </c>
      <c r="D175">
        <v>1810000</v>
      </c>
      <c r="E175" t="s">
        <v>245</v>
      </c>
    </row>
    <row r="176" spans="1:5" x14ac:dyDescent="0.25">
      <c r="A176" s="14">
        <v>42508.736458333333</v>
      </c>
      <c r="B176" t="s">
        <v>181</v>
      </c>
      <c r="C176" t="s">
        <v>423</v>
      </c>
      <c r="D176">
        <v>1820000</v>
      </c>
      <c r="E176" t="s">
        <v>186</v>
      </c>
    </row>
    <row r="177" spans="1:5" x14ac:dyDescent="0.25">
      <c r="A177" s="14">
        <v>42508.893425925926</v>
      </c>
      <c r="B177" t="s">
        <v>181</v>
      </c>
      <c r="C177" t="s">
        <v>444</v>
      </c>
      <c r="D177">
        <v>1820000</v>
      </c>
      <c r="E177" t="s">
        <v>186</v>
      </c>
    </row>
    <row r="178" spans="1:5" x14ac:dyDescent="0.25">
      <c r="A178" s="14">
        <v>42508.927499999998</v>
      </c>
      <c r="B178" t="s">
        <v>64</v>
      </c>
      <c r="C178" t="s">
        <v>448</v>
      </c>
      <c r="D178">
        <v>1810000</v>
      </c>
      <c r="E178" t="s">
        <v>245</v>
      </c>
    </row>
    <row r="179" spans="1:5" x14ac:dyDescent="0.25">
      <c r="A179" s="14">
        <v>42508.641793981478</v>
      </c>
      <c r="B179" t="s">
        <v>258</v>
      </c>
      <c r="C179" t="s">
        <v>403</v>
      </c>
      <c r="D179">
        <v>1780000</v>
      </c>
      <c r="E179" t="s">
        <v>124</v>
      </c>
    </row>
    <row r="180" spans="1:5" x14ac:dyDescent="0.25">
      <c r="A180" s="14">
        <v>42508.989918981482</v>
      </c>
      <c r="B180" t="s">
        <v>119</v>
      </c>
      <c r="C180" t="s">
        <v>455</v>
      </c>
      <c r="D180">
        <v>1410000</v>
      </c>
      <c r="E180" t="s">
        <v>247</v>
      </c>
    </row>
    <row r="181" spans="1:5" x14ac:dyDescent="0.25">
      <c r="A181" s="14">
        <v>42508.635300925926</v>
      </c>
      <c r="B181" t="s">
        <v>98</v>
      </c>
      <c r="C181" t="s">
        <v>400</v>
      </c>
      <c r="D181">
        <v>1830000</v>
      </c>
      <c r="E181" t="s">
        <v>185</v>
      </c>
    </row>
    <row r="182" spans="1:5" x14ac:dyDescent="0.25">
      <c r="A182" s="14">
        <v>42509.155497685184</v>
      </c>
      <c r="B182" t="s">
        <v>184</v>
      </c>
      <c r="C182" t="s">
        <v>476</v>
      </c>
      <c r="D182">
        <v>1110000</v>
      </c>
      <c r="E182" t="s">
        <v>162</v>
      </c>
    </row>
    <row r="183" spans="1:5" x14ac:dyDescent="0.25">
      <c r="A183" s="14">
        <v>42508.621759259258</v>
      </c>
      <c r="B183" t="s">
        <v>64</v>
      </c>
      <c r="C183" t="s">
        <v>378</v>
      </c>
      <c r="D183">
        <v>1140000</v>
      </c>
      <c r="E183" t="s">
        <v>62</v>
      </c>
    </row>
    <row r="184" spans="1:5" x14ac:dyDescent="0.25">
      <c r="A184" s="14">
        <v>42509.194305555553</v>
      </c>
      <c r="B184" t="s">
        <v>141</v>
      </c>
      <c r="C184" t="s">
        <v>490</v>
      </c>
      <c r="D184">
        <v>1110000</v>
      </c>
      <c r="E184" t="s">
        <v>162</v>
      </c>
    </row>
    <row r="185" spans="1:5" x14ac:dyDescent="0.25">
      <c r="A185" s="14">
        <v>42508.577893518515</v>
      </c>
      <c r="B185" t="s">
        <v>135</v>
      </c>
      <c r="C185" t="s">
        <v>387</v>
      </c>
      <c r="D185">
        <v>970000</v>
      </c>
      <c r="E185" t="s">
        <v>466</v>
      </c>
    </row>
    <row r="186" spans="1:5" x14ac:dyDescent="0.25">
      <c r="A186" s="14">
        <v>42509.228668981479</v>
      </c>
      <c r="B186" t="s">
        <v>184</v>
      </c>
      <c r="C186" t="s">
        <v>491</v>
      </c>
      <c r="D186">
        <v>1200000</v>
      </c>
      <c r="E186" t="s">
        <v>474</v>
      </c>
    </row>
    <row r="187" spans="1:5" x14ac:dyDescent="0.25">
      <c r="A187" s="14">
        <v>42508.377187500002</v>
      </c>
      <c r="B187" t="s">
        <v>190</v>
      </c>
      <c r="C187" t="s">
        <v>316</v>
      </c>
      <c r="D187">
        <v>1260000</v>
      </c>
      <c r="E187" t="s">
        <v>167</v>
      </c>
    </row>
    <row r="188" spans="1:5" x14ac:dyDescent="0.25">
      <c r="A188" s="14">
        <v>42509.276435185187</v>
      </c>
      <c r="B188" t="s">
        <v>141</v>
      </c>
      <c r="C188" t="s">
        <v>492</v>
      </c>
      <c r="D188">
        <v>1110000</v>
      </c>
      <c r="E188" t="s">
        <v>162</v>
      </c>
    </row>
    <row r="189" spans="1:5" x14ac:dyDescent="0.25">
      <c r="A189" s="14">
        <v>42508.358946759261</v>
      </c>
      <c r="B189" t="s">
        <v>130</v>
      </c>
      <c r="C189" t="s">
        <v>321</v>
      </c>
      <c r="D189">
        <v>1750000</v>
      </c>
      <c r="E189" t="s">
        <v>116</v>
      </c>
    </row>
    <row r="190" spans="1:5" x14ac:dyDescent="0.25">
      <c r="A190" s="14">
        <v>42508.451099537036</v>
      </c>
      <c r="B190" t="s">
        <v>181</v>
      </c>
      <c r="C190" t="s">
        <v>348</v>
      </c>
      <c r="D190">
        <v>1090000</v>
      </c>
      <c r="E190" t="s">
        <v>463</v>
      </c>
    </row>
    <row r="191" spans="1:5" x14ac:dyDescent="0.25">
      <c r="A191" s="14">
        <v>42507.932187500002</v>
      </c>
      <c r="B191" t="s">
        <v>170</v>
      </c>
      <c r="C191" t="s">
        <v>226</v>
      </c>
      <c r="D191">
        <v>1280000</v>
      </c>
      <c r="E191" t="s">
        <v>63</v>
      </c>
    </row>
    <row r="192" spans="1:5" x14ac:dyDescent="0.25">
      <c r="A192" s="14">
        <v>42508.488715277781</v>
      </c>
      <c r="B192" t="s">
        <v>135</v>
      </c>
      <c r="C192" t="s">
        <v>363</v>
      </c>
      <c r="D192">
        <v>1760000</v>
      </c>
      <c r="E192" t="s">
        <v>189</v>
      </c>
    </row>
    <row r="193" spans="1:5" x14ac:dyDescent="0.25">
      <c r="A193" s="14">
        <v>42508.93136574074</v>
      </c>
      <c r="B193" t="s">
        <v>173</v>
      </c>
      <c r="C193" t="s">
        <v>445</v>
      </c>
      <c r="D193">
        <v>1820000</v>
      </c>
      <c r="E193" t="s">
        <v>186</v>
      </c>
    </row>
    <row r="194" spans="1:5" x14ac:dyDescent="0.25">
      <c r="A194" s="14">
        <v>42508.556041666663</v>
      </c>
      <c r="B194" t="s">
        <v>126</v>
      </c>
      <c r="C194" t="s">
        <v>375</v>
      </c>
      <c r="D194">
        <v>1470000</v>
      </c>
      <c r="E194" t="s">
        <v>107</v>
      </c>
    </row>
    <row r="195" spans="1:5" x14ac:dyDescent="0.25">
      <c r="A195" s="14">
        <v>42508.848796296297</v>
      </c>
      <c r="B195" t="s">
        <v>64</v>
      </c>
      <c r="C195" t="s">
        <v>440</v>
      </c>
      <c r="D195">
        <v>1810000</v>
      </c>
      <c r="E195" t="s">
        <v>245</v>
      </c>
    </row>
    <row r="196" spans="1:5" x14ac:dyDescent="0.25">
      <c r="A196" s="14">
        <v>42508.623148148145</v>
      </c>
      <c r="B196" t="s">
        <v>64</v>
      </c>
      <c r="C196" t="s">
        <v>399</v>
      </c>
      <c r="D196">
        <v>1140000</v>
      </c>
      <c r="E196" t="s">
        <v>62</v>
      </c>
    </row>
    <row r="197" spans="1:5" x14ac:dyDescent="0.25">
      <c r="A197" s="14">
        <v>42508.71365740741</v>
      </c>
      <c r="B197" t="s">
        <v>126</v>
      </c>
      <c r="C197" t="s">
        <v>410</v>
      </c>
      <c r="D197">
        <v>1470000</v>
      </c>
      <c r="E197" t="s">
        <v>107</v>
      </c>
    </row>
    <row r="198" spans="1:5" x14ac:dyDescent="0.25">
      <c r="A198" s="14">
        <v>42508.687650462962</v>
      </c>
      <c r="B198" t="s">
        <v>119</v>
      </c>
      <c r="C198" t="s">
        <v>411</v>
      </c>
      <c r="D198">
        <v>1230000</v>
      </c>
      <c r="E198" t="s">
        <v>472</v>
      </c>
    </row>
    <row r="199" spans="1:5" x14ac:dyDescent="0.25">
      <c r="A199" s="14">
        <v>42508.704456018517</v>
      </c>
      <c r="B199" t="s">
        <v>98</v>
      </c>
      <c r="C199" t="s">
        <v>416</v>
      </c>
      <c r="D199">
        <v>1830000</v>
      </c>
      <c r="E199" t="s">
        <v>185</v>
      </c>
    </row>
    <row r="200" spans="1:5" x14ac:dyDescent="0.25">
      <c r="A200" s="14">
        <v>42508.763136574074</v>
      </c>
      <c r="B200" t="s">
        <v>137</v>
      </c>
      <c r="C200" t="s">
        <v>422</v>
      </c>
      <c r="D200">
        <v>970000</v>
      </c>
      <c r="E200" t="s">
        <v>466</v>
      </c>
    </row>
    <row r="201" spans="1:5" x14ac:dyDescent="0.25">
      <c r="A201" s="14">
        <v>42508.640092592592</v>
      </c>
      <c r="B201" t="s">
        <v>126</v>
      </c>
      <c r="C201" t="s">
        <v>395</v>
      </c>
      <c r="D201">
        <v>1470000</v>
      </c>
      <c r="E201" t="s">
        <v>107</v>
      </c>
    </row>
    <row r="202" spans="1:5" x14ac:dyDescent="0.25">
      <c r="A202" s="14">
        <v>42508.975185185183</v>
      </c>
      <c r="B202" t="s">
        <v>181</v>
      </c>
      <c r="C202" t="s">
        <v>453</v>
      </c>
      <c r="D202">
        <v>1820000</v>
      </c>
      <c r="E202" t="s">
        <v>186</v>
      </c>
    </row>
    <row r="203" spans="1:5" x14ac:dyDescent="0.25">
      <c r="A203" s="14">
        <v>42508.589745370373</v>
      </c>
      <c r="B203" t="s">
        <v>65</v>
      </c>
      <c r="C203" t="s">
        <v>380</v>
      </c>
      <c r="D203">
        <v>1140000</v>
      </c>
      <c r="E203" t="s">
        <v>62</v>
      </c>
    </row>
    <row r="204" spans="1:5" x14ac:dyDescent="0.25">
      <c r="A204" s="14">
        <v>42509.207384259258</v>
      </c>
      <c r="B204" t="s">
        <v>135</v>
      </c>
      <c r="C204" t="s">
        <v>493</v>
      </c>
      <c r="D204">
        <v>1100000</v>
      </c>
      <c r="E204" t="s">
        <v>163</v>
      </c>
    </row>
    <row r="205" spans="1:5" x14ac:dyDescent="0.25">
      <c r="A205" s="14">
        <v>42508.247118055559</v>
      </c>
      <c r="B205" t="s">
        <v>258</v>
      </c>
      <c r="C205" t="s">
        <v>268</v>
      </c>
      <c r="D205">
        <v>1740000</v>
      </c>
      <c r="E205" t="s">
        <v>111</v>
      </c>
    </row>
    <row r="206" spans="1:5" x14ac:dyDescent="0.25">
      <c r="A206" s="14">
        <v>42508.452824074076</v>
      </c>
      <c r="B206" t="s">
        <v>64</v>
      </c>
      <c r="C206" t="s">
        <v>352</v>
      </c>
      <c r="D206">
        <v>1800000</v>
      </c>
      <c r="E206" t="s">
        <v>110</v>
      </c>
    </row>
    <row r="207" spans="1:5" x14ac:dyDescent="0.25">
      <c r="A207" s="14">
        <v>42508.213136574072</v>
      </c>
      <c r="B207" t="s">
        <v>187</v>
      </c>
      <c r="C207" t="s">
        <v>269</v>
      </c>
      <c r="D207">
        <v>1740000</v>
      </c>
      <c r="E207" t="s">
        <v>111</v>
      </c>
    </row>
    <row r="208" spans="1:5" x14ac:dyDescent="0.25">
      <c r="A208" s="14">
        <v>42508.455601851849</v>
      </c>
      <c r="B208" t="s">
        <v>181</v>
      </c>
      <c r="C208" t="s">
        <v>348</v>
      </c>
      <c r="D208">
        <v>1090000</v>
      </c>
      <c r="E208" t="s">
        <v>463</v>
      </c>
    </row>
    <row r="209" spans="1:5" x14ac:dyDescent="0.25">
      <c r="A209" s="14">
        <v>42508.193055555559</v>
      </c>
      <c r="B209" t="s">
        <v>97</v>
      </c>
      <c r="C209" t="s">
        <v>264</v>
      </c>
      <c r="D209">
        <v>1110000</v>
      </c>
      <c r="E209" t="s">
        <v>162</v>
      </c>
    </row>
    <row r="210" spans="1:5" x14ac:dyDescent="0.25">
      <c r="A210" s="14">
        <v>42508.521770833337</v>
      </c>
      <c r="B210" t="s">
        <v>262</v>
      </c>
      <c r="C210" t="s">
        <v>489</v>
      </c>
      <c r="D210">
        <v>1780000</v>
      </c>
      <c r="E210" t="s">
        <v>124</v>
      </c>
    </row>
    <row r="211" spans="1:5" x14ac:dyDescent="0.25">
      <c r="A211" s="14">
        <v>42507.890914351854</v>
      </c>
      <c r="B211" t="s">
        <v>169</v>
      </c>
      <c r="C211" t="s">
        <v>226</v>
      </c>
      <c r="D211">
        <v>1280000</v>
      </c>
      <c r="E211" t="s">
        <v>63</v>
      </c>
    </row>
    <row r="212" spans="1:5" x14ac:dyDescent="0.25">
      <c r="A212" s="14">
        <v>42508.531053240738</v>
      </c>
      <c r="B212" t="s">
        <v>262</v>
      </c>
      <c r="C212" t="s">
        <v>366</v>
      </c>
      <c r="D212">
        <v>1780000</v>
      </c>
      <c r="E212" t="s">
        <v>124</v>
      </c>
    </row>
    <row r="213" spans="1:5" x14ac:dyDescent="0.25">
      <c r="A213" s="14">
        <v>42508.692164351851</v>
      </c>
      <c r="B213" t="s">
        <v>137</v>
      </c>
      <c r="C213" t="s">
        <v>406</v>
      </c>
      <c r="D213">
        <v>970000</v>
      </c>
      <c r="E213" t="s">
        <v>466</v>
      </c>
    </row>
    <row r="214" spans="1:5" x14ac:dyDescent="0.25">
      <c r="A214" s="14">
        <v>42508.559537037036</v>
      </c>
      <c r="B214" t="s">
        <v>98</v>
      </c>
      <c r="C214" t="s">
        <v>381</v>
      </c>
      <c r="D214">
        <v>1830000</v>
      </c>
      <c r="E214" t="s">
        <v>185</v>
      </c>
    </row>
    <row r="215" spans="1:5" x14ac:dyDescent="0.25">
      <c r="A215" s="14">
        <v>42508.179398148146</v>
      </c>
      <c r="B215" t="s">
        <v>135</v>
      </c>
      <c r="C215" t="s">
        <v>265</v>
      </c>
      <c r="D215">
        <v>1760000</v>
      </c>
      <c r="E215" t="s">
        <v>189</v>
      </c>
    </row>
    <row r="216" spans="1:5" x14ac:dyDescent="0.25">
      <c r="A216" s="14">
        <v>42508.79178240741</v>
      </c>
      <c r="B216" t="s">
        <v>121</v>
      </c>
      <c r="C216" t="s">
        <v>429</v>
      </c>
      <c r="D216">
        <v>1410000</v>
      </c>
      <c r="E216" t="s">
        <v>247</v>
      </c>
    </row>
    <row r="217" spans="1:5" x14ac:dyDescent="0.25">
      <c r="A217" s="14">
        <v>42508.168252314812</v>
      </c>
      <c r="B217" t="s">
        <v>126</v>
      </c>
      <c r="C217" t="s">
        <v>270</v>
      </c>
      <c r="D217">
        <v>1750000</v>
      </c>
      <c r="E217" t="s">
        <v>116</v>
      </c>
    </row>
    <row r="218" spans="1:5" x14ac:dyDescent="0.25">
      <c r="A218" s="14">
        <v>42509.175011574072</v>
      </c>
      <c r="B218" t="s">
        <v>173</v>
      </c>
      <c r="C218" t="s">
        <v>494</v>
      </c>
      <c r="D218">
        <v>1800000</v>
      </c>
      <c r="E218" t="s">
        <v>110</v>
      </c>
    </row>
    <row r="219" spans="1:5" x14ac:dyDescent="0.25">
      <c r="A219" s="14">
        <v>42508.743761574071</v>
      </c>
      <c r="B219" t="s">
        <v>97</v>
      </c>
      <c r="C219" t="s">
        <v>418</v>
      </c>
      <c r="D219">
        <v>1830000</v>
      </c>
      <c r="E219" t="s">
        <v>185</v>
      </c>
    </row>
    <row r="221" spans="1:5" x14ac:dyDescent="0.25">
      <c r="A221" s="14">
        <v>42505.193067129629</v>
      </c>
      <c r="B221" t="s">
        <v>126</v>
      </c>
      <c r="C221" t="s">
        <v>143</v>
      </c>
      <c r="D221">
        <v>1480000</v>
      </c>
      <c r="E221" t="s">
        <v>171</v>
      </c>
    </row>
    <row r="222" spans="1:5" x14ac:dyDescent="0.25">
      <c r="A222" s="14">
        <v>42506.168576388889</v>
      </c>
      <c r="B222" t="s">
        <v>65</v>
      </c>
      <c r="C222" t="s">
        <v>174</v>
      </c>
      <c r="D222">
        <v>1300000</v>
      </c>
      <c r="E222" t="s">
        <v>125</v>
      </c>
    </row>
    <row r="223" spans="1:5" x14ac:dyDescent="0.25">
      <c r="A223" s="14">
        <v>42505.01462962963</v>
      </c>
      <c r="B223" t="s">
        <v>121</v>
      </c>
      <c r="C223" t="s">
        <v>175</v>
      </c>
      <c r="D223">
        <v>1180000</v>
      </c>
      <c r="E223" t="s">
        <v>176</v>
      </c>
    </row>
    <row r="224" spans="1:5" x14ac:dyDescent="0.25">
      <c r="A224" s="14">
        <v>42506.223263888889</v>
      </c>
      <c r="B224" t="s">
        <v>138</v>
      </c>
      <c r="C224" t="s">
        <v>177</v>
      </c>
      <c r="D224">
        <v>1310000</v>
      </c>
      <c r="E224" t="s">
        <v>131</v>
      </c>
    </row>
    <row r="225" spans="1:5" x14ac:dyDescent="0.25">
      <c r="A225" s="14">
        <v>42505.731111111112</v>
      </c>
      <c r="B225" t="s">
        <v>139</v>
      </c>
      <c r="C225" t="s">
        <v>159</v>
      </c>
      <c r="D225">
        <v>940000</v>
      </c>
      <c r="E225" t="s">
        <v>172</v>
      </c>
    </row>
    <row r="226" spans="1:5" x14ac:dyDescent="0.25">
      <c r="A226" s="14">
        <v>42506.341412037036</v>
      </c>
      <c r="B226" t="s">
        <v>168</v>
      </c>
      <c r="C226" t="s">
        <v>178</v>
      </c>
      <c r="D226">
        <v>1310000</v>
      </c>
      <c r="E226" t="s">
        <v>131</v>
      </c>
    </row>
    <row r="227" spans="1:5" x14ac:dyDescent="0.25">
      <c r="A227" s="14">
        <v>42505.582199074073</v>
      </c>
      <c r="B227" t="s">
        <v>139</v>
      </c>
      <c r="C227" t="s">
        <v>158</v>
      </c>
      <c r="D227">
        <v>940000</v>
      </c>
      <c r="E227" t="s">
        <v>172</v>
      </c>
    </row>
    <row r="228" spans="1:5" x14ac:dyDescent="0.25">
      <c r="A228" s="14">
        <v>42505.430902777778</v>
      </c>
      <c r="B228" t="s">
        <v>137</v>
      </c>
      <c r="C228" t="s">
        <v>154</v>
      </c>
      <c r="D228">
        <v>1430000</v>
      </c>
      <c r="E228" t="s">
        <v>164</v>
      </c>
    </row>
    <row r="229" spans="1:5" x14ac:dyDescent="0.25">
      <c r="A229" s="14">
        <v>42505.573796296296</v>
      </c>
      <c r="B229" t="s">
        <v>137</v>
      </c>
      <c r="C229" t="s">
        <v>157</v>
      </c>
      <c r="D229">
        <v>1490000</v>
      </c>
      <c r="E229" t="s">
        <v>165</v>
      </c>
    </row>
    <row r="230" spans="1:5" x14ac:dyDescent="0.25">
      <c r="A230" s="14">
        <v>42505.578877314816</v>
      </c>
      <c r="B230" t="s">
        <v>138</v>
      </c>
      <c r="C230" t="s">
        <v>140</v>
      </c>
      <c r="D230">
        <v>880000</v>
      </c>
      <c r="E230" t="s">
        <v>123</v>
      </c>
    </row>
    <row r="231" spans="1:5" x14ac:dyDescent="0.25">
      <c r="A231" s="14">
        <v>42505.26902777778</v>
      </c>
      <c r="B231" t="s">
        <v>119</v>
      </c>
      <c r="C231" t="s">
        <v>150</v>
      </c>
      <c r="D231">
        <v>1310000</v>
      </c>
      <c r="E231" t="s">
        <v>131</v>
      </c>
    </row>
    <row r="232" spans="1:5" x14ac:dyDescent="0.25">
      <c r="A232" s="14">
        <v>42505.98232638889</v>
      </c>
      <c r="B232" t="s">
        <v>137</v>
      </c>
      <c r="C232" t="s">
        <v>160</v>
      </c>
      <c r="D232">
        <v>1440000</v>
      </c>
      <c r="E232" t="s">
        <v>161</v>
      </c>
    </row>
    <row r="233" spans="1:5" x14ac:dyDescent="0.25">
      <c r="A233" s="14">
        <v>42505.244050925925</v>
      </c>
      <c r="B233" t="s">
        <v>120</v>
      </c>
      <c r="C233" t="s">
        <v>134</v>
      </c>
      <c r="D233">
        <v>1100000</v>
      </c>
      <c r="E233" t="s">
        <v>163</v>
      </c>
    </row>
    <row r="234" spans="1:5" x14ac:dyDescent="0.25">
      <c r="A234" s="14">
        <v>42506.264675925922</v>
      </c>
      <c r="B234" t="s">
        <v>136</v>
      </c>
      <c r="C234" t="s">
        <v>179</v>
      </c>
      <c r="D234">
        <v>1430000</v>
      </c>
      <c r="E234" t="s">
        <v>164</v>
      </c>
    </row>
    <row r="235" spans="1:5" x14ac:dyDescent="0.25">
      <c r="A235" s="14">
        <v>42505.516712962963</v>
      </c>
      <c r="B235" t="s">
        <v>98</v>
      </c>
      <c r="C235" t="s">
        <v>156</v>
      </c>
      <c r="D235">
        <v>1460000</v>
      </c>
      <c r="E235" t="s">
        <v>166</v>
      </c>
    </row>
    <row r="236" spans="1:5" x14ac:dyDescent="0.25">
      <c r="A236" s="14">
        <v>42506.477349537039</v>
      </c>
      <c r="B236" t="s">
        <v>168</v>
      </c>
      <c r="C236" t="s">
        <v>180</v>
      </c>
      <c r="D236">
        <v>1770000</v>
      </c>
      <c r="E236" t="s">
        <v>109</v>
      </c>
    </row>
    <row r="237" spans="1:5" x14ac:dyDescent="0.25">
      <c r="A237" s="14">
        <v>42505.211493055554</v>
      </c>
      <c r="B237" t="s">
        <v>138</v>
      </c>
      <c r="C237" t="s">
        <v>146</v>
      </c>
      <c r="D237">
        <v>1300000</v>
      </c>
      <c r="E237" t="s">
        <v>125</v>
      </c>
    </row>
  </sheetData>
  <sortState ref="A1:E215">
    <sortCondition ref="A1:A215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F4"/>
  <sheetViews>
    <sheetView workbookViewId="0">
      <selection activeCell="A2" sqref="A2"/>
    </sheetView>
  </sheetViews>
  <sheetFormatPr defaultRowHeight="15" x14ac:dyDescent="0.25"/>
  <cols>
    <col min="1" max="1" width="32.140625" customWidth="1"/>
    <col min="3" max="3" width="24" customWidth="1"/>
  </cols>
  <sheetData>
    <row r="1" spans="1:6" ht="45.75" x14ac:dyDescent="0.3">
      <c r="A1" s="28" t="s">
        <v>25</v>
      </c>
      <c r="C1" s="36" t="s">
        <v>48</v>
      </c>
    </row>
    <row r="2" spans="1:6" ht="15.75" thickBot="1" x14ac:dyDescent="0.3">
      <c r="A2" s="29">
        <v>42508</v>
      </c>
      <c r="B2" s="10"/>
      <c r="C2" s="37">
        <v>50</v>
      </c>
      <c r="F2" t="s">
        <v>94</v>
      </c>
    </row>
    <row r="3" spans="1:6" x14ac:dyDescent="0.25">
      <c r="F3" t="s">
        <v>95</v>
      </c>
    </row>
    <row r="4" spans="1:6" x14ac:dyDescent="0.25">
      <c r="F4" t="s">
        <v>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Train Runs</vt:lpstr>
      <vt:lpstr>Enforcements</vt:lpstr>
      <vt:lpstr>Missing Trips</vt:lpstr>
      <vt:lpstr>Trips&amp;Operators</vt:lpstr>
      <vt:lpstr>Variables</vt:lpstr>
      <vt:lpstr>'Train Runs'!Denver_Train_Runs_04122016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Whitlock, Robert;Tu, Steve</dc:creator>
  <cp:lastModifiedBy>Steve Tu</cp:lastModifiedBy>
  <dcterms:created xsi:type="dcterms:W3CDTF">2016-04-12T13:52:23Z</dcterms:created>
  <dcterms:modified xsi:type="dcterms:W3CDTF">2016-05-19T15:56:06Z</dcterms:modified>
</cp:coreProperties>
</file>