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Enforcements!$A$2:$N$2</definedName>
    <definedName name="_xlnm._FilterDatabase" localSheetId="0" hidden="1">'Train Runs'!$A$2:$AA$2</definedName>
    <definedName name="Denver_Train_Runs_04122016" localSheetId="0">'Train Runs'!$A$2:$J$155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M53" i="3"/>
  <c r="M54" i="3" s="1"/>
  <c r="L48" i="3"/>
  <c r="L49" i="3"/>
  <c r="L50" i="3"/>
  <c r="L51" i="3"/>
  <c r="L12" i="3"/>
  <c r="T25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T149" i="1"/>
  <c r="V149" i="1"/>
  <c r="W149" i="1"/>
  <c r="X149" i="1"/>
  <c r="Y149" i="1" s="1"/>
  <c r="U149" i="1" s="1"/>
  <c r="Z149" i="1"/>
  <c r="AA149" i="1"/>
  <c r="T150" i="1"/>
  <c r="V150" i="1"/>
  <c r="W150" i="1"/>
  <c r="X150" i="1"/>
  <c r="Z150" i="1"/>
  <c r="AA150" i="1"/>
  <c r="M156" i="1"/>
  <c r="J156" i="1"/>
  <c r="N150" i="1"/>
  <c r="M149" i="1"/>
  <c r="N149" i="1" s="1"/>
  <c r="M150" i="1"/>
  <c r="K149" i="1"/>
  <c r="K150" i="1"/>
  <c r="I152" i="1"/>
  <c r="Y150" i="1" l="1"/>
  <c r="U150" i="1" s="1"/>
  <c r="V35" i="1"/>
  <c r="L18" i="3"/>
  <c r="L19" i="3"/>
  <c r="L10" i="3"/>
  <c r="L24" i="3"/>
  <c r="L13" i="3"/>
  <c r="L7" i="3"/>
  <c r="L25" i="3"/>
  <c r="L11" i="3"/>
  <c r="L17" i="3"/>
  <c r="L26" i="3"/>
  <c r="L35" i="3"/>
  <c r="L36" i="3"/>
  <c r="L37" i="3"/>
  <c r="L38" i="3"/>
  <c r="L39" i="3"/>
  <c r="L14" i="3"/>
  <c r="L40" i="3"/>
  <c r="L5" i="3"/>
  <c r="L16" i="3"/>
  <c r="L27" i="3"/>
  <c r="L41" i="3"/>
  <c r="L42" i="3"/>
  <c r="L43" i="3"/>
  <c r="L20" i="3"/>
  <c r="L21" i="3"/>
  <c r="L22" i="3"/>
  <c r="L44" i="3"/>
  <c r="L45" i="3"/>
  <c r="L28" i="3"/>
  <c r="L46" i="3"/>
  <c r="L29" i="3"/>
  <c r="L30" i="3"/>
  <c r="L8" i="3"/>
  <c r="L31" i="3"/>
  <c r="L15" i="3"/>
  <c r="L4" i="3"/>
  <c r="L47" i="3"/>
  <c r="L6" i="3"/>
  <c r="L23" i="3"/>
  <c r="L32" i="3"/>
  <c r="L9" i="3"/>
  <c r="L33" i="3"/>
  <c r="L34" i="3"/>
  <c r="M56" i="1" l="1"/>
  <c r="N56" i="1" s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4" i="1"/>
  <c r="K5" i="1" l="1"/>
  <c r="L5" i="1"/>
  <c r="M5" i="1"/>
  <c r="N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P19" i="1" s="1"/>
  <c r="K20" i="1"/>
  <c r="L20" i="1"/>
  <c r="M20" i="1"/>
  <c r="N20" i="1" s="1"/>
  <c r="K21" i="1"/>
  <c r="L21" i="1"/>
  <c r="M21" i="1"/>
  <c r="N21" i="1" s="1"/>
  <c r="K22" i="1"/>
  <c r="L22" i="1"/>
  <c r="M22" i="1"/>
  <c r="P22" i="1" s="1"/>
  <c r="T5" i="1"/>
  <c r="W5" i="1"/>
  <c r="X5" i="1"/>
  <c r="Z5" i="1"/>
  <c r="AA5" i="1"/>
  <c r="T6" i="1"/>
  <c r="W6" i="1"/>
  <c r="X6" i="1"/>
  <c r="Z6" i="1"/>
  <c r="AA6" i="1"/>
  <c r="T7" i="1"/>
  <c r="W7" i="1"/>
  <c r="X7" i="1"/>
  <c r="Z7" i="1"/>
  <c r="AA7" i="1"/>
  <c r="T8" i="1"/>
  <c r="W8" i="1"/>
  <c r="X8" i="1"/>
  <c r="Z8" i="1"/>
  <c r="AA8" i="1"/>
  <c r="T9" i="1"/>
  <c r="W9" i="1"/>
  <c r="X9" i="1"/>
  <c r="Z9" i="1"/>
  <c r="AA9" i="1"/>
  <c r="T10" i="1"/>
  <c r="W10" i="1"/>
  <c r="X10" i="1"/>
  <c r="Z10" i="1"/>
  <c r="AA10" i="1"/>
  <c r="T11" i="1"/>
  <c r="W11" i="1"/>
  <c r="X11" i="1"/>
  <c r="Z11" i="1"/>
  <c r="AA11" i="1"/>
  <c r="T12" i="1"/>
  <c r="W12" i="1"/>
  <c r="X12" i="1"/>
  <c r="Z12" i="1"/>
  <c r="AA12" i="1"/>
  <c r="T13" i="1"/>
  <c r="W13" i="1"/>
  <c r="X13" i="1"/>
  <c r="Z13" i="1"/>
  <c r="AA13" i="1"/>
  <c r="T14" i="1"/>
  <c r="W14" i="1"/>
  <c r="X14" i="1"/>
  <c r="Z14" i="1"/>
  <c r="AA14" i="1"/>
  <c r="T15" i="1"/>
  <c r="W15" i="1"/>
  <c r="X15" i="1"/>
  <c r="Z15" i="1"/>
  <c r="AA15" i="1"/>
  <c r="T16" i="1"/>
  <c r="W16" i="1"/>
  <c r="X16" i="1"/>
  <c r="Y16" i="1" s="1"/>
  <c r="U16" i="1" s="1"/>
  <c r="Z16" i="1"/>
  <c r="AA16" i="1"/>
  <c r="T17" i="1"/>
  <c r="W17" i="1"/>
  <c r="X17" i="1"/>
  <c r="Z17" i="1"/>
  <c r="AA17" i="1"/>
  <c r="T18" i="1"/>
  <c r="W18" i="1"/>
  <c r="X18" i="1"/>
  <c r="Z18" i="1"/>
  <c r="AA18" i="1"/>
  <c r="T19" i="1"/>
  <c r="W19" i="1"/>
  <c r="X19" i="1"/>
  <c r="Z19" i="1"/>
  <c r="AA19" i="1"/>
  <c r="T20" i="1"/>
  <c r="W20" i="1"/>
  <c r="X20" i="1"/>
  <c r="Z20" i="1"/>
  <c r="AA20" i="1"/>
  <c r="T21" i="1"/>
  <c r="W21" i="1"/>
  <c r="X21" i="1"/>
  <c r="Z21" i="1"/>
  <c r="AA21" i="1"/>
  <c r="T22" i="1"/>
  <c r="W22" i="1"/>
  <c r="X22" i="1"/>
  <c r="Z22" i="1"/>
  <c r="AA22" i="1"/>
  <c r="T23" i="1"/>
  <c r="W23" i="1"/>
  <c r="X23" i="1"/>
  <c r="Z23" i="1"/>
  <c r="AA23" i="1"/>
  <c r="T24" i="1"/>
  <c r="W24" i="1"/>
  <c r="X24" i="1"/>
  <c r="Y24" i="1" s="1"/>
  <c r="U24" i="1" s="1"/>
  <c r="Z24" i="1"/>
  <c r="AA24" i="1"/>
  <c r="W25" i="1"/>
  <c r="X25" i="1"/>
  <c r="Z25" i="1"/>
  <c r="AA25" i="1"/>
  <c r="T26" i="1"/>
  <c r="W26" i="1"/>
  <c r="X26" i="1"/>
  <c r="Z26" i="1"/>
  <c r="AA26" i="1"/>
  <c r="T27" i="1"/>
  <c r="W27" i="1"/>
  <c r="X27" i="1"/>
  <c r="Z27" i="1"/>
  <c r="AA27" i="1"/>
  <c r="T28" i="1"/>
  <c r="W28" i="1"/>
  <c r="X28" i="1"/>
  <c r="Z28" i="1"/>
  <c r="AA28" i="1"/>
  <c r="T29" i="1"/>
  <c r="W29" i="1"/>
  <c r="X29" i="1"/>
  <c r="Z29" i="1"/>
  <c r="AA29" i="1"/>
  <c r="T30" i="1"/>
  <c r="W30" i="1"/>
  <c r="X30" i="1"/>
  <c r="Z30" i="1"/>
  <c r="AA30" i="1"/>
  <c r="T31" i="1"/>
  <c r="W31" i="1"/>
  <c r="X31" i="1"/>
  <c r="Z31" i="1"/>
  <c r="AA31" i="1"/>
  <c r="T4" i="1"/>
  <c r="W4" i="1"/>
  <c r="X4" i="1"/>
  <c r="Z4" i="1"/>
  <c r="AA4" i="1"/>
  <c r="T32" i="1"/>
  <c r="W32" i="1"/>
  <c r="X32" i="1"/>
  <c r="Z32" i="1"/>
  <c r="AA32" i="1"/>
  <c r="T33" i="1"/>
  <c r="W33" i="1"/>
  <c r="X33" i="1"/>
  <c r="Z33" i="1"/>
  <c r="AA33" i="1"/>
  <c r="T34" i="1"/>
  <c r="W34" i="1"/>
  <c r="X34" i="1"/>
  <c r="Z34" i="1"/>
  <c r="AA34" i="1"/>
  <c r="T35" i="1"/>
  <c r="W35" i="1"/>
  <c r="X35" i="1"/>
  <c r="Z35" i="1"/>
  <c r="AA35" i="1"/>
  <c r="T36" i="1"/>
  <c r="W36" i="1"/>
  <c r="X36" i="1"/>
  <c r="Z36" i="1"/>
  <c r="AA36" i="1"/>
  <c r="T37" i="1"/>
  <c r="W37" i="1"/>
  <c r="X37" i="1"/>
  <c r="Z37" i="1"/>
  <c r="AA37" i="1"/>
  <c r="T38" i="1"/>
  <c r="W38" i="1"/>
  <c r="X38" i="1"/>
  <c r="Z38" i="1"/>
  <c r="AA38" i="1"/>
  <c r="T39" i="1"/>
  <c r="W39" i="1"/>
  <c r="X39" i="1"/>
  <c r="Z39" i="1"/>
  <c r="AA39" i="1"/>
  <c r="T40" i="1"/>
  <c r="W40" i="1"/>
  <c r="X40" i="1"/>
  <c r="Z40" i="1"/>
  <c r="AA40" i="1"/>
  <c r="T41" i="1"/>
  <c r="W41" i="1"/>
  <c r="X41" i="1"/>
  <c r="Z41" i="1"/>
  <c r="AA41" i="1"/>
  <c r="T42" i="1"/>
  <c r="W42" i="1"/>
  <c r="X42" i="1"/>
  <c r="Z42" i="1"/>
  <c r="AA42" i="1"/>
  <c r="T43" i="1"/>
  <c r="W43" i="1"/>
  <c r="X43" i="1"/>
  <c r="Z43" i="1"/>
  <c r="AA43" i="1"/>
  <c r="T44" i="1"/>
  <c r="W44" i="1"/>
  <c r="X44" i="1"/>
  <c r="Z44" i="1"/>
  <c r="AA44" i="1"/>
  <c r="T45" i="1"/>
  <c r="W45" i="1"/>
  <c r="X45" i="1"/>
  <c r="Z45" i="1"/>
  <c r="AA45" i="1"/>
  <c r="T46" i="1"/>
  <c r="W46" i="1"/>
  <c r="X46" i="1"/>
  <c r="Z46" i="1"/>
  <c r="AA46" i="1"/>
  <c r="T47" i="1"/>
  <c r="W47" i="1"/>
  <c r="X47" i="1"/>
  <c r="Z47" i="1"/>
  <c r="AA47" i="1"/>
  <c r="T48" i="1"/>
  <c r="W48" i="1"/>
  <c r="X48" i="1"/>
  <c r="Z48" i="1"/>
  <c r="AA48" i="1"/>
  <c r="T49" i="1"/>
  <c r="W49" i="1"/>
  <c r="X49" i="1"/>
  <c r="Z49" i="1"/>
  <c r="AA49" i="1"/>
  <c r="T50" i="1"/>
  <c r="W50" i="1"/>
  <c r="X50" i="1"/>
  <c r="Z50" i="1"/>
  <c r="AA50" i="1"/>
  <c r="T51" i="1"/>
  <c r="W51" i="1"/>
  <c r="X51" i="1"/>
  <c r="Z51" i="1"/>
  <c r="AA51" i="1"/>
  <c r="T52" i="1"/>
  <c r="W52" i="1"/>
  <c r="X52" i="1"/>
  <c r="Z52" i="1"/>
  <c r="AA52" i="1"/>
  <c r="T53" i="1"/>
  <c r="W53" i="1"/>
  <c r="X53" i="1"/>
  <c r="Z53" i="1"/>
  <c r="AA53" i="1"/>
  <c r="T54" i="1"/>
  <c r="W54" i="1"/>
  <c r="X54" i="1"/>
  <c r="Z54" i="1"/>
  <c r="AA54" i="1"/>
  <c r="T55" i="1"/>
  <c r="W55" i="1"/>
  <c r="X55" i="1"/>
  <c r="Z55" i="1"/>
  <c r="AA55" i="1"/>
  <c r="T56" i="1"/>
  <c r="W56" i="1"/>
  <c r="X56" i="1"/>
  <c r="Z56" i="1"/>
  <c r="AA56" i="1"/>
  <c r="T57" i="1"/>
  <c r="W57" i="1"/>
  <c r="X57" i="1"/>
  <c r="Z57" i="1"/>
  <c r="AA57" i="1"/>
  <c r="T58" i="1"/>
  <c r="W58" i="1"/>
  <c r="X58" i="1"/>
  <c r="Z58" i="1"/>
  <c r="AA58" i="1"/>
  <c r="T59" i="1"/>
  <c r="W59" i="1"/>
  <c r="X59" i="1"/>
  <c r="Z59" i="1"/>
  <c r="AA59" i="1"/>
  <c r="T60" i="1"/>
  <c r="W60" i="1"/>
  <c r="X60" i="1"/>
  <c r="Z60" i="1"/>
  <c r="AA60" i="1"/>
  <c r="T61" i="1"/>
  <c r="W61" i="1"/>
  <c r="X61" i="1"/>
  <c r="Z61" i="1"/>
  <c r="AA61" i="1"/>
  <c r="T62" i="1"/>
  <c r="W62" i="1"/>
  <c r="X62" i="1"/>
  <c r="Z62" i="1"/>
  <c r="AA62" i="1"/>
  <c r="T63" i="1"/>
  <c r="W63" i="1"/>
  <c r="X63" i="1"/>
  <c r="Z63" i="1"/>
  <c r="AA63" i="1"/>
  <c r="T64" i="1"/>
  <c r="W64" i="1"/>
  <c r="X64" i="1"/>
  <c r="Z64" i="1"/>
  <c r="AA64" i="1"/>
  <c r="T65" i="1"/>
  <c r="W65" i="1"/>
  <c r="X65" i="1"/>
  <c r="Z65" i="1"/>
  <c r="AA65" i="1"/>
  <c r="T66" i="1"/>
  <c r="W66" i="1"/>
  <c r="X66" i="1"/>
  <c r="Z66" i="1"/>
  <c r="AA66" i="1"/>
  <c r="T67" i="1"/>
  <c r="W67" i="1"/>
  <c r="X67" i="1"/>
  <c r="Z67" i="1"/>
  <c r="AA67" i="1"/>
  <c r="T68" i="1"/>
  <c r="W68" i="1"/>
  <c r="X68" i="1"/>
  <c r="Z68" i="1"/>
  <c r="AA68" i="1"/>
  <c r="T69" i="1"/>
  <c r="W69" i="1"/>
  <c r="X69" i="1"/>
  <c r="Z69" i="1"/>
  <c r="AA69" i="1"/>
  <c r="T70" i="1"/>
  <c r="W70" i="1"/>
  <c r="X70" i="1"/>
  <c r="Z70" i="1"/>
  <c r="AA70" i="1"/>
  <c r="T71" i="1"/>
  <c r="W71" i="1"/>
  <c r="X71" i="1"/>
  <c r="Z71" i="1"/>
  <c r="AA71" i="1"/>
  <c r="T72" i="1"/>
  <c r="W72" i="1"/>
  <c r="X72" i="1"/>
  <c r="Z72" i="1"/>
  <c r="AA72" i="1"/>
  <c r="T73" i="1"/>
  <c r="W73" i="1"/>
  <c r="X73" i="1"/>
  <c r="Z73" i="1"/>
  <c r="AA73" i="1"/>
  <c r="T74" i="1"/>
  <c r="W74" i="1"/>
  <c r="X74" i="1"/>
  <c r="Z74" i="1"/>
  <c r="AA74" i="1"/>
  <c r="T75" i="1"/>
  <c r="W75" i="1"/>
  <c r="X75" i="1"/>
  <c r="Z75" i="1"/>
  <c r="AA75" i="1"/>
  <c r="T76" i="1"/>
  <c r="W76" i="1"/>
  <c r="X76" i="1"/>
  <c r="Z76" i="1"/>
  <c r="AA76" i="1"/>
  <c r="T77" i="1"/>
  <c r="W77" i="1"/>
  <c r="X77" i="1"/>
  <c r="Z77" i="1"/>
  <c r="AA77" i="1"/>
  <c r="T78" i="1"/>
  <c r="W78" i="1"/>
  <c r="X78" i="1"/>
  <c r="Z78" i="1"/>
  <c r="AA78" i="1"/>
  <c r="T79" i="1"/>
  <c r="W79" i="1"/>
  <c r="X79" i="1"/>
  <c r="Z79" i="1"/>
  <c r="AA79" i="1"/>
  <c r="T80" i="1"/>
  <c r="W80" i="1"/>
  <c r="X80" i="1"/>
  <c r="Z80" i="1"/>
  <c r="AA80" i="1"/>
  <c r="T81" i="1"/>
  <c r="W81" i="1"/>
  <c r="X81" i="1"/>
  <c r="Z81" i="1"/>
  <c r="AA81" i="1"/>
  <c r="T82" i="1"/>
  <c r="W82" i="1"/>
  <c r="X82" i="1"/>
  <c r="Z82" i="1"/>
  <c r="AA82" i="1"/>
  <c r="T83" i="1"/>
  <c r="W83" i="1"/>
  <c r="X83" i="1"/>
  <c r="Z83" i="1"/>
  <c r="AA83" i="1"/>
  <c r="T84" i="1"/>
  <c r="W84" i="1"/>
  <c r="X84" i="1"/>
  <c r="Z84" i="1"/>
  <c r="AA84" i="1"/>
  <c r="T85" i="1"/>
  <c r="W85" i="1"/>
  <c r="X85" i="1"/>
  <c r="Z85" i="1"/>
  <c r="AA85" i="1"/>
  <c r="T86" i="1"/>
  <c r="W86" i="1"/>
  <c r="X86" i="1"/>
  <c r="Z86" i="1"/>
  <c r="AA86" i="1"/>
  <c r="T87" i="1"/>
  <c r="W87" i="1"/>
  <c r="X87" i="1"/>
  <c r="Z87" i="1"/>
  <c r="AA87" i="1"/>
  <c r="T88" i="1"/>
  <c r="W88" i="1"/>
  <c r="X88" i="1"/>
  <c r="Z88" i="1"/>
  <c r="AA88" i="1"/>
  <c r="T89" i="1"/>
  <c r="W89" i="1"/>
  <c r="X89" i="1"/>
  <c r="Z89" i="1"/>
  <c r="AA89" i="1"/>
  <c r="T90" i="1"/>
  <c r="W90" i="1"/>
  <c r="X90" i="1"/>
  <c r="Z90" i="1"/>
  <c r="AA90" i="1"/>
  <c r="T91" i="1"/>
  <c r="W91" i="1"/>
  <c r="X91" i="1"/>
  <c r="Z91" i="1"/>
  <c r="AA91" i="1"/>
  <c r="T92" i="1"/>
  <c r="W92" i="1"/>
  <c r="X92" i="1"/>
  <c r="Z92" i="1"/>
  <c r="AA92" i="1"/>
  <c r="T93" i="1"/>
  <c r="W93" i="1"/>
  <c r="X93" i="1"/>
  <c r="Z93" i="1"/>
  <c r="AA93" i="1"/>
  <c r="T94" i="1"/>
  <c r="W94" i="1"/>
  <c r="X94" i="1"/>
  <c r="Z94" i="1"/>
  <c r="AA94" i="1"/>
  <c r="T95" i="1"/>
  <c r="W95" i="1"/>
  <c r="X95" i="1"/>
  <c r="Z95" i="1"/>
  <c r="AA95" i="1"/>
  <c r="T96" i="1"/>
  <c r="W96" i="1"/>
  <c r="X96" i="1"/>
  <c r="Z96" i="1"/>
  <c r="AA96" i="1"/>
  <c r="T97" i="1"/>
  <c r="W97" i="1"/>
  <c r="X97" i="1"/>
  <c r="Z97" i="1"/>
  <c r="AA97" i="1"/>
  <c r="T98" i="1"/>
  <c r="W98" i="1"/>
  <c r="X98" i="1"/>
  <c r="Z98" i="1"/>
  <c r="AA98" i="1"/>
  <c r="T99" i="1"/>
  <c r="W99" i="1"/>
  <c r="X99" i="1"/>
  <c r="Z99" i="1"/>
  <c r="AA99" i="1"/>
  <c r="T100" i="1"/>
  <c r="W100" i="1"/>
  <c r="X100" i="1"/>
  <c r="Z100" i="1"/>
  <c r="AA100" i="1"/>
  <c r="T101" i="1"/>
  <c r="W101" i="1"/>
  <c r="X101" i="1"/>
  <c r="Z101" i="1"/>
  <c r="AA101" i="1"/>
  <c r="T102" i="1"/>
  <c r="W102" i="1"/>
  <c r="X102" i="1"/>
  <c r="Z102" i="1"/>
  <c r="AA102" i="1"/>
  <c r="T103" i="1"/>
  <c r="W103" i="1"/>
  <c r="X103" i="1"/>
  <c r="Z103" i="1"/>
  <c r="AA103" i="1"/>
  <c r="T104" i="1"/>
  <c r="W104" i="1"/>
  <c r="X104" i="1"/>
  <c r="Z104" i="1"/>
  <c r="AA104" i="1"/>
  <c r="T105" i="1"/>
  <c r="W105" i="1"/>
  <c r="X105" i="1"/>
  <c r="Z105" i="1"/>
  <c r="AA105" i="1"/>
  <c r="T106" i="1"/>
  <c r="W106" i="1"/>
  <c r="X106" i="1"/>
  <c r="Z106" i="1"/>
  <c r="AA106" i="1"/>
  <c r="T107" i="1"/>
  <c r="W107" i="1"/>
  <c r="X107" i="1"/>
  <c r="Z107" i="1"/>
  <c r="AA107" i="1"/>
  <c r="T108" i="1"/>
  <c r="W108" i="1"/>
  <c r="X108" i="1"/>
  <c r="Z108" i="1"/>
  <c r="AA108" i="1"/>
  <c r="T109" i="1"/>
  <c r="W109" i="1"/>
  <c r="X109" i="1"/>
  <c r="Z109" i="1"/>
  <c r="AA109" i="1"/>
  <c r="T110" i="1"/>
  <c r="W110" i="1"/>
  <c r="X110" i="1"/>
  <c r="Z110" i="1"/>
  <c r="AA110" i="1"/>
  <c r="T111" i="1"/>
  <c r="W111" i="1"/>
  <c r="X111" i="1"/>
  <c r="Z111" i="1"/>
  <c r="AA111" i="1"/>
  <c r="T112" i="1"/>
  <c r="W112" i="1"/>
  <c r="X112" i="1"/>
  <c r="Z112" i="1"/>
  <c r="AA112" i="1"/>
  <c r="T113" i="1"/>
  <c r="W113" i="1"/>
  <c r="X113" i="1"/>
  <c r="Z113" i="1"/>
  <c r="AA113" i="1"/>
  <c r="T114" i="1"/>
  <c r="W114" i="1"/>
  <c r="X114" i="1"/>
  <c r="Z114" i="1"/>
  <c r="AA114" i="1"/>
  <c r="T115" i="1"/>
  <c r="W115" i="1"/>
  <c r="X115" i="1"/>
  <c r="Z115" i="1"/>
  <c r="AA115" i="1"/>
  <c r="T116" i="1"/>
  <c r="W116" i="1"/>
  <c r="X116" i="1"/>
  <c r="Z116" i="1"/>
  <c r="AA116" i="1"/>
  <c r="T117" i="1"/>
  <c r="W117" i="1"/>
  <c r="X117" i="1"/>
  <c r="Z117" i="1"/>
  <c r="AA117" i="1"/>
  <c r="T118" i="1"/>
  <c r="W118" i="1"/>
  <c r="X118" i="1"/>
  <c r="Z118" i="1"/>
  <c r="AA118" i="1"/>
  <c r="T119" i="1"/>
  <c r="W119" i="1"/>
  <c r="X119" i="1"/>
  <c r="Z119" i="1"/>
  <c r="AA119" i="1"/>
  <c r="T120" i="1"/>
  <c r="W120" i="1"/>
  <c r="X120" i="1"/>
  <c r="Z120" i="1"/>
  <c r="AA120" i="1"/>
  <c r="T121" i="1"/>
  <c r="W121" i="1"/>
  <c r="X121" i="1"/>
  <c r="Z121" i="1"/>
  <c r="AA121" i="1"/>
  <c r="T122" i="1"/>
  <c r="W122" i="1"/>
  <c r="X122" i="1"/>
  <c r="Z122" i="1"/>
  <c r="AA122" i="1"/>
  <c r="T123" i="1"/>
  <c r="W123" i="1"/>
  <c r="X123" i="1"/>
  <c r="Z123" i="1"/>
  <c r="AA123" i="1"/>
  <c r="T124" i="1"/>
  <c r="W124" i="1"/>
  <c r="X124" i="1"/>
  <c r="Z124" i="1"/>
  <c r="AA124" i="1"/>
  <c r="T125" i="1"/>
  <c r="W125" i="1"/>
  <c r="X125" i="1"/>
  <c r="Z125" i="1"/>
  <c r="AA125" i="1"/>
  <c r="T126" i="1"/>
  <c r="W126" i="1"/>
  <c r="X126" i="1"/>
  <c r="Z126" i="1"/>
  <c r="AA126" i="1"/>
  <c r="T127" i="1"/>
  <c r="W127" i="1"/>
  <c r="X127" i="1"/>
  <c r="Z127" i="1"/>
  <c r="AA127" i="1"/>
  <c r="T128" i="1"/>
  <c r="W128" i="1"/>
  <c r="X128" i="1"/>
  <c r="Z128" i="1"/>
  <c r="AA128" i="1"/>
  <c r="T129" i="1"/>
  <c r="W129" i="1"/>
  <c r="X129" i="1"/>
  <c r="Z129" i="1"/>
  <c r="AA129" i="1"/>
  <c r="T130" i="1"/>
  <c r="W130" i="1"/>
  <c r="X130" i="1"/>
  <c r="Z130" i="1"/>
  <c r="AA130" i="1"/>
  <c r="T131" i="1"/>
  <c r="W131" i="1"/>
  <c r="X131" i="1"/>
  <c r="Z131" i="1"/>
  <c r="AA131" i="1"/>
  <c r="T132" i="1"/>
  <c r="W132" i="1"/>
  <c r="X132" i="1"/>
  <c r="Z132" i="1"/>
  <c r="AA132" i="1"/>
  <c r="T133" i="1"/>
  <c r="W133" i="1"/>
  <c r="X133" i="1"/>
  <c r="Z133" i="1"/>
  <c r="AA133" i="1"/>
  <c r="T134" i="1"/>
  <c r="W134" i="1"/>
  <c r="X134" i="1"/>
  <c r="Z134" i="1"/>
  <c r="AA134" i="1"/>
  <c r="T135" i="1"/>
  <c r="W135" i="1"/>
  <c r="X135" i="1"/>
  <c r="Z135" i="1"/>
  <c r="AA135" i="1"/>
  <c r="T136" i="1"/>
  <c r="W136" i="1"/>
  <c r="X136" i="1"/>
  <c r="Z136" i="1"/>
  <c r="AA136" i="1"/>
  <c r="T137" i="1"/>
  <c r="W137" i="1"/>
  <c r="X137" i="1"/>
  <c r="Z137" i="1"/>
  <c r="AA137" i="1"/>
  <c r="T138" i="1"/>
  <c r="W138" i="1"/>
  <c r="X138" i="1"/>
  <c r="Z138" i="1"/>
  <c r="AA138" i="1"/>
  <c r="T139" i="1"/>
  <c r="W139" i="1"/>
  <c r="X139" i="1"/>
  <c r="Z139" i="1"/>
  <c r="AA139" i="1"/>
  <c r="T140" i="1"/>
  <c r="W140" i="1"/>
  <c r="X140" i="1"/>
  <c r="Z140" i="1"/>
  <c r="AA140" i="1"/>
  <c r="T141" i="1"/>
  <c r="W141" i="1"/>
  <c r="X141" i="1"/>
  <c r="Z141" i="1"/>
  <c r="AA141" i="1"/>
  <c r="T142" i="1"/>
  <c r="W142" i="1"/>
  <c r="X142" i="1"/>
  <c r="Z142" i="1"/>
  <c r="AA142" i="1"/>
  <c r="T143" i="1"/>
  <c r="W143" i="1"/>
  <c r="X143" i="1"/>
  <c r="Z143" i="1"/>
  <c r="AA143" i="1"/>
  <c r="T144" i="1"/>
  <c r="W144" i="1"/>
  <c r="X144" i="1"/>
  <c r="Z144" i="1"/>
  <c r="AA144" i="1"/>
  <c r="T145" i="1"/>
  <c r="W145" i="1"/>
  <c r="X145" i="1"/>
  <c r="Z145" i="1"/>
  <c r="AA145" i="1"/>
  <c r="T146" i="1"/>
  <c r="W146" i="1"/>
  <c r="X146" i="1"/>
  <c r="Z146" i="1"/>
  <c r="AA146" i="1"/>
  <c r="T147" i="1"/>
  <c r="W147" i="1"/>
  <c r="X147" i="1"/>
  <c r="Z147" i="1"/>
  <c r="AA147" i="1"/>
  <c r="T148" i="1"/>
  <c r="W148" i="1"/>
  <c r="X148" i="1"/>
  <c r="Z148" i="1"/>
  <c r="AA148" i="1"/>
  <c r="AA3" i="1"/>
  <c r="Z3" i="1"/>
  <c r="Y6" i="1" l="1"/>
  <c r="U6" i="1" s="1"/>
  <c r="Y9" i="1"/>
  <c r="U9" i="1" s="1"/>
  <c r="J157" i="1"/>
  <c r="Y62" i="1"/>
  <c r="U62" i="1" s="1"/>
  <c r="Y26" i="1"/>
  <c r="U26" i="1" s="1"/>
  <c r="Y20" i="1"/>
  <c r="U20" i="1" s="1"/>
  <c r="Y13" i="1"/>
  <c r="U13" i="1" s="1"/>
  <c r="Y25" i="1"/>
  <c r="U25" i="1" s="1"/>
  <c r="Y21" i="1"/>
  <c r="U21" i="1" s="1"/>
  <c r="Y52" i="1"/>
  <c r="U52" i="1" s="1"/>
  <c r="Y29" i="1"/>
  <c r="U29" i="1" s="1"/>
  <c r="Y119" i="1"/>
  <c r="U119" i="1" s="1"/>
  <c r="Y95" i="1"/>
  <c r="U95" i="1" s="1"/>
  <c r="Y91" i="1"/>
  <c r="U91" i="1" s="1"/>
  <c r="Y10" i="1"/>
  <c r="U10" i="1" s="1"/>
  <c r="Y54" i="1"/>
  <c r="U54" i="1" s="1"/>
  <c r="Y30" i="1"/>
  <c r="U30" i="1" s="1"/>
  <c r="Y7" i="1"/>
  <c r="U7" i="1" s="1"/>
  <c r="Y116" i="1"/>
  <c r="U116" i="1" s="1"/>
  <c r="Y108" i="1"/>
  <c r="U108" i="1" s="1"/>
  <c r="Y84" i="1"/>
  <c r="U84" i="1" s="1"/>
  <c r="Y49" i="1"/>
  <c r="U49" i="1" s="1"/>
  <c r="Y22" i="1"/>
  <c r="U22" i="1" s="1"/>
  <c r="Y18" i="1"/>
  <c r="U18" i="1" s="1"/>
  <c r="Y5" i="1"/>
  <c r="U5" i="1" s="1"/>
  <c r="Y110" i="1"/>
  <c r="U110" i="1" s="1"/>
  <c r="Y69" i="1"/>
  <c r="U69" i="1" s="1"/>
  <c r="Y65" i="1"/>
  <c r="U65" i="1" s="1"/>
  <c r="Y23" i="1"/>
  <c r="U23" i="1" s="1"/>
  <c r="Y76" i="1"/>
  <c r="U76" i="1" s="1"/>
  <c r="Y68" i="1"/>
  <c r="U68" i="1" s="1"/>
  <c r="Y64" i="1"/>
  <c r="U64" i="1" s="1"/>
  <c r="Y50" i="1"/>
  <c r="U50" i="1" s="1"/>
  <c r="Y14" i="1"/>
  <c r="U14" i="1" s="1"/>
  <c r="Y87" i="1"/>
  <c r="U87" i="1" s="1"/>
  <c r="Y79" i="1"/>
  <c r="U79" i="1" s="1"/>
  <c r="Y17" i="1"/>
  <c r="U17" i="1" s="1"/>
  <c r="Y8" i="1"/>
  <c r="U8" i="1" s="1"/>
  <c r="Y28" i="1"/>
  <c r="U28" i="1" s="1"/>
  <c r="Y19" i="1"/>
  <c r="U19" i="1" s="1"/>
  <c r="Y12" i="1"/>
  <c r="U12" i="1" s="1"/>
  <c r="Y127" i="1"/>
  <c r="U127" i="1" s="1"/>
  <c r="Y123" i="1"/>
  <c r="U123" i="1" s="1"/>
  <c r="Y63" i="1"/>
  <c r="U63" i="1" s="1"/>
  <c r="Y27" i="1"/>
  <c r="U27" i="1" s="1"/>
  <c r="Y11" i="1"/>
  <c r="U11" i="1" s="1"/>
  <c r="Y31" i="1"/>
  <c r="U31" i="1" s="1"/>
  <c r="Y15" i="1"/>
  <c r="U15" i="1" s="1"/>
  <c r="Y148" i="1"/>
  <c r="U148" i="1" s="1"/>
  <c r="Y140" i="1"/>
  <c r="U140" i="1" s="1"/>
  <c r="Y93" i="1"/>
  <c r="U93" i="1" s="1"/>
  <c r="Y86" i="1"/>
  <c r="U86" i="1" s="1"/>
  <c r="Y78" i="1"/>
  <c r="U78" i="1" s="1"/>
  <c r="Y71" i="1"/>
  <c r="U71" i="1" s="1"/>
  <c r="Y67" i="1"/>
  <c r="U67" i="1" s="1"/>
  <c r="Y38" i="1"/>
  <c r="U38" i="1" s="1"/>
  <c r="Y70" i="1"/>
  <c r="U70" i="1" s="1"/>
  <c r="Y66" i="1"/>
  <c r="U66" i="1" s="1"/>
  <c r="Y143" i="1"/>
  <c r="U143" i="1" s="1"/>
  <c r="Y142" i="1"/>
  <c r="U142" i="1" s="1"/>
  <c r="Y125" i="1"/>
  <c r="U125" i="1" s="1"/>
  <c r="Y118" i="1"/>
  <c r="U118" i="1" s="1"/>
  <c r="Y111" i="1"/>
  <c r="U111" i="1" s="1"/>
  <c r="Y60" i="1"/>
  <c r="U60" i="1" s="1"/>
  <c r="Y53" i="1"/>
  <c r="U53" i="1" s="1"/>
  <c r="Y51" i="1"/>
  <c r="U51" i="1" s="1"/>
  <c r="Y48" i="1"/>
  <c r="U48" i="1" s="1"/>
  <c r="Y44" i="1"/>
  <c r="U44" i="1" s="1"/>
  <c r="Y39" i="1"/>
  <c r="U39" i="1" s="1"/>
  <c r="Y35" i="1"/>
  <c r="U35" i="1" s="1"/>
  <c r="Y32" i="1"/>
  <c r="U32" i="1" s="1"/>
  <c r="Y146" i="1"/>
  <c r="U146" i="1" s="1"/>
  <c r="Y145" i="1"/>
  <c r="U145" i="1" s="1"/>
  <c r="Y135" i="1"/>
  <c r="U135" i="1" s="1"/>
  <c r="Y132" i="1"/>
  <c r="U132" i="1" s="1"/>
  <c r="Y131" i="1"/>
  <c r="U131" i="1" s="1"/>
  <c r="Y128" i="1"/>
  <c r="U128" i="1" s="1"/>
  <c r="Y124" i="1"/>
  <c r="U124" i="1" s="1"/>
  <c r="Y114" i="1"/>
  <c r="U114" i="1" s="1"/>
  <c r="Y113" i="1"/>
  <c r="U113" i="1" s="1"/>
  <c r="Y103" i="1"/>
  <c r="U103" i="1" s="1"/>
  <c r="Y100" i="1"/>
  <c r="U100" i="1" s="1"/>
  <c r="Y99" i="1"/>
  <c r="U99" i="1" s="1"/>
  <c r="Y96" i="1"/>
  <c r="U96" i="1" s="1"/>
  <c r="Y92" i="1"/>
  <c r="U92" i="1" s="1"/>
  <c r="Y82" i="1"/>
  <c r="U82" i="1" s="1"/>
  <c r="Y81" i="1"/>
  <c r="U81" i="1" s="1"/>
  <c r="Y55" i="1"/>
  <c r="U55" i="1" s="1"/>
  <c r="Y47" i="1"/>
  <c r="U47" i="1" s="1"/>
  <c r="Y46" i="1"/>
  <c r="U46" i="1" s="1"/>
  <c r="Y43" i="1"/>
  <c r="U43" i="1" s="1"/>
  <c r="Y42" i="1"/>
  <c r="U42" i="1" s="1"/>
  <c r="Y36" i="1"/>
  <c r="U36" i="1" s="1"/>
  <c r="Y4" i="1"/>
  <c r="U4" i="1" s="1"/>
  <c r="Y147" i="1"/>
  <c r="U147" i="1" s="1"/>
  <c r="Y137" i="1"/>
  <c r="U137" i="1" s="1"/>
  <c r="Y134" i="1"/>
  <c r="U134" i="1" s="1"/>
  <c r="Y133" i="1"/>
  <c r="U133" i="1" s="1"/>
  <c r="Y129" i="1"/>
  <c r="U129" i="1" s="1"/>
  <c r="Y126" i="1"/>
  <c r="U126" i="1" s="1"/>
  <c r="Y117" i="1"/>
  <c r="U117" i="1" s="1"/>
  <c r="Y115" i="1"/>
  <c r="U115" i="1" s="1"/>
  <c r="Y105" i="1"/>
  <c r="U105" i="1" s="1"/>
  <c r="Y102" i="1"/>
  <c r="U102" i="1" s="1"/>
  <c r="Y101" i="1"/>
  <c r="U101" i="1" s="1"/>
  <c r="Y97" i="1"/>
  <c r="U97" i="1" s="1"/>
  <c r="Y94" i="1"/>
  <c r="U94" i="1" s="1"/>
  <c r="Y85" i="1"/>
  <c r="U85" i="1" s="1"/>
  <c r="Y83" i="1"/>
  <c r="U83" i="1" s="1"/>
  <c r="Y80" i="1"/>
  <c r="U80" i="1" s="1"/>
  <c r="Y138" i="1"/>
  <c r="U138" i="1" s="1"/>
  <c r="Y144" i="1"/>
  <c r="U144" i="1" s="1"/>
  <c r="Y130" i="1"/>
  <c r="U130" i="1" s="1"/>
  <c r="Y112" i="1"/>
  <c r="U112" i="1" s="1"/>
  <c r="Y98" i="1"/>
  <c r="U98" i="1" s="1"/>
  <c r="Y141" i="1"/>
  <c r="U141" i="1" s="1"/>
  <c r="Y139" i="1"/>
  <c r="U139" i="1" s="1"/>
  <c r="Y136" i="1"/>
  <c r="U136" i="1" s="1"/>
  <c r="Y122" i="1"/>
  <c r="U122" i="1" s="1"/>
  <c r="Y121" i="1"/>
  <c r="U121" i="1" s="1"/>
  <c r="Y109" i="1"/>
  <c r="U109" i="1" s="1"/>
  <c r="Y107" i="1"/>
  <c r="U107" i="1" s="1"/>
  <c r="Y104" i="1"/>
  <c r="U104" i="1" s="1"/>
  <c r="Y90" i="1"/>
  <c r="U90" i="1" s="1"/>
  <c r="Y89" i="1"/>
  <c r="U89" i="1" s="1"/>
  <c r="Y77" i="1"/>
  <c r="U77" i="1" s="1"/>
  <c r="Y75" i="1"/>
  <c r="U75" i="1" s="1"/>
  <c r="Y72" i="1"/>
  <c r="U72" i="1" s="1"/>
  <c r="Y58" i="1"/>
  <c r="U58" i="1" s="1"/>
  <c r="Y57" i="1"/>
  <c r="U57" i="1" s="1"/>
  <c r="Y45" i="1"/>
  <c r="U45" i="1" s="1"/>
  <c r="Y33" i="1"/>
  <c r="U33" i="1" s="1"/>
  <c r="Y120" i="1"/>
  <c r="U120" i="1" s="1"/>
  <c r="Y106" i="1"/>
  <c r="U106" i="1" s="1"/>
  <c r="Y88" i="1"/>
  <c r="U88" i="1" s="1"/>
  <c r="Y74" i="1"/>
  <c r="U74" i="1" s="1"/>
  <c r="Y73" i="1"/>
  <c r="U73" i="1" s="1"/>
  <c r="Y61" i="1"/>
  <c r="U61" i="1" s="1"/>
  <c r="Y59" i="1"/>
  <c r="U59" i="1" s="1"/>
  <c r="Y56" i="1"/>
  <c r="U56" i="1" s="1"/>
  <c r="Y40" i="1"/>
  <c r="U40" i="1" s="1"/>
  <c r="Y41" i="1"/>
  <c r="U41" i="1" s="1"/>
  <c r="Y37" i="1"/>
  <c r="U37" i="1" s="1"/>
  <c r="Y34" i="1"/>
  <c r="U34" i="1" s="1"/>
  <c r="M128" i="1" l="1"/>
  <c r="N128" i="1" s="1"/>
  <c r="K128" i="1"/>
  <c r="K4" i="1"/>
  <c r="L4" i="1"/>
  <c r="M4" i="1"/>
  <c r="N4" i="1" s="1"/>
  <c r="K23" i="1"/>
  <c r="L23" i="1"/>
  <c r="M23" i="1"/>
  <c r="N23" i="1" s="1"/>
  <c r="K24" i="1"/>
  <c r="L24" i="1"/>
  <c r="M24" i="1"/>
  <c r="K25" i="1"/>
  <c r="L25" i="1"/>
  <c r="M25" i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K33" i="1"/>
  <c r="L33" i="1"/>
  <c r="M33" i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K96" i="1"/>
  <c r="L96" i="1"/>
  <c r="M96" i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M127" i="1"/>
  <c r="N127" i="1" s="1"/>
  <c r="K129" i="1"/>
  <c r="M129" i="1"/>
  <c r="N129" i="1" s="1"/>
  <c r="K130" i="1"/>
  <c r="M130" i="1"/>
  <c r="N130" i="1" s="1"/>
  <c r="K131" i="1"/>
  <c r="M131" i="1"/>
  <c r="N131" i="1" s="1"/>
  <c r="K132" i="1"/>
  <c r="M132" i="1"/>
  <c r="N132" i="1" s="1"/>
  <c r="K133" i="1"/>
  <c r="M133" i="1"/>
  <c r="N133" i="1" s="1"/>
  <c r="K134" i="1"/>
  <c r="M134" i="1"/>
  <c r="N134" i="1" s="1"/>
  <c r="K135" i="1"/>
  <c r="M135" i="1"/>
  <c r="N135" i="1" s="1"/>
  <c r="K136" i="1"/>
  <c r="M136" i="1"/>
  <c r="N136" i="1" s="1"/>
  <c r="K137" i="1"/>
  <c r="M137" i="1"/>
  <c r="N137" i="1" s="1"/>
  <c r="K138" i="1"/>
  <c r="M138" i="1"/>
  <c r="N138" i="1" s="1"/>
  <c r="K139" i="1"/>
  <c r="M139" i="1"/>
  <c r="N139" i="1" s="1"/>
  <c r="K140" i="1"/>
  <c r="M140" i="1"/>
  <c r="N140" i="1" s="1"/>
  <c r="K141" i="1"/>
  <c r="M141" i="1"/>
  <c r="N141" i="1" s="1"/>
  <c r="K142" i="1"/>
  <c r="M142" i="1"/>
  <c r="N142" i="1" s="1"/>
  <c r="K143" i="1"/>
  <c r="M143" i="1"/>
  <c r="N143" i="1" s="1"/>
  <c r="K144" i="1"/>
  <c r="M144" i="1"/>
  <c r="N144" i="1" s="1"/>
  <c r="K145" i="1"/>
  <c r="M145" i="1"/>
  <c r="N145" i="1" s="1"/>
  <c r="K146" i="1"/>
  <c r="M146" i="1"/>
  <c r="N146" i="1" s="1"/>
  <c r="K147" i="1"/>
  <c r="M147" i="1"/>
  <c r="N147" i="1" s="1"/>
  <c r="K148" i="1"/>
  <c r="M148" i="1"/>
  <c r="N148" i="1" s="1"/>
  <c r="K3" i="1"/>
  <c r="L3" i="1"/>
  <c r="M3" i="1"/>
  <c r="N3" i="1" s="1"/>
  <c r="O158" i="1" l="1"/>
  <c r="N158" i="1"/>
  <c r="N155" i="1"/>
  <c r="M158" i="1"/>
  <c r="O155" i="1"/>
  <c r="J154" i="1"/>
  <c r="J158" i="1"/>
  <c r="J155" i="1"/>
  <c r="A1" i="6"/>
  <c r="T3" i="1" l="1"/>
  <c r="W3" i="1"/>
  <c r="X3" i="1"/>
  <c r="Y3" i="1" l="1"/>
  <c r="U3" i="1" s="1"/>
  <c r="A1" i="3" l="1"/>
  <c r="J159" i="1" l="1"/>
  <c r="A1" i="1"/>
  <c r="O156" i="1" l="1"/>
  <c r="N156" i="1"/>
  <c r="M155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<sst xmlns="http://schemas.openxmlformats.org/spreadsheetml/2006/main" count="1655" uniqueCount="445">
  <si>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</si>
  <si>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</si>
  <si>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</si>
  <si>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</si>
  <si>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</si>
  <si>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</si>
  <si>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</si>
  <si>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</si>
  <si>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</si>
  <si>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</si>
  <si>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</si>
  <si>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</si>
  <si>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</si>
  <si>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</si>
  <si>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</si>
  <si>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</si>
  <si>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</si>
  <si>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</si>
  <si>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</si>
  <si>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</si>
  <si>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</si>
  <si>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</si>
  <si>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</si>
  <si>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</si>
  <si>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</si>
  <si>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</si>
  <si>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</si>
  <si>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</si>
  <si>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</si>
  <si>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</si>
  <si>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</si>
  <si>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</si>
  <si>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</si>
  <si>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</si>
  <si>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</si>
  <si>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</si>
  <si>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</si>
  <si>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</si>
  <si>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</si>
  <si>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</si>
  <si>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</si>
  <si>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</si>
  <si>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</si>
  <si>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</si>
  <si>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</si>
  <si>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</si>
  <si>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</si>
  <si>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</si>
  <si>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</si>
  <si>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</si>
  <si>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</si>
  <si>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</si>
  <si>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rtdc.l.rtdc.4011:itc</t>
  </si>
  <si>
    <t>Predictive Enforcement (2)</t>
  </si>
  <si>
    <t>TRACK WARRANT AUTHORITY</t>
  </si>
  <si>
    <t>Form based authority (4)</t>
  </si>
  <si>
    <t>Increasing Mileposts (1)</t>
  </si>
  <si>
    <t>rtdc.l.rtdc.4030:itc</t>
  </si>
  <si>
    <t>Decreasing Mileposts (2)</t>
  </si>
  <si>
    <t>rtdc.l.rtdc.4017:itc</t>
  </si>
  <si>
    <t>Reactive Enforcement (3)</t>
  </si>
  <si>
    <t>SIGNAL</t>
  </si>
  <si>
    <t>Signal based authority (5)</t>
  </si>
  <si>
    <t>rtdc.l.rtdc.4014:itc</t>
  </si>
  <si>
    <t>rtdc.l.rtdc.4018:itc</t>
  </si>
  <si>
    <t>PERMANENT SPEED RESTRICTION</t>
  </si>
  <si>
    <t>Speed (6)</t>
  </si>
  <si>
    <t>rtdc.l.rtdc.4023:itc</t>
  </si>
  <si>
    <t>rtdc.l.rtdc.4013:itc</t>
  </si>
  <si>
    <t>rtdc.l.rtdc.4024:itc</t>
  </si>
  <si>
    <t>rtdc.l.rtdc.4029:itc</t>
  </si>
  <si>
    <t>rtdc.l.rtdc.4012:itc</t>
  </si>
  <si>
    <t>STEWART</t>
  </si>
  <si>
    <t>YOUNG</t>
  </si>
  <si>
    <t>BARTLETT</t>
  </si>
  <si>
    <t>GEBRETEKLE</t>
  </si>
  <si>
    <t>rtdc.l.rtdc.4015:itc</t>
  </si>
  <si>
    <t>rtdc.l.rtdc.4026:itc</t>
  </si>
  <si>
    <t>LEVIN</t>
  </si>
  <si>
    <t>rtdc.l.rtdc.4025:itc</t>
  </si>
  <si>
    <t>rtdc.l.rtdc.4020:itc</t>
  </si>
  <si>
    <t>MALAVE</t>
  </si>
  <si>
    <t>rtdc.l.rtdc.4019:itc</t>
  </si>
  <si>
    <t>DE.1.0.6.0</t>
  </si>
  <si>
    <t>204:233297</t>
  </si>
  <si>
    <t>204:233310</t>
  </si>
  <si>
    <t>204:467</t>
  </si>
  <si>
    <t>204:233295</t>
  </si>
  <si>
    <t>204:442</t>
  </si>
  <si>
    <t>204:233302</t>
  </si>
  <si>
    <t>204:232977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</si>
  <si>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</si>
  <si>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</si>
  <si>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</si>
  <si>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</si>
  <si>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</si>
  <si>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</si>
  <si>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</si>
  <si>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</si>
  <si>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204:233305</t>
  </si>
  <si>
    <t>204:154</t>
  </si>
  <si>
    <t>204:233306</t>
  </si>
  <si>
    <t>204:160</t>
  </si>
  <si>
    <t>204:449</t>
  </si>
  <si>
    <t>204:233304</t>
  </si>
  <si>
    <t>204:232989</t>
  </si>
  <si>
    <t>204:232984</t>
  </si>
  <si>
    <t>204:444</t>
  </si>
  <si>
    <t>204:145</t>
  </si>
  <si>
    <t>204:447</t>
  </si>
  <si>
    <t>204:232992</t>
  </si>
  <si>
    <t>204:136</t>
  </si>
  <si>
    <t>204:138</t>
  </si>
  <si>
    <t>204:471</t>
  </si>
  <si>
    <t>204:233308</t>
  </si>
  <si>
    <t>204:232996</t>
  </si>
  <si>
    <t>204:455</t>
  </si>
  <si>
    <t>204:451</t>
  </si>
  <si>
    <t>204:158</t>
  </si>
  <si>
    <t>204:233000</t>
  </si>
  <si>
    <t>204:453</t>
  </si>
  <si>
    <t>204:232998</t>
  </si>
  <si>
    <t>204:233289</t>
  </si>
  <si>
    <t>204:460</t>
  </si>
  <si>
    <t>204:232976</t>
  </si>
  <si>
    <t>204:233299</t>
  </si>
  <si>
    <t>204:152</t>
  </si>
  <si>
    <t>204:233312</t>
  </si>
  <si>
    <t>204:163</t>
  </si>
  <si>
    <t>204:477</t>
  </si>
  <si>
    <t>204:233319</t>
  </si>
  <si>
    <t>204:446</t>
  </si>
  <si>
    <t>204:232994</t>
  </si>
  <si>
    <t>204:464</t>
  </si>
  <si>
    <t>204:233314</t>
  </si>
  <si>
    <t>204:232993</t>
  </si>
  <si>
    <t>204:440</t>
  </si>
  <si>
    <t>204:232969</t>
  </si>
  <si>
    <t>204:478</t>
  </si>
  <si>
    <t>204:458</t>
  </si>
  <si>
    <t>204:232979</t>
  </si>
  <si>
    <t>204:161</t>
  </si>
  <si>
    <t>204:232980</t>
  </si>
  <si>
    <t>204:233284</t>
  </si>
  <si>
    <t>204:466</t>
  </si>
  <si>
    <t>204:232988</t>
  </si>
  <si>
    <t>Y</t>
  </si>
  <si>
    <t>N</t>
  </si>
  <si>
    <t>baselines:</t>
  </si>
  <si>
    <t>sunday - thu - 144/day</t>
  </si>
  <si>
    <t>fri-sat - 146/day</t>
  </si>
  <si>
    <t>GOLIGHTLY</t>
  </si>
  <si>
    <t>LEDERHAUSE</t>
  </si>
  <si>
    <t>rtdc.l.rtdc.4016:itc</t>
  </si>
  <si>
    <t>SANTIZO</t>
  </si>
  <si>
    <t>rtdc.l.rtdc.4008:itc</t>
  </si>
  <si>
    <t>rtdc.l.rtdc.4007:itc</t>
  </si>
  <si>
    <t>GRADE CROSSING</t>
  </si>
  <si>
    <t>Bulletin (2)</t>
  </si>
  <si>
    <t>204:232683</t>
  </si>
  <si>
    <t>204:233274</t>
  </si>
  <si>
    <t>204:141</t>
  </si>
  <si>
    <t>204:150</t>
  </si>
  <si>
    <t>204:233301</t>
  </si>
  <si>
    <t>204:232975</t>
  </si>
  <si>
    <t>204:437</t>
  </si>
  <si>
    <t>204:233298</t>
  </si>
  <si>
    <t>204:233320</t>
  </si>
  <si>
    <t>204:232983</t>
  </si>
  <si>
    <t>204:232981</t>
  </si>
  <si>
    <t>204:139</t>
  </si>
  <si>
    <t>204:232955</t>
  </si>
  <si>
    <t>204:233278</t>
  </si>
  <si>
    <t>204:233006</t>
  </si>
  <si>
    <t>204:233291</t>
  </si>
  <si>
    <t>204:232990</t>
  </si>
  <si>
    <t>204:233013</t>
  </si>
  <si>
    <t>204:232961</t>
  </si>
  <si>
    <t>204:189</t>
  </si>
  <si>
    <t>204:232987</t>
  </si>
  <si>
    <t>204:233270</t>
  </si>
  <si>
    <t>204:233280</t>
  </si>
  <si>
    <t>204:165</t>
  </si>
  <si>
    <t>Married Pair</t>
  </si>
  <si>
    <t>101-08</t>
  </si>
  <si>
    <t>204:726</t>
  </si>
  <si>
    <t>102-08</t>
  </si>
  <si>
    <t>103-08</t>
  </si>
  <si>
    <t>204:730</t>
  </si>
  <si>
    <t>204:233315</t>
  </si>
  <si>
    <t>104-08</t>
  </si>
  <si>
    <t>204:232675</t>
  </si>
  <si>
    <t>105-08</t>
  </si>
  <si>
    <t>204:763</t>
  </si>
  <si>
    <t>106-08</t>
  </si>
  <si>
    <t>204:232668</t>
  </si>
  <si>
    <t>204:2081</t>
  </si>
  <si>
    <t>107-08</t>
  </si>
  <si>
    <t>204:233263</t>
  </si>
  <si>
    <t>108-08</t>
  </si>
  <si>
    <t>204:232971</t>
  </si>
  <si>
    <t>109-08</t>
  </si>
  <si>
    <t>110-08</t>
  </si>
  <si>
    <t>111-08</t>
  </si>
  <si>
    <t>204:792</t>
  </si>
  <si>
    <t>204:233311</t>
  </si>
  <si>
    <t>112-08</t>
  </si>
  <si>
    <t>204:129</t>
  </si>
  <si>
    <t>113-08</t>
  </si>
  <si>
    <t>204:233329</t>
  </si>
  <si>
    <t>114-08</t>
  </si>
  <si>
    <t>204:134</t>
  </si>
  <si>
    <t>115-08</t>
  </si>
  <si>
    <t>204:801</t>
  </si>
  <si>
    <t>116-08</t>
  </si>
  <si>
    <t>204:119</t>
  </si>
  <si>
    <t>117-08</t>
  </si>
  <si>
    <t>204:429</t>
  </si>
  <si>
    <t>204:157266</t>
  </si>
  <si>
    <t>118-08</t>
  </si>
  <si>
    <t>204:232970</t>
  </si>
  <si>
    <t>204:132</t>
  </si>
  <si>
    <t>119-08</t>
  </si>
  <si>
    <t>204:1481</t>
  </si>
  <si>
    <t>120-08</t>
  </si>
  <si>
    <t>204:223879</t>
  </si>
  <si>
    <t>121-08</t>
  </si>
  <si>
    <t>122-08</t>
  </si>
  <si>
    <t>204:66278</t>
  </si>
  <si>
    <t>204:36778</t>
  </si>
  <si>
    <t>123-08</t>
  </si>
  <si>
    <t>124-08</t>
  </si>
  <si>
    <t>125-08</t>
  </si>
  <si>
    <t>204:233332</t>
  </si>
  <si>
    <t>126-08</t>
  </si>
  <si>
    <t>204:233002</t>
  </si>
  <si>
    <t>127-08</t>
  </si>
  <si>
    <t>204:233326</t>
  </si>
  <si>
    <t>128-08</t>
  </si>
  <si>
    <t>129-08</t>
  </si>
  <si>
    <t>204:19180</t>
  </si>
  <si>
    <t>204:890</t>
  </si>
  <si>
    <t>130-08</t>
  </si>
  <si>
    <t>131-08</t>
  </si>
  <si>
    <t>132-08</t>
  </si>
  <si>
    <t>133-08</t>
  </si>
  <si>
    <t>204:233321</t>
  </si>
  <si>
    <t>134-08</t>
  </si>
  <si>
    <t>135-08</t>
  </si>
  <si>
    <t>136-08</t>
  </si>
  <si>
    <t>137-08</t>
  </si>
  <si>
    <t>138-08</t>
  </si>
  <si>
    <t>204:147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</si>
  <si>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</si>
  <si>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</si>
  <si>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</si>
  <si>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</si>
  <si>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</si>
  <si>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</si>
  <si>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</si>
  <si>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</si>
  <si>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</si>
  <si>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204:58988</t>
  </si>
  <si>
    <t>148-08</t>
  </si>
  <si>
    <t>204:962</t>
  </si>
  <si>
    <t>149-08</t>
  </si>
  <si>
    <t>150-08</t>
  </si>
  <si>
    <t>151-08</t>
  </si>
  <si>
    <t>204:462</t>
  </si>
  <si>
    <t>204:233286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</si>
  <si>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</si>
  <si>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</si>
  <si>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</si>
  <si>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</si>
  <si>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</si>
  <si>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</si>
  <si>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</si>
  <si>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</si>
  <si>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</si>
  <si>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204:232948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</si>
  <si>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</si>
  <si>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</si>
  <si>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</si>
  <si>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</si>
  <si>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</si>
  <si>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</si>
  <si>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</si>
  <si>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</si>
  <si>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</si>
  <si>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</si>
  <si>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</si>
  <si>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</si>
  <si>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</si>
  <si>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</si>
  <si>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</si>
  <si>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</si>
  <si>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</si>
  <si>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204:233363</t>
  </si>
  <si>
    <t>178-08</t>
  </si>
  <si>
    <t>204:233043</t>
  </si>
  <si>
    <t>179-08</t>
  </si>
  <si>
    <t>204:233330</t>
  </si>
  <si>
    <t>180-08</t>
  </si>
  <si>
    <t>204:233015</t>
  </si>
  <si>
    <t>181-08</t>
  </si>
  <si>
    <t>204:233287</t>
  </si>
  <si>
    <t>182-08</t>
  </si>
  <si>
    <t>183-08</t>
  </si>
  <si>
    <t>204:233276</t>
  </si>
  <si>
    <t>184-08</t>
  </si>
  <si>
    <t>204:232944</t>
  </si>
  <si>
    <t>185-08</t>
  </si>
  <si>
    <t>204:233300</t>
  </si>
  <si>
    <t>186-08</t>
  </si>
  <si>
    <t>187-08</t>
  </si>
  <si>
    <t>188-08</t>
  </si>
  <si>
    <t>189-08</t>
  </si>
  <si>
    <t>190-08</t>
  </si>
  <si>
    <t>191-08</t>
  </si>
  <si>
    <t>204:45479</t>
  </si>
  <si>
    <t>204:64720</t>
  </si>
  <si>
    <t>204:233343</t>
  </si>
  <si>
    <t>192-08</t>
  </si>
  <si>
    <t>204:233017</t>
  </si>
  <si>
    <t>193-08</t>
  </si>
  <si>
    <t>204:233195</t>
  </si>
  <si>
    <t>194-08</t>
  </si>
  <si>
    <t>204:232881</t>
  </si>
  <si>
    <t>195-08</t>
  </si>
  <si>
    <t>196-08</t>
  </si>
  <si>
    <t>197-08</t>
  </si>
  <si>
    <t>204:233317</t>
  </si>
  <si>
    <t>198-08</t>
  </si>
  <si>
    <t>199-08</t>
  </si>
  <si>
    <t>200-08</t>
  </si>
  <si>
    <t>201-08</t>
  </si>
  <si>
    <t>204:22523</t>
  </si>
  <si>
    <t>202-08</t>
  </si>
  <si>
    <t>204:909</t>
  </si>
  <si>
    <t>203-08</t>
  </si>
  <si>
    <t>204:433</t>
  </si>
  <si>
    <t>204:233345</t>
  </si>
  <si>
    <t>204-08</t>
  </si>
  <si>
    <t>204:233019</t>
  </si>
  <si>
    <t>205-08</t>
  </si>
  <si>
    <t>204:233079</t>
  </si>
  <si>
    <t>206-08</t>
  </si>
  <si>
    <t>204:232923</t>
  </si>
  <si>
    <t>207-08</t>
  </si>
  <si>
    <t>204:233349</t>
  </si>
  <si>
    <t>208-08</t>
  </si>
  <si>
    <t>204:233028</t>
  </si>
  <si>
    <t>209-08</t>
  </si>
  <si>
    <t>204:233293</t>
  </si>
  <si>
    <t>210-08</t>
  </si>
  <si>
    <t>211-08</t>
  </si>
  <si>
    <t>212-08</t>
  </si>
  <si>
    <t>213-08</t>
  </si>
  <si>
    <t>214-08</t>
  </si>
  <si>
    <t>215-08</t>
  </si>
  <si>
    <t>204:480</t>
  </si>
  <si>
    <t>216-08</t>
  </si>
  <si>
    <t>204:232963</t>
  </si>
  <si>
    <t>217-08</t>
  </si>
  <si>
    <t>204:233346</t>
  </si>
  <si>
    <t>218-08</t>
  </si>
  <si>
    <t>204:233045</t>
  </si>
  <si>
    <t>219-08</t>
  </si>
  <si>
    <t>204:233126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</si>
  <si>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</si>
  <si>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</si>
  <si>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</si>
  <si>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</si>
  <si>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</si>
  <si>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</si>
  <si>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</si>
  <si>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</si>
  <si>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204:233077</t>
  </si>
  <si>
    <t>228-08</t>
  </si>
  <si>
    <t>204:232915</t>
  </si>
  <si>
    <t>204:232919</t>
  </si>
  <si>
    <t>229-08</t>
  </si>
  <si>
    <t>230-08</t>
  </si>
  <si>
    <t>231-08</t>
  </si>
  <si>
    <t>232-08</t>
  </si>
  <si>
    <t>204:201</t>
  </si>
  <si>
    <t>233-08</t>
  </si>
  <si>
    <t>234-08</t>
  </si>
  <si>
    <t>235-08</t>
  </si>
  <si>
    <t>204:233102</t>
  </si>
  <si>
    <t>236-08</t>
  </si>
  <si>
    <t>237-08</t>
  </si>
  <si>
    <t>238-08</t>
  </si>
  <si>
    <t>239-08</t>
  </si>
  <si>
    <t>204:517</t>
  </si>
  <si>
    <t>240-08</t>
  </si>
  <si>
    <t>241-08</t>
  </si>
  <si>
    <t>204:233338</t>
  </si>
  <si>
    <t>242-08</t>
  </si>
  <si>
    <t>243-08</t>
  </si>
  <si>
    <t>204:233104</t>
  </si>
  <si>
    <t>244-08</t>
  </si>
  <si>
    <t>204:232966</t>
  </si>
  <si>
    <t>311-08</t>
  </si>
  <si>
    <t>230-07</t>
  </si>
  <si>
    <t>233-07</t>
  </si>
  <si>
    <t>232-07</t>
  </si>
  <si>
    <t>234-07</t>
  </si>
  <si>
    <t>237-07</t>
  </si>
  <si>
    <t>239-07</t>
  </si>
  <si>
    <t>241-07</t>
  </si>
  <si>
    <t>246-07</t>
  </si>
  <si>
    <t>rtdc.l.rtdc.4040:itc</t>
  </si>
  <si>
    <t>BONDS</t>
  </si>
  <si>
    <t>WEBSTER</t>
  </si>
  <si>
    <t>STURGEON</t>
  </si>
  <si>
    <t>ACKERMAN</t>
  </si>
  <si>
    <t>240-07</t>
  </si>
  <si>
    <t>LEVERE</t>
  </si>
  <si>
    <t>HONTZ</t>
  </si>
  <si>
    <t>238-07</t>
  </si>
  <si>
    <t>235-07</t>
  </si>
  <si>
    <t>GRASTON</t>
  </si>
  <si>
    <t>236-07</t>
  </si>
  <si>
    <t>RIVERA</t>
  </si>
  <si>
    <t>243-07</t>
  </si>
  <si>
    <t>245-07</t>
  </si>
  <si>
    <t>rtdc.l.rtdc.4039:itc</t>
  </si>
  <si>
    <t>GOODNIGHT</t>
  </si>
  <si>
    <t>BRANNON</t>
  </si>
  <si>
    <t>BRABO</t>
  </si>
  <si>
    <t>244-07</t>
  </si>
  <si>
    <t>242-07</t>
  </si>
  <si>
    <t>228-07</t>
  </si>
  <si>
    <t>COCA</t>
  </si>
  <si>
    <t>231-07</t>
  </si>
  <si>
    <t>BUTLER</t>
  </si>
  <si>
    <t>305-08</t>
  </si>
  <si>
    <t>Premature Downgrade of Signal</t>
  </si>
  <si>
    <t>Premature Downgrade of Signal Same as above</t>
  </si>
  <si>
    <t>Routing at CP 61ST AVENUE</t>
  </si>
  <si>
    <t>Routing issues at CP 61ST AVENUE</t>
  </si>
  <si>
    <t>TMC Entered Failed State</t>
  </si>
  <si>
    <t>Routing at DUS</t>
  </si>
  <si>
    <t>Brief comm outage due to comparator issue caused enforcement at EC0508RH 43-1T 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</si>
</sst>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7"/>
  <sheetViews>
    <sheetView showGridLines="0" tabSelected="1" topLeftCell="A118" zoomScale="85" zoomScaleNormal="85" workbookViewId="0">
      <selection activeCell="N23" sqref="N23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140625" bestFit="1" customWidth="1"/>
    <col min="19" max="19" width="4.28515625" customWidth="1"/>
    <col min="20" max="20" width="17.7109375" style="55" customWidth="1"/>
    <col min="21" max="22" width="10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5" t="str">
        <f>"Eagle P3 System Performance - "&amp;TEXT(Variables!A2,"yyyy-mm-dd")</f>
        <v>Eagle P3 System Performance - 2016-05-05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183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3" t="s">
        <v>47</v>
      </c>
      <c r="U2" s="73" t="s">
        <v>23</v>
      </c>
      <c r="V2" s="73" t="s">
        <v>51</v>
      </c>
      <c r="W2" s="73" t="s">
        <v>20</v>
      </c>
      <c r="X2" s="73" t="s">
        <v>21</v>
      </c>
      <c r="Y2" s="73" t="s">
        <v>22</v>
      </c>
      <c r="Z2" s="74" t="s">
        <v>41</v>
      </c>
      <c r="AA2" s="74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184</v>
      </c>
      <c r="B3" s="61">
        <v>4016</v>
      </c>
      <c r="C3" s="61" t="s">
        <v>83</v>
      </c>
      <c r="D3" s="61" t="s">
        <v>185</v>
      </c>
      <c r="E3" s="30">
        <v>42498.131365740737</v>
      </c>
      <c r="F3" s="30">
        <v>42498.132997685185</v>
      </c>
      <c r="G3" s="38">
        <v>2</v>
      </c>
      <c r="H3" s="30" t="s">
        <v>130</v>
      </c>
      <c r="I3" s="30">
        <v>42498.160671296297</v>
      </c>
      <c r="J3" s="61">
        <v>0</v>
      </c>
      <c r="K3" s="61" t="str">
        <f t="shared" ref="K3:K48" si="0">IF(ISEVEN(B3),(B3-1)&amp;"/"&amp;B3,B3&amp;"/"&amp;(B3+1))</f>
        <v>4015/4016</v>
      </c>
      <c r="L3" s="61" t="str">
        <f>VLOOKUP(A3,'Trips&amp;Operators'!$C$1:$E$9999,3,FALSE)</f>
        <v>LEVIN</v>
      </c>
      <c r="M3" s="12">
        <f t="shared" ref="M3:M48" si="1">I3-F3</f>
        <v>2.7673611111822538E-2</v>
      </c>
      <c r="N3" s="13">
        <f t="shared" ref="N3:P80" si="2">$M3*24*60</f>
        <v>39.850000001024455</v>
      </c>
      <c r="O3" s="13"/>
      <c r="P3" s="13"/>
      <c r="Q3" s="62"/>
      <c r="R3" s="52"/>
      <c r="T3" s="75" t="str">
        <f t="shared" ref="T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https://search-rtdc-monitor-bjffxe2xuh6vdkpspy63sjmuny.us-east-1.es.amazonaws.com/_plugin/kibana/#/discover/Steve-Slow-Train-Analysis-(2080s-and-2083s)?_g=(refreshInterval:(display:Off,section:0,value:0),time:(from:'2016-05-08 03:08:10-0600',mode:absolute,to:'2016-05-08 03:52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" s="75" t="str">
        <f t="shared" ref="U3" si="4">IF(Y3&lt;23,"Y","N")</f>
        <v>N</v>
      </c>
      <c r="V3" s="75"/>
      <c r="W3" s="75">
        <f t="shared" ref="W3" si="5">RIGHT(D3,LEN(D3)-4)/10000</f>
        <v>7.2599999999999998E-2</v>
      </c>
      <c r="X3" s="75">
        <f t="shared" ref="X3" si="6">RIGHT(H3,LEN(H3)-4)/10000</f>
        <v>23.331900000000001</v>
      </c>
      <c r="Y3" s="75">
        <f t="shared" ref="Y3" si="7">ABS(X3-W3)</f>
        <v>23.2593</v>
      </c>
      <c r="Z3" s="76" t="e">
        <f>VLOOKUP(A3,Enforcements!$C$3:$J$26,8,0)</f>
        <v>#N/A</v>
      </c>
      <c r="AA3" s="76" t="e">
        <f>VLOOKUP(A3,Enforcements!$C$3:$J$26,3,0)</f>
        <v>#N/A</v>
      </c>
    </row>
    <row r="4" spans="1:89" s="2" customFormat="1" x14ac:dyDescent="0.25">
      <c r="A4" s="61" t="s">
        <v>186</v>
      </c>
      <c r="B4" s="61">
        <v>4017</v>
      </c>
      <c r="C4" s="61" t="s">
        <v>83</v>
      </c>
      <c r="D4" s="61" t="s">
        <v>159</v>
      </c>
      <c r="E4" s="30">
        <v>42498.166435185187</v>
      </c>
      <c r="F4" s="30">
        <v>42498.167557870373</v>
      </c>
      <c r="G4" s="38">
        <v>1</v>
      </c>
      <c r="H4" s="30" t="s">
        <v>162</v>
      </c>
      <c r="I4" s="30">
        <v>42498.199976851851</v>
      </c>
      <c r="J4" s="61">
        <v>0</v>
      </c>
      <c r="K4" s="61" t="str">
        <f t="shared" si="0"/>
        <v>4017/4018</v>
      </c>
      <c r="L4" s="61" t="str">
        <f>VLOOKUP(A4,'Trips&amp;Operators'!$C$1:$E$9999,3,FALSE)</f>
        <v>LEVIN</v>
      </c>
      <c r="M4" s="12">
        <f t="shared" si="1"/>
        <v>3.2418981478258502E-2</v>
      </c>
      <c r="N4" s="13">
        <f t="shared" si="2"/>
        <v>46.683333328692243</v>
      </c>
      <c r="O4" s="13"/>
      <c r="P4" s="13"/>
      <c r="Q4" s="62"/>
      <c r="R4" s="62"/>
      <c r="T4" s="75" t="str">
        <f t="shared" ref="T4:T81" si="8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https://search-rtdc-monitor-bjffxe2xuh6vdkpspy63sjmuny.us-east-1.es.amazonaws.com/_plugin/kibana/#/discover/Steve-Slow-Train-Analysis-(2080s-and-2083s)?_g=(refreshInterval:(display:Off,section:0,value:0),time:(from:'2016-05-08 03:58:40-0600',mode:absolute,to:'2016-05-08 04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" s="75" t="str">
        <f t="shared" ref="U4:U81" si="9">IF(Y4&lt;23,"Y","N")</f>
        <v>N</v>
      </c>
      <c r="V4" s="75">
        <f>VALUE(LEFT(A4,3))-VALUE(LEFT(A3,3))</f>
        <v>1</v>
      </c>
      <c r="W4" s="75">
        <f t="shared" ref="W4:W81" si="10">RIGHT(D4,LEN(D4)-4)/10000</f>
        <v>23.2683</v>
      </c>
      <c r="X4" s="75">
        <f t="shared" ref="X4:X81" si="11">RIGHT(H4,LEN(H4)-4)/10000</f>
        <v>1.4999999999999999E-2</v>
      </c>
      <c r="Y4" s="75">
        <f t="shared" ref="Y4:Y81" si="12">ABS(X4-W4)</f>
        <v>23.253299999999999</v>
      </c>
      <c r="Z4" s="76" t="e">
        <f>VLOOKUP(A4,Enforcements!$C$3:$J$26,8,0)</f>
        <v>#N/A</v>
      </c>
      <c r="AA4" s="76" t="e">
        <f>VLOOKUP(A4,Enforcements!$C$3:$J$26,3,0)</f>
        <v>#N/A</v>
      </c>
    </row>
    <row r="5" spans="1:89" s="2" customFormat="1" x14ac:dyDescent="0.25">
      <c r="A5" s="61" t="s">
        <v>187</v>
      </c>
      <c r="B5" s="61">
        <v>4020</v>
      </c>
      <c r="C5" s="61" t="s">
        <v>83</v>
      </c>
      <c r="D5" s="61" t="s">
        <v>188</v>
      </c>
      <c r="E5" s="30">
        <v>42498.148576388892</v>
      </c>
      <c r="F5" s="30">
        <v>42498.149953703702</v>
      </c>
      <c r="G5" s="38">
        <v>1</v>
      </c>
      <c r="H5" s="30" t="s">
        <v>189</v>
      </c>
      <c r="I5" s="30">
        <v>42498.181793981479</v>
      </c>
      <c r="J5" s="61">
        <v>0</v>
      </c>
      <c r="K5" s="61" t="str">
        <f t="shared" ref="K5:K22" si="13">IF(ISEVEN(B5),(B5-1)&amp;"/"&amp;B5,B5&amp;"/"&amp;(B5+1))</f>
        <v>4019/4020</v>
      </c>
      <c r="L5" s="61" t="str">
        <f>VLOOKUP(A5,'Trips&amp;Operators'!$C$1:$E$9999,3,FALSE)</f>
        <v>STURGEON</v>
      </c>
      <c r="M5" s="12">
        <f t="shared" ref="M5:M22" si="14">I5-F5</f>
        <v>3.1840277777519077E-2</v>
      </c>
      <c r="N5" s="13">
        <f t="shared" si="2"/>
        <v>45.849999999627471</v>
      </c>
      <c r="O5" s="13"/>
      <c r="P5" s="13"/>
      <c r="Q5" s="62"/>
      <c r="R5" s="62"/>
      <c r="T5" s="75" t="str">
        <f t="shared" ref="T5:T31" si="15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https://search-rtdc-monitor-bjffxe2xuh6vdkpspy63sjmuny.us-east-1.es.amazonaws.com/_plugin/kibana/#/discover/Steve-Slow-Train-Analysis-(2080s-and-2083s)?_g=(refreshInterval:(display:Off,section:0,value:0),time:(from:'2016-05-08 03:32:57-0600',mode:absolute,to:'2016-05-08 04:22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" s="75" t="str">
        <f t="shared" ref="U5:U31" si="16">IF(Y5&lt;23,"Y","N")</f>
        <v>N</v>
      </c>
      <c r="V5" s="75">
        <f t="shared" ref="V5:V67" si="17">VALUE(LEFT(A5,3))-VALUE(LEFT(A4,3))</f>
        <v>1</v>
      </c>
      <c r="W5" s="75">
        <f t="shared" ref="W5:W31" si="18">RIGHT(D5,LEN(D5)-4)/10000</f>
        <v>7.2999999999999995E-2</v>
      </c>
      <c r="X5" s="75">
        <f t="shared" ref="X5:X31" si="19">RIGHT(H5,LEN(H5)-4)/10000</f>
        <v>23.331499999999998</v>
      </c>
      <c r="Y5" s="75">
        <f t="shared" ref="Y5:Y31" si="20">ABS(X5-W5)</f>
        <v>23.258499999999998</v>
      </c>
      <c r="Z5" s="76" t="e">
        <f>VLOOKUP(A5,Enforcements!$C$3:$J$26,8,0)</f>
        <v>#N/A</v>
      </c>
      <c r="AA5" s="76" t="e">
        <f>VLOOKUP(A5,Enforcements!$C$3:$J$26,3,0)</f>
        <v>#N/A</v>
      </c>
    </row>
    <row r="6" spans="1:89" s="2" customFormat="1" x14ac:dyDescent="0.25">
      <c r="A6" s="61" t="s">
        <v>190</v>
      </c>
      <c r="B6" s="61">
        <v>4013</v>
      </c>
      <c r="C6" s="61" t="s">
        <v>83</v>
      </c>
      <c r="D6" s="61" t="s">
        <v>191</v>
      </c>
      <c r="E6" s="30">
        <v>42498.191620370373</v>
      </c>
      <c r="F6" s="30">
        <v>42498.192673611113</v>
      </c>
      <c r="G6" s="38">
        <v>1</v>
      </c>
      <c r="H6" s="30" t="s">
        <v>126</v>
      </c>
      <c r="I6" s="30">
        <v>42498.22378472222</v>
      </c>
      <c r="J6" s="61">
        <v>0</v>
      </c>
      <c r="K6" s="61" t="str">
        <f t="shared" si="13"/>
        <v>4013/4014</v>
      </c>
      <c r="L6" s="61" t="str">
        <f>VLOOKUP(A6,'Trips&amp;Operators'!$C$1:$E$9999,3,FALSE)</f>
        <v>STURGEON</v>
      </c>
      <c r="M6" s="12">
        <f t="shared" si="14"/>
        <v>3.1111111107748002E-2</v>
      </c>
      <c r="N6" s="13">
        <f t="shared" si="2"/>
        <v>44.799999995157123</v>
      </c>
      <c r="O6" s="13"/>
      <c r="P6" s="13"/>
      <c r="Q6" s="62"/>
      <c r="R6" s="62"/>
      <c r="T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04:34:56-0600',mode:absolute,to:'2016-05-08 05:23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" s="75" t="str">
        <f t="shared" si="16"/>
        <v>N</v>
      </c>
      <c r="V6" s="75">
        <f t="shared" si="17"/>
        <v>1</v>
      </c>
      <c r="W6" s="75">
        <f t="shared" si="18"/>
        <v>23.267499999999998</v>
      </c>
      <c r="X6" s="75">
        <f t="shared" si="19"/>
        <v>1.52E-2</v>
      </c>
      <c r="Y6" s="75">
        <f t="shared" si="20"/>
        <v>23.252299999999998</v>
      </c>
      <c r="Z6" s="76" t="e">
        <f>VLOOKUP(A6,Enforcements!$C$3:$J$26,8,0)</f>
        <v>#N/A</v>
      </c>
      <c r="AA6" s="76" t="e">
        <f>VLOOKUP(A6,Enforcements!$C$3:$J$26,3,0)</f>
        <v>#N/A</v>
      </c>
    </row>
    <row r="7" spans="1:89" s="2" customFormat="1" x14ac:dyDescent="0.25">
      <c r="A7" s="61" t="s">
        <v>192</v>
      </c>
      <c r="B7" s="61">
        <v>4040</v>
      </c>
      <c r="C7" s="61" t="s">
        <v>83</v>
      </c>
      <c r="D7" s="61" t="s">
        <v>193</v>
      </c>
      <c r="E7" s="30">
        <v>42498.172349537039</v>
      </c>
      <c r="F7" s="30">
        <v>42498.173576388886</v>
      </c>
      <c r="G7" s="38">
        <v>1</v>
      </c>
      <c r="H7" s="30" t="s">
        <v>114</v>
      </c>
      <c r="I7" s="30">
        <v>42498.202384259261</v>
      </c>
      <c r="J7" s="61">
        <v>0</v>
      </c>
      <c r="K7" s="61" t="str">
        <f t="shared" si="13"/>
        <v>4039/4040</v>
      </c>
      <c r="L7" s="61" t="str">
        <f>VLOOKUP(A7,'Trips&amp;Operators'!$C$1:$E$9999,3,FALSE)</f>
        <v>LEDERHAUSE</v>
      </c>
      <c r="M7" s="12">
        <f t="shared" si="14"/>
        <v>2.8807870374293998E-2</v>
      </c>
      <c r="N7" s="13">
        <f t="shared" si="2"/>
        <v>41.483333338983357</v>
      </c>
      <c r="O7" s="13"/>
      <c r="P7" s="13"/>
      <c r="Q7" s="62"/>
      <c r="R7" s="62"/>
      <c r="T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04:07:11-0600',mode:absolute,to:'2016-05-08 04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" s="75" t="str">
        <f t="shared" si="16"/>
        <v>N</v>
      </c>
      <c r="V7" s="75">
        <f t="shared" si="17"/>
        <v>1</v>
      </c>
      <c r="W7" s="75">
        <f t="shared" si="18"/>
        <v>7.6300000000000007E-2</v>
      </c>
      <c r="X7" s="75">
        <f t="shared" si="19"/>
        <v>23.3308</v>
      </c>
      <c r="Y7" s="75">
        <f t="shared" si="20"/>
        <v>23.2545</v>
      </c>
      <c r="Z7" s="76" t="e">
        <f>VLOOKUP(A7,Enforcements!$C$3:$J$26,8,0)</f>
        <v>#N/A</v>
      </c>
      <c r="AA7" s="76" t="e">
        <f>VLOOKUP(A7,Enforcements!$C$3:$J$26,3,0)</f>
        <v>#N/A</v>
      </c>
    </row>
    <row r="8" spans="1:89" s="2" customFormat="1" x14ac:dyDescent="0.25">
      <c r="A8" s="61" t="s">
        <v>194</v>
      </c>
      <c r="B8" s="61">
        <v>4023</v>
      </c>
      <c r="C8" s="61" t="s">
        <v>83</v>
      </c>
      <c r="D8" s="61" t="s">
        <v>195</v>
      </c>
      <c r="E8" s="30">
        <v>42498.211689814816</v>
      </c>
      <c r="F8" s="30">
        <v>42498.212766203702</v>
      </c>
      <c r="G8" s="38">
        <v>1</v>
      </c>
      <c r="H8" s="30" t="s">
        <v>196</v>
      </c>
      <c r="I8" s="30">
        <v>42498.241168981483</v>
      </c>
      <c r="J8" s="61">
        <v>0</v>
      </c>
      <c r="K8" s="61" t="str">
        <f t="shared" si="13"/>
        <v>4023/4024</v>
      </c>
      <c r="L8" s="61" t="str">
        <f>VLOOKUP(A8,'Trips&amp;Operators'!$C$1:$E$9999,3,FALSE)</f>
        <v>LEDERHAUSE</v>
      </c>
      <c r="M8" s="12">
        <f t="shared" si="14"/>
        <v>2.8402777781593613E-2</v>
      </c>
      <c r="N8" s="13">
        <f t="shared" si="2"/>
        <v>40.900000005494803</v>
      </c>
      <c r="O8" s="13"/>
      <c r="P8" s="13"/>
      <c r="Q8" s="62"/>
      <c r="R8" s="62"/>
      <c r="T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05:03:50-0600',mode:absolute,to:'2016-05-08 05:48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" s="75" t="str">
        <f t="shared" si="16"/>
        <v>N</v>
      </c>
      <c r="V8" s="75">
        <f t="shared" si="17"/>
        <v>1</v>
      </c>
      <c r="W8" s="75">
        <f t="shared" si="18"/>
        <v>23.2668</v>
      </c>
      <c r="X8" s="75">
        <f t="shared" si="19"/>
        <v>0.20810000000000001</v>
      </c>
      <c r="Y8" s="75">
        <f t="shared" si="20"/>
        <v>23.058699999999998</v>
      </c>
      <c r="Z8" s="76" t="e">
        <f>VLOOKUP(A8,Enforcements!$C$3:$J$26,8,0)</f>
        <v>#N/A</v>
      </c>
      <c r="AA8" s="76" t="e">
        <f>VLOOKUP(A8,Enforcements!$C$3:$J$26,3,0)</f>
        <v>#N/A</v>
      </c>
    </row>
    <row r="9" spans="1:89" s="2" customFormat="1" x14ac:dyDescent="0.25">
      <c r="A9" s="61" t="s">
        <v>197</v>
      </c>
      <c r="B9" s="61">
        <v>4029</v>
      </c>
      <c r="C9" s="61" t="s">
        <v>83</v>
      </c>
      <c r="D9" s="61" t="s">
        <v>120</v>
      </c>
      <c r="E9" s="30">
        <v>42498.180046296293</v>
      </c>
      <c r="F9" s="30">
        <v>42498.182314814818</v>
      </c>
      <c r="G9" s="38">
        <v>3</v>
      </c>
      <c r="H9" s="30" t="s">
        <v>198</v>
      </c>
      <c r="I9" s="30">
        <v>42498.21292824074</v>
      </c>
      <c r="J9" s="61">
        <v>0</v>
      </c>
      <c r="K9" s="61" t="str">
        <f t="shared" si="13"/>
        <v>4029/4030</v>
      </c>
      <c r="L9" s="61" t="str">
        <f>VLOOKUP(A9,'Trips&amp;Operators'!$C$1:$E$9999,3,FALSE)</f>
        <v>SANTIZO</v>
      </c>
      <c r="M9" s="12">
        <f t="shared" si="14"/>
        <v>3.0613425922638271E-2</v>
      </c>
      <c r="N9" s="13">
        <f t="shared" si="2"/>
        <v>44.08333332859911</v>
      </c>
      <c r="O9" s="13"/>
      <c r="P9" s="13"/>
      <c r="Q9" s="62"/>
      <c r="R9" s="62"/>
      <c r="T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04:18:16-0600',mode:absolute,to:'2016-05-08 05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" s="75" t="str">
        <f t="shared" si="16"/>
        <v>N</v>
      </c>
      <c r="V9" s="75">
        <f t="shared" si="17"/>
        <v>1</v>
      </c>
      <c r="W9" s="75">
        <f t="shared" si="18"/>
        <v>4.53E-2</v>
      </c>
      <c r="X9" s="75">
        <f t="shared" si="19"/>
        <v>23.3263</v>
      </c>
      <c r="Y9" s="75">
        <f t="shared" si="20"/>
        <v>23.280999999999999</v>
      </c>
      <c r="Z9" s="76" t="e">
        <f>VLOOKUP(A9,Enforcements!$C$3:$J$26,8,0)</f>
        <v>#N/A</v>
      </c>
      <c r="AA9" s="76" t="e">
        <f>VLOOKUP(A9,Enforcements!$C$3:$J$26,3,0)</f>
        <v>#N/A</v>
      </c>
    </row>
    <row r="10" spans="1:89" s="2" customFormat="1" x14ac:dyDescent="0.25">
      <c r="A10" s="61" t="s">
        <v>199</v>
      </c>
      <c r="B10" s="61">
        <v>4030</v>
      </c>
      <c r="C10" s="61" t="s">
        <v>83</v>
      </c>
      <c r="D10" s="61" t="s">
        <v>200</v>
      </c>
      <c r="E10" s="30">
        <v>42498.220266203702</v>
      </c>
      <c r="F10" s="30">
        <v>42498.221562500003</v>
      </c>
      <c r="G10" s="38">
        <v>1</v>
      </c>
      <c r="H10" s="30" t="s">
        <v>178</v>
      </c>
      <c r="I10" s="30">
        <v>42498.252523148149</v>
      </c>
      <c r="J10" s="61">
        <v>0</v>
      </c>
      <c r="K10" s="61" t="str">
        <f t="shared" si="13"/>
        <v>4029/4030</v>
      </c>
      <c r="L10" s="61" t="str">
        <f>VLOOKUP(A10,'Trips&amp;Operators'!$C$1:$E$9999,3,FALSE)</f>
        <v>SANTIZO</v>
      </c>
      <c r="M10" s="12">
        <f t="shared" si="14"/>
        <v>3.0960648145992309E-2</v>
      </c>
      <c r="N10" s="13">
        <f t="shared" si="2"/>
        <v>44.583333330228925</v>
      </c>
      <c r="O10" s="13"/>
      <c r="P10" s="13"/>
      <c r="Q10" s="62"/>
      <c r="R10" s="62"/>
      <c r="T1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05:16:11-0600',mode:absolute,to:'2016-05-08 06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" s="75" t="str">
        <f t="shared" si="16"/>
        <v>N</v>
      </c>
      <c r="V10" s="75">
        <f t="shared" si="17"/>
        <v>1</v>
      </c>
      <c r="W10" s="75">
        <f t="shared" si="18"/>
        <v>23.2971</v>
      </c>
      <c r="X10" s="75">
        <f t="shared" si="19"/>
        <v>1.89E-2</v>
      </c>
      <c r="Y10" s="75">
        <f t="shared" si="20"/>
        <v>23.278200000000002</v>
      </c>
      <c r="Z10" s="76" t="e">
        <f>VLOOKUP(A10,Enforcements!$C$3:$J$26,8,0)</f>
        <v>#N/A</v>
      </c>
      <c r="AA10" s="76" t="e">
        <f>VLOOKUP(A10,Enforcements!$C$3:$J$26,3,0)</f>
        <v>#N/A</v>
      </c>
    </row>
    <row r="11" spans="1:89" s="2" customFormat="1" x14ac:dyDescent="0.25">
      <c r="A11" s="61" t="s">
        <v>201</v>
      </c>
      <c r="B11" s="61">
        <v>4025</v>
      </c>
      <c r="C11" s="61" t="s">
        <v>83</v>
      </c>
      <c r="D11" s="61" t="s">
        <v>133</v>
      </c>
      <c r="E11" s="30">
        <v>42498.194351851853</v>
      </c>
      <c r="F11" s="30">
        <v>42498.195659722223</v>
      </c>
      <c r="G11" s="38">
        <v>1</v>
      </c>
      <c r="H11" s="30" t="s">
        <v>166</v>
      </c>
      <c r="I11" s="30">
        <v>42498.222905092596</v>
      </c>
      <c r="J11" s="61">
        <v>1</v>
      </c>
      <c r="K11" s="61" t="str">
        <f t="shared" si="13"/>
        <v>4025/4026</v>
      </c>
      <c r="L11" s="61" t="str">
        <f>VLOOKUP(A11,'Trips&amp;Operators'!$C$1:$E$9999,3,FALSE)</f>
        <v>MALAVE</v>
      </c>
      <c r="M11" s="12">
        <f t="shared" si="14"/>
        <v>2.7245370372838806E-2</v>
      </c>
      <c r="N11" s="13">
        <f t="shared" si="2"/>
        <v>39.233333336887881</v>
      </c>
      <c r="O11" s="13"/>
      <c r="P11" s="13"/>
      <c r="Q11" s="62"/>
      <c r="R11" s="62"/>
      <c r="T1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04:38:52-0600',mode:absolute,to:'2016-05-08 05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" s="75" t="str">
        <f t="shared" si="16"/>
        <v>N</v>
      </c>
      <c r="V11" s="75">
        <f t="shared" si="17"/>
        <v>1</v>
      </c>
      <c r="W11" s="75">
        <f t="shared" si="18"/>
        <v>4.6399999999999997E-2</v>
      </c>
      <c r="X11" s="75">
        <f t="shared" si="19"/>
        <v>23.329799999999999</v>
      </c>
      <c r="Y11" s="75">
        <f t="shared" si="20"/>
        <v>23.2834</v>
      </c>
      <c r="Z11" s="76">
        <f>VLOOKUP(A11,Enforcements!$C$3:$J$26,8,0)</f>
        <v>233491</v>
      </c>
      <c r="AA11" s="76" t="str">
        <f>VLOOKUP(A11,Enforcements!$C$3:$J$26,3,0)</f>
        <v>TRACK WARRANT AUTHORITY</v>
      </c>
    </row>
    <row r="12" spans="1:89" s="2" customFormat="1" x14ac:dyDescent="0.25">
      <c r="A12" s="61" t="s">
        <v>202</v>
      </c>
      <c r="B12" s="61">
        <v>4026</v>
      </c>
      <c r="C12" s="61" t="s">
        <v>83</v>
      </c>
      <c r="D12" s="61" t="s">
        <v>132</v>
      </c>
      <c r="E12" s="30">
        <v>42498.229618055557</v>
      </c>
      <c r="F12" s="30">
        <v>42498.237025462964</v>
      </c>
      <c r="G12" s="38">
        <v>10</v>
      </c>
      <c r="H12" s="30" t="s">
        <v>162</v>
      </c>
      <c r="I12" s="30">
        <v>42498.263784722221</v>
      </c>
      <c r="J12" s="61">
        <v>0</v>
      </c>
      <c r="K12" s="61" t="str">
        <f t="shared" si="13"/>
        <v>4025/4026</v>
      </c>
      <c r="L12" s="61" t="str">
        <f>VLOOKUP(A12,'Trips&amp;Operators'!$C$1:$E$9999,3,FALSE)</f>
        <v>MALAVE</v>
      </c>
      <c r="M12" s="12">
        <f t="shared" si="14"/>
        <v>2.675925925723277E-2</v>
      </c>
      <c r="N12" s="13">
        <f t="shared" si="2"/>
        <v>38.533333330415189</v>
      </c>
      <c r="O12" s="13"/>
      <c r="P12" s="13"/>
      <c r="Q12" s="62"/>
      <c r="R12" s="62"/>
      <c r="T1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05:29:39-0600',mode:absolute,to:'2016-05-08 06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" s="75" t="str">
        <f t="shared" si="16"/>
        <v>N</v>
      </c>
      <c r="V12" s="75">
        <f t="shared" si="17"/>
        <v>1</v>
      </c>
      <c r="W12" s="75">
        <f t="shared" si="18"/>
        <v>23.299399999999999</v>
      </c>
      <c r="X12" s="75">
        <f t="shared" si="19"/>
        <v>1.4999999999999999E-2</v>
      </c>
      <c r="Y12" s="75">
        <f t="shared" si="20"/>
        <v>23.284399999999998</v>
      </c>
      <c r="Z12" s="76" t="e">
        <f>VLOOKUP(A12,Enforcements!$C$3:$J$26,8,0)</f>
        <v>#N/A</v>
      </c>
      <c r="AA12" s="76" t="e">
        <f>VLOOKUP(A12,Enforcements!$C$3:$J$26,3,0)</f>
        <v>#N/A</v>
      </c>
    </row>
    <row r="13" spans="1:89" s="2" customFormat="1" x14ac:dyDescent="0.25">
      <c r="A13" s="61" t="s">
        <v>203</v>
      </c>
      <c r="B13" s="61">
        <v>4016</v>
      </c>
      <c r="C13" s="61" t="s">
        <v>83</v>
      </c>
      <c r="D13" s="61" t="s">
        <v>204</v>
      </c>
      <c r="E13" s="30">
        <v>42498.204282407409</v>
      </c>
      <c r="F13" s="30">
        <v>42498.205509259256</v>
      </c>
      <c r="G13" s="38">
        <v>1</v>
      </c>
      <c r="H13" s="30" t="s">
        <v>205</v>
      </c>
      <c r="I13" s="30">
        <v>42498.232847222222</v>
      </c>
      <c r="J13" s="61">
        <v>0</v>
      </c>
      <c r="K13" s="61" t="str">
        <f t="shared" si="13"/>
        <v>4015/4016</v>
      </c>
      <c r="L13" s="61" t="str">
        <f>VLOOKUP(A13,'Trips&amp;Operators'!$C$1:$E$9999,3,FALSE)</f>
        <v>GEBRETEKLE</v>
      </c>
      <c r="M13" s="12">
        <f t="shared" si="14"/>
        <v>2.7337962965248153E-2</v>
      </c>
      <c r="N13" s="13">
        <f t="shared" si="2"/>
        <v>39.36666666995734</v>
      </c>
      <c r="O13" s="13"/>
      <c r="P13" s="13"/>
      <c r="Q13" s="62"/>
      <c r="R13" s="62"/>
      <c r="T1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04:53:10-0600',mode:absolute,to:'2016-05-08 05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" s="75" t="str">
        <f t="shared" si="16"/>
        <v>N</v>
      </c>
      <c r="V13" s="75">
        <f t="shared" si="17"/>
        <v>1</v>
      </c>
      <c r="W13" s="75">
        <f t="shared" si="18"/>
        <v>7.9200000000000007E-2</v>
      </c>
      <c r="X13" s="75">
        <f t="shared" si="19"/>
        <v>23.331099999999999</v>
      </c>
      <c r="Y13" s="75">
        <f t="shared" si="20"/>
        <v>23.251899999999999</v>
      </c>
      <c r="Z13" s="76" t="e">
        <f>VLOOKUP(A13,Enforcements!$C$3:$J$26,8,0)</f>
        <v>#N/A</v>
      </c>
      <c r="AA13" s="76" t="e">
        <f>VLOOKUP(A13,Enforcements!$C$3:$J$26,3,0)</f>
        <v>#N/A</v>
      </c>
    </row>
    <row r="14" spans="1:89" s="2" customFormat="1" x14ac:dyDescent="0.25">
      <c r="A14" s="61" t="s">
        <v>206</v>
      </c>
      <c r="B14" s="61">
        <v>4015</v>
      </c>
      <c r="C14" s="61" t="s">
        <v>83</v>
      </c>
      <c r="D14" s="61" t="s">
        <v>119</v>
      </c>
      <c r="E14" s="30">
        <v>42498.245011574072</v>
      </c>
      <c r="F14" s="30">
        <v>42498.246261574073</v>
      </c>
      <c r="G14" s="38">
        <v>1</v>
      </c>
      <c r="H14" s="30" t="s">
        <v>207</v>
      </c>
      <c r="I14" s="30">
        <v>42498.275902777779</v>
      </c>
      <c r="J14" s="61">
        <v>0</v>
      </c>
      <c r="K14" s="61" t="str">
        <f t="shared" si="13"/>
        <v>4015/4016</v>
      </c>
      <c r="L14" s="61" t="str">
        <f>VLOOKUP(A14,'Trips&amp;Operators'!$C$1:$E$9999,3,FALSE)</f>
        <v>GEBRETEKLE</v>
      </c>
      <c r="M14" s="12">
        <f t="shared" si="14"/>
        <v>2.9641203705978114E-2</v>
      </c>
      <c r="N14" s="13">
        <f t="shared" si="2"/>
        <v>42.683333336608484</v>
      </c>
      <c r="O14" s="13"/>
      <c r="P14" s="13"/>
      <c r="Q14" s="62"/>
      <c r="R14" s="62"/>
      <c r="T1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05:51:49-0600',mode:absolute,to:'2016-05-08 06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4" s="75" t="str">
        <f t="shared" si="16"/>
        <v>N</v>
      </c>
      <c r="V14" s="75">
        <f t="shared" si="17"/>
        <v>1</v>
      </c>
      <c r="W14" s="75">
        <f t="shared" si="18"/>
        <v>23.3</v>
      </c>
      <c r="X14" s="75">
        <f t="shared" si="19"/>
        <v>1.29E-2</v>
      </c>
      <c r="Y14" s="75">
        <f t="shared" si="20"/>
        <v>23.287100000000002</v>
      </c>
      <c r="Z14" s="76" t="e">
        <f>VLOOKUP(A14,Enforcements!$C$3:$J$26,8,0)</f>
        <v>#N/A</v>
      </c>
      <c r="AA14" s="76" t="e">
        <f>VLOOKUP(A14,Enforcements!$C$3:$J$26,3,0)</f>
        <v>#N/A</v>
      </c>
    </row>
    <row r="15" spans="1:89" s="2" customFormat="1" x14ac:dyDescent="0.25">
      <c r="A15" s="61" t="s">
        <v>208</v>
      </c>
      <c r="B15" s="61">
        <v>4018</v>
      </c>
      <c r="C15" s="61" t="s">
        <v>83</v>
      </c>
      <c r="D15" s="61" t="s">
        <v>86</v>
      </c>
      <c r="E15" s="30">
        <v>42498.210543981484</v>
      </c>
      <c r="F15" s="30">
        <v>42498.211585648147</v>
      </c>
      <c r="G15" s="38">
        <v>1</v>
      </c>
      <c r="H15" s="30" t="s">
        <v>209</v>
      </c>
      <c r="I15" s="30">
        <v>42498.243715277778</v>
      </c>
      <c r="J15" s="61">
        <v>1</v>
      </c>
      <c r="K15" s="61" t="str">
        <f t="shared" si="13"/>
        <v>4017/4018</v>
      </c>
      <c r="L15" s="61" t="str">
        <f>VLOOKUP(A15,'Trips&amp;Operators'!$C$1:$E$9999,3,FALSE)</f>
        <v>LEVIN</v>
      </c>
      <c r="M15" s="12">
        <f t="shared" si="14"/>
        <v>3.2129629631526768E-2</v>
      </c>
      <c r="N15" s="13">
        <f t="shared" si="2"/>
        <v>46.266666669398546</v>
      </c>
      <c r="O15" s="13"/>
      <c r="P15" s="13"/>
      <c r="Q15" s="62"/>
      <c r="R15" s="62"/>
      <c r="T15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05:02:11-0600',mode:absolute,to:'2016-05-08 05:51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5" s="75" t="str">
        <f t="shared" si="16"/>
        <v>N</v>
      </c>
      <c r="V15" s="75">
        <f t="shared" si="17"/>
        <v>1</v>
      </c>
      <c r="W15" s="75">
        <f t="shared" si="18"/>
        <v>4.6699999999999998E-2</v>
      </c>
      <c r="X15" s="75">
        <f t="shared" si="19"/>
        <v>23.332899999999999</v>
      </c>
      <c r="Y15" s="75">
        <f t="shared" si="20"/>
        <v>23.286199999999997</v>
      </c>
      <c r="Z15" s="76">
        <f>VLOOKUP(A15,Enforcements!$C$3:$J$26,8,0)</f>
        <v>233491</v>
      </c>
      <c r="AA15" s="76" t="str">
        <f>VLOOKUP(A15,Enforcements!$C$3:$J$26,3,0)</f>
        <v>TRACK WARRANT AUTHORITY</v>
      </c>
    </row>
    <row r="16" spans="1:89" s="2" customFormat="1" x14ac:dyDescent="0.25">
      <c r="A16" s="61" t="s">
        <v>210</v>
      </c>
      <c r="B16" s="61">
        <v>4017</v>
      </c>
      <c r="C16" s="61" t="s">
        <v>83</v>
      </c>
      <c r="D16" s="61" t="s">
        <v>119</v>
      </c>
      <c r="E16" s="30">
        <v>42498.252627314818</v>
      </c>
      <c r="F16" s="30">
        <v>42498.253472222219</v>
      </c>
      <c r="G16" s="38">
        <v>1</v>
      </c>
      <c r="H16" s="30" t="s">
        <v>211</v>
      </c>
      <c r="I16" s="30">
        <v>42498.285324074073</v>
      </c>
      <c r="J16" s="61">
        <v>0</v>
      </c>
      <c r="K16" s="61" t="str">
        <f t="shared" si="13"/>
        <v>4017/4018</v>
      </c>
      <c r="L16" s="61" t="str">
        <f>VLOOKUP(A16,'Trips&amp;Operators'!$C$1:$E$9999,3,FALSE)</f>
        <v>LEVIN</v>
      </c>
      <c r="M16" s="12">
        <f t="shared" si="14"/>
        <v>3.1851851854298729E-2</v>
      </c>
      <c r="N16" s="13">
        <f t="shared" si="2"/>
        <v>45.86666667019017</v>
      </c>
      <c r="O16" s="13"/>
      <c r="P16" s="13"/>
      <c r="Q16" s="62"/>
      <c r="R16" s="62"/>
      <c r="T1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06:02:47-0600',mode:absolute,to:'2016-05-08 06:51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6" s="75" t="str">
        <f t="shared" si="16"/>
        <v>N</v>
      </c>
      <c r="V16" s="75">
        <f t="shared" si="17"/>
        <v>1</v>
      </c>
      <c r="W16" s="75">
        <f t="shared" si="18"/>
        <v>23.3</v>
      </c>
      <c r="X16" s="75">
        <f t="shared" si="19"/>
        <v>1.34E-2</v>
      </c>
      <c r="Y16" s="75">
        <f t="shared" si="20"/>
        <v>23.2866</v>
      </c>
      <c r="Z16" s="76" t="e">
        <f>VLOOKUP(A16,Enforcements!$C$3:$J$26,8,0)</f>
        <v>#N/A</v>
      </c>
      <c r="AA16" s="76" t="e">
        <f>VLOOKUP(A16,Enforcements!$C$3:$J$26,3,0)</f>
        <v>#N/A</v>
      </c>
    </row>
    <row r="17" spans="1:27" s="2" customFormat="1" x14ac:dyDescent="0.25">
      <c r="A17" s="61" t="s">
        <v>212</v>
      </c>
      <c r="B17" s="61">
        <v>4020</v>
      </c>
      <c r="C17" s="61" t="s">
        <v>83</v>
      </c>
      <c r="D17" s="61" t="s">
        <v>213</v>
      </c>
      <c r="E17" s="30">
        <v>42498.228993055556</v>
      </c>
      <c r="F17" s="30">
        <v>42498.230081018519</v>
      </c>
      <c r="G17" s="38">
        <v>1</v>
      </c>
      <c r="H17" s="30" t="s">
        <v>172</v>
      </c>
      <c r="I17" s="30">
        <v>42498.258715277778</v>
      </c>
      <c r="J17" s="61">
        <v>0</v>
      </c>
      <c r="K17" s="61" t="str">
        <f t="shared" si="13"/>
        <v>4019/4020</v>
      </c>
      <c r="L17" s="61" t="str">
        <f>VLOOKUP(A17,'Trips&amp;Operators'!$C$1:$E$9999,3,FALSE)</f>
        <v>BRABO</v>
      </c>
      <c r="M17" s="12">
        <f t="shared" si="14"/>
        <v>2.8634259258979E-2</v>
      </c>
      <c r="N17" s="13">
        <f t="shared" si="2"/>
        <v>41.23333333292976</v>
      </c>
      <c r="O17" s="13"/>
      <c r="P17" s="13"/>
      <c r="Q17" s="62"/>
      <c r="R17" s="62"/>
      <c r="T1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05:28:45-0600',mode:absolute,to:'2016-05-08 06:13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7" s="75" t="str">
        <f t="shared" si="16"/>
        <v>N</v>
      </c>
      <c r="V17" s="75">
        <f t="shared" si="17"/>
        <v>1</v>
      </c>
      <c r="W17" s="75">
        <f t="shared" si="18"/>
        <v>8.0100000000000005E-2</v>
      </c>
      <c r="X17" s="75">
        <f t="shared" si="19"/>
        <v>23.3278</v>
      </c>
      <c r="Y17" s="75">
        <f t="shared" si="20"/>
        <v>23.247699999999998</v>
      </c>
      <c r="Z17" s="76" t="e">
        <f>VLOOKUP(A17,Enforcements!$C$3:$J$26,8,0)</f>
        <v>#N/A</v>
      </c>
      <c r="AA17" s="76" t="e">
        <f>VLOOKUP(A17,Enforcements!$C$3:$J$26,3,0)</f>
        <v>#N/A</v>
      </c>
    </row>
    <row r="18" spans="1:27" s="2" customFormat="1" x14ac:dyDescent="0.25">
      <c r="A18" s="61" t="s">
        <v>214</v>
      </c>
      <c r="B18" s="61">
        <v>4019</v>
      </c>
      <c r="C18" s="61" t="s">
        <v>83</v>
      </c>
      <c r="D18" s="61" t="s">
        <v>177</v>
      </c>
      <c r="E18" s="30">
        <v>42498.26122685185</v>
      </c>
      <c r="F18" s="30">
        <v>42498.262372685182</v>
      </c>
      <c r="G18" s="38">
        <v>1</v>
      </c>
      <c r="H18" s="30" t="s">
        <v>215</v>
      </c>
      <c r="I18" s="30">
        <v>42498.298009259262</v>
      </c>
      <c r="J18" s="61">
        <v>0</v>
      </c>
      <c r="K18" s="61" t="str">
        <f t="shared" si="13"/>
        <v>4019/4020</v>
      </c>
      <c r="L18" s="61" t="str">
        <f>VLOOKUP(A18,'Trips&amp;Operators'!$C$1:$E$9999,3,FALSE)</f>
        <v>BRABO</v>
      </c>
      <c r="M18" s="12">
        <f t="shared" si="14"/>
        <v>3.5636574080854189E-2</v>
      </c>
      <c r="N18" s="13">
        <f t="shared" si="2"/>
        <v>51.316666676430032</v>
      </c>
      <c r="O18" s="13"/>
      <c r="P18" s="13"/>
      <c r="Q18" s="62"/>
      <c r="R18" s="62"/>
      <c r="T1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06:15:10-0600',mode:absolute,to:'2016-05-08 07:10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8" s="75" t="str">
        <f t="shared" si="16"/>
        <v>N</v>
      </c>
      <c r="V18" s="75">
        <f t="shared" si="17"/>
        <v>1</v>
      </c>
      <c r="W18" s="75">
        <f t="shared" si="18"/>
        <v>23.296099999999999</v>
      </c>
      <c r="X18" s="75">
        <f t="shared" si="19"/>
        <v>1.1900000000000001E-2</v>
      </c>
      <c r="Y18" s="75">
        <f t="shared" si="20"/>
        <v>23.284199999999998</v>
      </c>
      <c r="Z18" s="76" t="e">
        <f>VLOOKUP(A18,Enforcements!$C$3:$J$26,8,0)</f>
        <v>#N/A</v>
      </c>
      <c r="AA18" s="76" t="e">
        <f>VLOOKUP(A18,Enforcements!$C$3:$J$26,3,0)</f>
        <v>#N/A</v>
      </c>
    </row>
    <row r="19" spans="1:27" s="2" customFormat="1" x14ac:dyDescent="0.25">
      <c r="A19" s="61" t="s">
        <v>216</v>
      </c>
      <c r="B19" s="61">
        <v>4014</v>
      </c>
      <c r="C19" s="61" t="s">
        <v>83</v>
      </c>
      <c r="D19" s="61" t="s">
        <v>217</v>
      </c>
      <c r="E19" s="30">
        <v>42498.232928240737</v>
      </c>
      <c r="F19" s="30">
        <v>42498.234317129631</v>
      </c>
      <c r="G19" s="38">
        <v>2</v>
      </c>
      <c r="H19" s="30" t="s">
        <v>218</v>
      </c>
      <c r="I19" s="30">
        <v>42498.259247685186</v>
      </c>
      <c r="J19" s="61">
        <v>0</v>
      </c>
      <c r="K19" s="61" t="str">
        <f t="shared" si="13"/>
        <v>4013/4014</v>
      </c>
      <c r="L19" s="61" t="str">
        <f>VLOOKUP(A19,'Trips&amp;Operators'!$C$1:$E$9999,3,FALSE)</f>
        <v>STURGEON</v>
      </c>
      <c r="M19" s="12">
        <f t="shared" si="14"/>
        <v>2.4930555555329192E-2</v>
      </c>
      <c r="N19" s="13"/>
      <c r="O19" s="13"/>
      <c r="P19" s="13">
        <f t="shared" si="2"/>
        <v>35.899999999674037</v>
      </c>
      <c r="Q19" s="62"/>
      <c r="R19" s="62" t="s">
        <v>441</v>
      </c>
      <c r="T1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05:34:25-0600',mode:absolute,to:'2016-05-08 06:14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9" s="75" t="str">
        <f t="shared" si="16"/>
        <v>Y</v>
      </c>
      <c r="V19" s="75">
        <f t="shared" si="17"/>
        <v>1</v>
      </c>
      <c r="W19" s="75">
        <f t="shared" si="18"/>
        <v>4.2900000000000001E-2</v>
      </c>
      <c r="X19" s="75">
        <f t="shared" si="19"/>
        <v>15.726599999999999</v>
      </c>
      <c r="Y19" s="75">
        <f t="shared" si="20"/>
        <v>15.6837</v>
      </c>
      <c r="Z19" s="76" t="e">
        <f>VLOOKUP(A19,Enforcements!$C$3:$J$26,8,0)</f>
        <v>#N/A</v>
      </c>
      <c r="AA19" s="76" t="e">
        <f>VLOOKUP(A19,Enforcements!$C$3:$J$26,3,0)</f>
        <v>#N/A</v>
      </c>
    </row>
    <row r="20" spans="1:27" s="2" customFormat="1" x14ac:dyDescent="0.25">
      <c r="A20" s="61" t="s">
        <v>219</v>
      </c>
      <c r="B20" s="61">
        <v>4013</v>
      </c>
      <c r="C20" s="61" t="s">
        <v>83</v>
      </c>
      <c r="D20" s="61" t="s">
        <v>220</v>
      </c>
      <c r="E20" s="30">
        <v>42498.271469907406</v>
      </c>
      <c r="F20" s="30">
        <v>42498.272604166668</v>
      </c>
      <c r="G20" s="38">
        <v>1</v>
      </c>
      <c r="H20" s="30" t="s">
        <v>221</v>
      </c>
      <c r="I20" s="30">
        <v>42498.304606481484</v>
      </c>
      <c r="J20" s="61">
        <v>0</v>
      </c>
      <c r="K20" s="61" t="str">
        <f t="shared" si="13"/>
        <v>4013/4014</v>
      </c>
      <c r="L20" s="61" t="str">
        <f>VLOOKUP(A20,'Trips&amp;Operators'!$C$1:$E$9999,3,FALSE)</f>
        <v>STURGEON</v>
      </c>
      <c r="M20" s="12">
        <f t="shared" si="14"/>
        <v>3.2002314816054422E-2</v>
      </c>
      <c r="N20" s="13">
        <f t="shared" si="2"/>
        <v>46.083333335118368</v>
      </c>
      <c r="O20" s="13"/>
      <c r="P20" s="13"/>
      <c r="Q20" s="62"/>
      <c r="R20" s="62"/>
      <c r="T2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06:29:55-0600',mode:absolute,to:'2016-05-08 07:19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0" s="75" t="str">
        <f t="shared" si="16"/>
        <v>N</v>
      </c>
      <c r="V20" s="75">
        <f t="shared" si="17"/>
        <v>1</v>
      </c>
      <c r="W20" s="75">
        <f t="shared" si="18"/>
        <v>23.297000000000001</v>
      </c>
      <c r="X20" s="75">
        <f t="shared" si="19"/>
        <v>1.32E-2</v>
      </c>
      <c r="Y20" s="75">
        <f t="shared" si="20"/>
        <v>23.283799999999999</v>
      </c>
      <c r="Z20" s="76" t="e">
        <f>VLOOKUP(A20,Enforcements!$C$3:$J$26,8,0)</f>
        <v>#N/A</v>
      </c>
      <c r="AA20" s="76" t="e">
        <f>VLOOKUP(A20,Enforcements!$C$3:$J$26,3,0)</f>
        <v>#N/A</v>
      </c>
    </row>
    <row r="21" spans="1:27" s="2" customFormat="1" x14ac:dyDescent="0.25">
      <c r="A21" s="61" t="s">
        <v>222</v>
      </c>
      <c r="B21" s="61">
        <v>4040</v>
      </c>
      <c r="C21" s="61" t="s">
        <v>83</v>
      </c>
      <c r="D21" s="61" t="s">
        <v>223</v>
      </c>
      <c r="E21" s="30">
        <v>42498.245347222219</v>
      </c>
      <c r="F21" s="30">
        <v>42498.24695601852</v>
      </c>
      <c r="G21" s="38">
        <v>2</v>
      </c>
      <c r="H21" s="30" t="s">
        <v>180</v>
      </c>
      <c r="I21" s="30">
        <v>42498.275011574071</v>
      </c>
      <c r="J21" s="61">
        <v>0</v>
      </c>
      <c r="K21" s="61" t="str">
        <f t="shared" si="13"/>
        <v>4039/4040</v>
      </c>
      <c r="L21" s="61" t="str">
        <f>VLOOKUP(A21,'Trips&amp;Operators'!$C$1:$E$9999,3,FALSE)</f>
        <v>LEDERHAUSE</v>
      </c>
      <c r="M21" s="12">
        <f t="shared" si="14"/>
        <v>2.8055555550963618E-2</v>
      </c>
      <c r="N21" s="13">
        <f t="shared" si="2"/>
        <v>40.39999999338761</v>
      </c>
      <c r="O21" s="13"/>
      <c r="P21" s="13"/>
      <c r="Q21" s="62"/>
      <c r="R21" s="62"/>
      <c r="T2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05:52:18-0600',mode:absolute,to:'2016-05-08 06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1" s="75" t="str">
        <f t="shared" si="16"/>
        <v>N</v>
      </c>
      <c r="V21" s="75">
        <f t="shared" si="17"/>
        <v>1</v>
      </c>
      <c r="W21" s="75">
        <f t="shared" si="18"/>
        <v>0.14810000000000001</v>
      </c>
      <c r="X21" s="75">
        <f t="shared" si="19"/>
        <v>23.327000000000002</v>
      </c>
      <c r="Y21" s="75">
        <f t="shared" si="20"/>
        <v>23.178900000000002</v>
      </c>
      <c r="Z21" s="76" t="e">
        <f>VLOOKUP(A21,Enforcements!$C$3:$J$26,8,0)</f>
        <v>#N/A</v>
      </c>
      <c r="AA21" s="76" t="e">
        <f>VLOOKUP(A21,Enforcements!$C$3:$J$26,3,0)</f>
        <v>#N/A</v>
      </c>
    </row>
    <row r="22" spans="1:27" s="2" customFormat="1" x14ac:dyDescent="0.25">
      <c r="A22" s="61" t="s">
        <v>224</v>
      </c>
      <c r="B22" s="61">
        <v>4039</v>
      </c>
      <c r="C22" s="61" t="s">
        <v>83</v>
      </c>
      <c r="D22" s="61" t="s">
        <v>200</v>
      </c>
      <c r="E22" s="30">
        <v>42498.280972222223</v>
      </c>
      <c r="F22" s="30">
        <v>42498.28634259259</v>
      </c>
      <c r="G22" s="38">
        <v>7</v>
      </c>
      <c r="H22" s="30" t="s">
        <v>225</v>
      </c>
      <c r="I22" s="30">
        <v>42498.290949074071</v>
      </c>
      <c r="J22" s="61">
        <v>0</v>
      </c>
      <c r="K22" s="61" t="str">
        <f t="shared" si="13"/>
        <v>4039/4040</v>
      </c>
      <c r="L22" s="61" t="str">
        <f>VLOOKUP(A22,'Trips&amp;Operators'!$C$1:$E$9999,3,FALSE)</f>
        <v>LEDERHAUSE</v>
      </c>
      <c r="M22" s="12">
        <f t="shared" si="14"/>
        <v>4.6064814814599231E-3</v>
      </c>
      <c r="N22" s="13"/>
      <c r="O22" s="13"/>
      <c r="P22" s="13">
        <f t="shared" si="2"/>
        <v>6.6333333333022892</v>
      </c>
      <c r="Q22" s="62"/>
      <c r="R22" s="62" t="s">
        <v>442</v>
      </c>
      <c r="T2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06:43:36-0600',mode:absolute,to:'2016-05-08 06:59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2" s="75" t="str">
        <f t="shared" si="16"/>
        <v>Y</v>
      </c>
      <c r="V22" s="75">
        <f t="shared" si="17"/>
        <v>1</v>
      </c>
      <c r="W22" s="75">
        <f t="shared" si="18"/>
        <v>23.2971</v>
      </c>
      <c r="X22" s="75">
        <f t="shared" si="19"/>
        <v>22.387899999999998</v>
      </c>
      <c r="Y22" s="75">
        <f t="shared" si="20"/>
        <v>0.90920000000000201</v>
      </c>
      <c r="Z22" s="76" t="e">
        <f>VLOOKUP(A22,Enforcements!$C$3:$J$26,8,0)</f>
        <v>#N/A</v>
      </c>
      <c r="AA22" s="76" t="e">
        <f>VLOOKUP(A22,Enforcements!$C$3:$J$26,3,0)</f>
        <v>#N/A</v>
      </c>
    </row>
    <row r="23" spans="1:27" s="2" customFormat="1" x14ac:dyDescent="0.25">
      <c r="A23" s="61" t="s">
        <v>226</v>
      </c>
      <c r="B23" s="61">
        <v>4029</v>
      </c>
      <c r="C23" s="61" t="s">
        <v>83</v>
      </c>
      <c r="D23" s="61" t="s">
        <v>107</v>
      </c>
      <c r="E23" s="30">
        <v>42498.258750000001</v>
      </c>
      <c r="F23" s="30">
        <v>42498.259710648148</v>
      </c>
      <c r="G23" s="38">
        <v>1</v>
      </c>
      <c r="H23" s="30" t="s">
        <v>166</v>
      </c>
      <c r="I23" s="30">
        <v>42498.285370370373</v>
      </c>
      <c r="J23" s="61">
        <v>0</v>
      </c>
      <c r="K23" s="61" t="str">
        <f t="shared" si="0"/>
        <v>4029/4030</v>
      </c>
      <c r="L23" s="61" t="str">
        <f>VLOOKUP(A23,'Trips&amp;Operators'!$C$1:$E$9999,3,FALSE)</f>
        <v>SANTIZO</v>
      </c>
      <c r="M23" s="12">
        <f t="shared" si="1"/>
        <v>2.5659722225100268E-2</v>
      </c>
      <c r="N23" s="13">
        <f t="shared" si="2"/>
        <v>36.950000004144385</v>
      </c>
      <c r="O23" s="13"/>
      <c r="P23" s="13"/>
      <c r="Q23" s="62"/>
      <c r="R23" s="62"/>
      <c r="T2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06:11:36-0600',mode:absolute,to:'2016-05-08 06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3" s="75" t="str">
        <f t="shared" si="16"/>
        <v>N</v>
      </c>
      <c r="V23" s="75">
        <f t="shared" si="17"/>
        <v>1</v>
      </c>
      <c r="W23" s="75">
        <f t="shared" si="18"/>
        <v>4.4400000000000002E-2</v>
      </c>
      <c r="X23" s="75">
        <f t="shared" si="19"/>
        <v>23.329799999999999</v>
      </c>
      <c r="Y23" s="75">
        <f t="shared" si="20"/>
        <v>23.285399999999999</v>
      </c>
      <c r="Z23" s="76" t="e">
        <f>VLOOKUP(A23,Enforcements!$C$3:$J$26,8,0)</f>
        <v>#N/A</v>
      </c>
      <c r="AA23" s="76" t="e">
        <f>VLOOKUP(A23,Enforcements!$C$3:$J$26,3,0)</f>
        <v>#N/A</v>
      </c>
    </row>
    <row r="24" spans="1:27" s="2" customFormat="1" x14ac:dyDescent="0.25">
      <c r="A24" s="61" t="s">
        <v>227</v>
      </c>
      <c r="B24" s="61">
        <v>4030</v>
      </c>
      <c r="C24" s="61" t="s">
        <v>83</v>
      </c>
      <c r="D24" s="61" t="s">
        <v>93</v>
      </c>
      <c r="E24" s="30">
        <v>42498.292812500003</v>
      </c>
      <c r="F24" s="30">
        <v>42498.293692129628</v>
      </c>
      <c r="G24" s="38">
        <v>1</v>
      </c>
      <c r="H24" s="30" t="s">
        <v>228</v>
      </c>
      <c r="I24" s="30">
        <v>42498.315625000003</v>
      </c>
      <c r="J24" s="61">
        <v>2</v>
      </c>
      <c r="K24" s="61" t="str">
        <f t="shared" si="0"/>
        <v>4029/4030</v>
      </c>
      <c r="L24" s="61" t="str">
        <f>VLOOKUP(A24,'Trips&amp;Operators'!$C$1:$E$9999,3,FALSE)</f>
        <v>SANTIZO</v>
      </c>
      <c r="M24" s="12">
        <f t="shared" si="1"/>
        <v>2.1932870375167113E-2</v>
      </c>
      <c r="N24" s="13"/>
      <c r="O24" s="13"/>
      <c r="P24" s="13">
        <v>43</v>
      </c>
      <c r="Q24" s="62"/>
      <c r="R24" s="62" t="s">
        <v>438</v>
      </c>
      <c r="T2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07:00:39-0600',mode:absolute,to:'2016-05-08 07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4" s="75" t="str">
        <f t="shared" si="16"/>
        <v>Y</v>
      </c>
      <c r="V24" s="75">
        <f t="shared" si="17"/>
        <v>1</v>
      </c>
      <c r="W24" s="75">
        <f t="shared" si="18"/>
        <v>23.298500000000001</v>
      </c>
      <c r="X24" s="75">
        <f t="shared" si="19"/>
        <v>6.6277999999999997</v>
      </c>
      <c r="Y24" s="75">
        <f t="shared" si="20"/>
        <v>16.6707</v>
      </c>
      <c r="Z24" s="76">
        <f>VLOOKUP(A24,Enforcements!$C$3:$J$26,8,0)</f>
        <v>69363</v>
      </c>
      <c r="AA24" s="76" t="str">
        <f>VLOOKUP(A24,Enforcements!$C$3:$J$26,3,0)</f>
        <v>SIGNAL</v>
      </c>
    </row>
    <row r="25" spans="1:27" s="2" customFormat="1" x14ac:dyDescent="0.25">
      <c r="A25" s="61" t="s">
        <v>227</v>
      </c>
      <c r="B25" s="61">
        <v>4030</v>
      </c>
      <c r="C25" s="61" t="s">
        <v>83</v>
      </c>
      <c r="D25" s="61" t="s">
        <v>229</v>
      </c>
      <c r="E25" s="30">
        <v>42498.319652777776</v>
      </c>
      <c r="F25" s="30">
        <v>42498.320393518516</v>
      </c>
      <c r="G25" s="38">
        <v>1</v>
      </c>
      <c r="H25" s="30" t="s">
        <v>118</v>
      </c>
      <c r="I25" s="30">
        <v>42498.327777777777</v>
      </c>
      <c r="J25" s="61">
        <v>0</v>
      </c>
      <c r="K25" s="61" t="str">
        <f t="shared" si="0"/>
        <v>4029/4030</v>
      </c>
      <c r="L25" s="61" t="str">
        <f>VLOOKUP(A25,'Trips&amp;Operators'!$C$1:$E$9999,3,FALSE)</f>
        <v>SANTIZO</v>
      </c>
      <c r="M25" s="12">
        <f t="shared" si="1"/>
        <v>7.3842592610162683E-3</v>
      </c>
      <c r="N25" s="13"/>
      <c r="O25" s="13"/>
      <c r="P25" s="13"/>
      <c r="Q25" s="62"/>
      <c r="R25" s="62"/>
      <c r="T25" s="75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https://search-rtdc-monitor-bjffxe2xuh6vdkpspy63sjmuny.us-east-1.es.amazonaws.com/_plugin/kibana/#/discover/Steve-Slow-Train-Analysis-(2080s-and-2083s)?_g=(refreshInterval:(display:Off,section:0,value:0),time:(from:'2016-05-08 07:39:18-0600',mode:absolute,to:'2016-05-08 07:53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5" s="75" t="str">
        <f t="shared" si="16"/>
        <v>Y</v>
      </c>
      <c r="V25" s="75">
        <f t="shared" si="17"/>
        <v>0</v>
      </c>
      <c r="W25" s="75">
        <f t="shared" si="18"/>
        <v>3.6778</v>
      </c>
      <c r="X25" s="75">
        <f t="shared" si="19"/>
        <v>1.5800000000000002E-2</v>
      </c>
      <c r="Y25" s="75">
        <f t="shared" si="20"/>
        <v>3.6619999999999999</v>
      </c>
      <c r="Z25" s="76">
        <f>VLOOKUP(A25,Enforcements!$C$3:$J$26,8,0)</f>
        <v>69363</v>
      </c>
      <c r="AA25" s="76" t="str">
        <f>VLOOKUP(A25,Enforcements!$C$3:$J$26,3,0)</f>
        <v>SIGNAL</v>
      </c>
    </row>
    <row r="26" spans="1:27" s="2" customFormat="1" x14ac:dyDescent="0.25">
      <c r="A26" s="61" t="s">
        <v>230</v>
      </c>
      <c r="B26" s="61">
        <v>4025</v>
      </c>
      <c r="C26" s="61" t="s">
        <v>83</v>
      </c>
      <c r="D26" s="61" t="s">
        <v>131</v>
      </c>
      <c r="E26" s="30">
        <v>42498.269236111111</v>
      </c>
      <c r="F26" s="30">
        <v>42498.270104166666</v>
      </c>
      <c r="G26" s="38">
        <v>1</v>
      </c>
      <c r="H26" s="30" t="s">
        <v>122</v>
      </c>
      <c r="I26" s="30">
        <v>42498.295451388891</v>
      </c>
      <c r="J26" s="61">
        <v>1</v>
      </c>
      <c r="K26" s="61" t="str">
        <f t="shared" si="0"/>
        <v>4025/4026</v>
      </c>
      <c r="L26" s="61" t="str">
        <f>VLOOKUP(A26,'Trips&amp;Operators'!$C$1:$E$9999,3,FALSE)</f>
        <v>MALAVE</v>
      </c>
      <c r="M26" s="12">
        <f t="shared" si="1"/>
        <v>2.5347222224809229E-2</v>
      </c>
      <c r="N26" s="13">
        <f t="shared" si="2"/>
        <v>36.50000000372529</v>
      </c>
      <c r="O26" s="13"/>
      <c r="P26" s="13"/>
      <c r="Q26" s="62"/>
      <c r="R26" s="62"/>
      <c r="T2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06:26:42-0600',mode:absolute,to:'2016-05-08 07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6" s="75" t="str">
        <f t="shared" si="16"/>
        <v>N</v>
      </c>
      <c r="V26" s="75">
        <f t="shared" si="17"/>
        <v>1</v>
      </c>
      <c r="W26" s="75">
        <f t="shared" si="18"/>
        <v>4.4600000000000001E-2</v>
      </c>
      <c r="X26" s="75">
        <f t="shared" si="19"/>
        <v>23.328900000000001</v>
      </c>
      <c r="Y26" s="75">
        <f t="shared" si="20"/>
        <v>23.284300000000002</v>
      </c>
      <c r="Z26" s="76">
        <f>VLOOKUP(A26,Enforcements!$C$3:$J$26,8,0)</f>
        <v>233491</v>
      </c>
      <c r="AA26" s="76" t="str">
        <f>VLOOKUP(A26,Enforcements!$C$3:$J$26,3,0)</f>
        <v>TRACK WARRANT AUTHORITY</v>
      </c>
    </row>
    <row r="27" spans="1:27" s="2" customFormat="1" x14ac:dyDescent="0.25">
      <c r="A27" s="61" t="s">
        <v>231</v>
      </c>
      <c r="B27" s="61">
        <v>4026</v>
      </c>
      <c r="C27" s="61" t="s">
        <v>83</v>
      </c>
      <c r="D27" s="61" t="s">
        <v>90</v>
      </c>
      <c r="E27" s="30">
        <v>42498.30777777778</v>
      </c>
      <c r="F27" s="30">
        <v>42498.308483796296</v>
      </c>
      <c r="G27" s="38">
        <v>1</v>
      </c>
      <c r="H27" s="30" t="s">
        <v>162</v>
      </c>
      <c r="I27" s="30">
        <v>42498.335856481484</v>
      </c>
      <c r="J27" s="61">
        <v>0</v>
      </c>
      <c r="K27" s="61" t="str">
        <f t="shared" si="0"/>
        <v>4025/4026</v>
      </c>
      <c r="L27" s="61" t="str">
        <f>VLOOKUP(A27,'Trips&amp;Operators'!$C$1:$E$9999,3,FALSE)</f>
        <v>MALAVE</v>
      </c>
      <c r="M27" s="12">
        <f t="shared" si="1"/>
        <v>2.7372685188311152E-2</v>
      </c>
      <c r="N27" s="13">
        <f t="shared" si="2"/>
        <v>39.416666671168059</v>
      </c>
      <c r="O27" s="13"/>
      <c r="P27" s="13"/>
      <c r="Q27" s="62"/>
      <c r="R27" s="62"/>
      <c r="T2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07:22:12-0600',mode:absolute,to:'2016-05-08 08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7" s="75" t="str">
        <f t="shared" si="16"/>
        <v>N</v>
      </c>
      <c r="V27" s="75">
        <f t="shared" si="17"/>
        <v>1</v>
      </c>
      <c r="W27" s="75">
        <f t="shared" si="18"/>
        <v>23.297699999999999</v>
      </c>
      <c r="X27" s="75">
        <f t="shared" si="19"/>
        <v>1.4999999999999999E-2</v>
      </c>
      <c r="Y27" s="75">
        <f t="shared" si="20"/>
        <v>23.282699999999998</v>
      </c>
      <c r="Z27" s="76" t="e">
        <f>VLOOKUP(A27,Enforcements!$C$3:$J$26,8,0)</f>
        <v>#N/A</v>
      </c>
      <c r="AA27" s="76" t="e">
        <f>VLOOKUP(A27,Enforcements!$C$3:$J$26,3,0)</f>
        <v>#N/A</v>
      </c>
    </row>
    <row r="28" spans="1:27" s="2" customFormat="1" x14ac:dyDescent="0.25">
      <c r="A28" s="61" t="s">
        <v>232</v>
      </c>
      <c r="B28" s="61">
        <v>4016</v>
      </c>
      <c r="C28" s="61" t="s">
        <v>83</v>
      </c>
      <c r="D28" s="61" t="s">
        <v>117</v>
      </c>
      <c r="E28" s="30">
        <v>42498.278425925928</v>
      </c>
      <c r="F28" s="30">
        <v>42498.279293981483</v>
      </c>
      <c r="G28" s="38">
        <v>1</v>
      </c>
      <c r="H28" s="30" t="s">
        <v>233</v>
      </c>
      <c r="I28" s="30">
        <v>42498.306145833332</v>
      </c>
      <c r="J28" s="61">
        <v>1</v>
      </c>
      <c r="K28" s="61" t="str">
        <f t="shared" si="0"/>
        <v>4015/4016</v>
      </c>
      <c r="L28" s="61" t="str">
        <f>VLOOKUP(A28,'Trips&amp;Operators'!$C$1:$E$9999,3,FALSE)</f>
        <v>GEBRETEKLE</v>
      </c>
      <c r="M28" s="12">
        <f t="shared" si="1"/>
        <v>2.6851851849642117E-2</v>
      </c>
      <c r="N28" s="13">
        <f t="shared" si="2"/>
        <v>38.666666663484648</v>
      </c>
      <c r="O28" s="13"/>
      <c r="P28" s="13"/>
      <c r="Q28" s="62"/>
      <c r="R28" s="62"/>
      <c r="T2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06:39:56-0600',mode:absolute,to:'2016-05-08 07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8" s="75" t="str">
        <f t="shared" si="16"/>
        <v>N</v>
      </c>
      <c r="V28" s="75">
        <f t="shared" si="17"/>
        <v>1</v>
      </c>
      <c r="W28" s="75">
        <f t="shared" si="18"/>
        <v>4.5100000000000001E-2</v>
      </c>
      <c r="X28" s="75">
        <f t="shared" si="19"/>
        <v>23.333200000000001</v>
      </c>
      <c r="Y28" s="75">
        <f t="shared" si="20"/>
        <v>23.2881</v>
      </c>
      <c r="Z28" s="76">
        <f>VLOOKUP(A28,Enforcements!$C$3:$J$26,8,0)</f>
        <v>233491</v>
      </c>
      <c r="AA28" s="76" t="str">
        <f>VLOOKUP(A28,Enforcements!$C$3:$J$26,3,0)</f>
        <v>TRACK WARRANT AUTHORITY</v>
      </c>
    </row>
    <row r="29" spans="1:27" s="2" customFormat="1" x14ac:dyDescent="0.25">
      <c r="A29" s="61" t="s">
        <v>234</v>
      </c>
      <c r="B29" s="61">
        <v>4015</v>
      </c>
      <c r="C29" s="61" t="s">
        <v>83</v>
      </c>
      <c r="D29" s="61" t="s">
        <v>235</v>
      </c>
      <c r="E29" s="30">
        <v>42498.315752314818</v>
      </c>
      <c r="F29" s="30">
        <v>42498.316793981481</v>
      </c>
      <c r="G29" s="38">
        <v>1</v>
      </c>
      <c r="H29" s="30" t="s">
        <v>108</v>
      </c>
      <c r="I29" s="30">
        <v>42498.346006944441</v>
      </c>
      <c r="J29" s="61">
        <v>0</v>
      </c>
      <c r="K29" s="61" t="str">
        <f t="shared" si="0"/>
        <v>4015/4016</v>
      </c>
      <c r="L29" s="61" t="str">
        <f>VLOOKUP(A29,'Trips&amp;Operators'!$C$1:$E$9999,3,FALSE)</f>
        <v>GEBRETEKLE</v>
      </c>
      <c r="M29" s="12">
        <f t="shared" si="1"/>
        <v>2.9212962959718425E-2</v>
      </c>
      <c r="N29" s="13">
        <f t="shared" si="2"/>
        <v>42.066666661994532</v>
      </c>
      <c r="O29" s="13"/>
      <c r="P29" s="13"/>
      <c r="Q29" s="62"/>
      <c r="R29" s="62"/>
      <c r="T2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07:33:41-0600',mode:absolute,to:'2016-05-08 08:19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9" s="75" t="str">
        <f t="shared" si="16"/>
        <v>N</v>
      </c>
      <c r="V29" s="75">
        <f t="shared" si="17"/>
        <v>1</v>
      </c>
      <c r="W29" s="75">
        <f t="shared" si="18"/>
        <v>23.3002</v>
      </c>
      <c r="X29" s="75">
        <f t="shared" si="19"/>
        <v>1.4500000000000001E-2</v>
      </c>
      <c r="Y29" s="75">
        <f t="shared" si="20"/>
        <v>23.285699999999999</v>
      </c>
      <c r="Z29" s="76" t="e">
        <f>VLOOKUP(A29,Enforcements!$C$3:$J$26,8,0)</f>
        <v>#N/A</v>
      </c>
      <c r="AA29" s="76" t="e">
        <f>VLOOKUP(A29,Enforcements!$C$3:$J$26,3,0)</f>
        <v>#N/A</v>
      </c>
    </row>
    <row r="30" spans="1:27" s="2" customFormat="1" x14ac:dyDescent="0.25">
      <c r="A30" s="61" t="s">
        <v>236</v>
      </c>
      <c r="B30" s="61">
        <v>4018</v>
      </c>
      <c r="C30" s="61" t="s">
        <v>83</v>
      </c>
      <c r="D30" s="61" t="s">
        <v>131</v>
      </c>
      <c r="E30" s="30">
        <v>42498.287812499999</v>
      </c>
      <c r="F30" s="30">
        <v>42498.288888888892</v>
      </c>
      <c r="G30" s="38">
        <v>1</v>
      </c>
      <c r="H30" s="30" t="s">
        <v>237</v>
      </c>
      <c r="I30" s="30">
        <v>42498.31790509259</v>
      </c>
      <c r="J30" s="61">
        <v>0</v>
      </c>
      <c r="K30" s="61" t="str">
        <f t="shared" si="0"/>
        <v>4017/4018</v>
      </c>
      <c r="L30" s="61" t="str">
        <f>VLOOKUP(A30,'Trips&amp;Operators'!$C$1:$E$9999,3,FALSE)</f>
        <v>LEVIN</v>
      </c>
      <c r="M30" s="12">
        <f t="shared" si="1"/>
        <v>2.901620369812008E-2</v>
      </c>
      <c r="N30" s="13">
        <f t="shared" si="2"/>
        <v>41.783333325292915</v>
      </c>
      <c r="O30" s="13"/>
      <c r="P30" s="13"/>
      <c r="Q30" s="62"/>
      <c r="R30" s="62"/>
      <c r="T3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06:53:27-0600',mode:absolute,to:'2016-05-08 07:38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30" s="75" t="str">
        <f t="shared" si="16"/>
        <v>N</v>
      </c>
      <c r="V30" s="75">
        <f t="shared" si="17"/>
        <v>1</v>
      </c>
      <c r="W30" s="75">
        <f t="shared" si="18"/>
        <v>4.4600000000000001E-2</v>
      </c>
      <c r="X30" s="75">
        <f t="shared" si="19"/>
        <v>23.332599999999999</v>
      </c>
      <c r="Y30" s="75">
        <f t="shared" si="20"/>
        <v>23.288</v>
      </c>
      <c r="Z30" s="76" t="e">
        <f>VLOOKUP(A30,Enforcements!$C$3:$J$26,8,0)</f>
        <v>#N/A</v>
      </c>
      <c r="AA30" s="76" t="e">
        <f>VLOOKUP(A30,Enforcements!$C$3:$J$26,3,0)</f>
        <v>#N/A</v>
      </c>
    </row>
    <row r="31" spans="1:27" s="2" customFormat="1" x14ac:dyDescent="0.25">
      <c r="A31" s="61" t="s">
        <v>238</v>
      </c>
      <c r="B31" s="61">
        <v>4017</v>
      </c>
      <c r="C31" s="61" t="s">
        <v>83</v>
      </c>
      <c r="D31" s="61" t="s">
        <v>106</v>
      </c>
      <c r="E31" s="30">
        <v>42498.325740740744</v>
      </c>
      <c r="F31" s="30">
        <v>42498.326828703706</v>
      </c>
      <c r="G31" s="38">
        <v>1</v>
      </c>
      <c r="H31" s="30" t="s">
        <v>108</v>
      </c>
      <c r="I31" s="30">
        <v>42498.355925925927</v>
      </c>
      <c r="J31" s="61">
        <v>0</v>
      </c>
      <c r="K31" s="61" t="str">
        <f t="shared" si="0"/>
        <v>4017/4018</v>
      </c>
      <c r="L31" s="61" t="str">
        <f>VLOOKUP(A31,'Trips&amp;Operators'!$C$1:$E$9999,3,FALSE)</f>
        <v>LEVIN</v>
      </c>
      <c r="M31" s="12">
        <f t="shared" si="1"/>
        <v>2.9097222221025731E-2</v>
      </c>
      <c r="N31" s="13">
        <f t="shared" si="2"/>
        <v>41.899999998277053</v>
      </c>
      <c r="O31" s="13"/>
      <c r="P31" s="13"/>
      <c r="Q31" s="62"/>
      <c r="R31" s="62"/>
      <c r="T3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07:48:04-0600',mode:absolute,to:'2016-05-08 08:33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31" s="75" t="str">
        <f t="shared" si="16"/>
        <v>N</v>
      </c>
      <c r="V31" s="75">
        <f t="shared" si="17"/>
        <v>1</v>
      </c>
      <c r="W31" s="75">
        <f t="shared" si="18"/>
        <v>23.298400000000001</v>
      </c>
      <c r="X31" s="75">
        <f t="shared" si="19"/>
        <v>1.4500000000000001E-2</v>
      </c>
      <c r="Y31" s="75">
        <f t="shared" si="20"/>
        <v>23.283899999999999</v>
      </c>
      <c r="Z31" s="76" t="e">
        <f>VLOOKUP(A31,Enforcements!$C$3:$J$26,8,0)</f>
        <v>#N/A</v>
      </c>
      <c r="AA31" s="76" t="e">
        <f>VLOOKUP(A31,Enforcements!$C$3:$J$26,3,0)</f>
        <v>#N/A</v>
      </c>
    </row>
    <row r="32" spans="1:27" s="2" customFormat="1" x14ac:dyDescent="0.25">
      <c r="A32" s="61" t="s">
        <v>239</v>
      </c>
      <c r="B32" s="61">
        <v>4020</v>
      </c>
      <c r="C32" s="61" t="s">
        <v>83</v>
      </c>
      <c r="D32" s="61" t="s">
        <v>240</v>
      </c>
      <c r="E32" s="30">
        <v>42498.306851851848</v>
      </c>
      <c r="F32" s="30">
        <v>42498.307592592595</v>
      </c>
      <c r="G32" s="38">
        <v>1</v>
      </c>
      <c r="H32" s="30" t="s">
        <v>134</v>
      </c>
      <c r="I32" s="30">
        <v>42498.333414351851</v>
      </c>
      <c r="J32" s="61">
        <v>0</v>
      </c>
      <c r="K32" s="61" t="str">
        <f t="shared" si="0"/>
        <v>4019/4020</v>
      </c>
      <c r="L32" s="61" t="str">
        <f>VLOOKUP(A32,'Trips&amp;Operators'!$C$1:$E$9999,3,FALSE)</f>
        <v>BRABO</v>
      </c>
      <c r="M32" s="12">
        <f t="shared" si="1"/>
        <v>2.5821759256359655E-2</v>
      </c>
      <c r="N32" s="13"/>
      <c r="O32" s="13"/>
      <c r="P32" s="13">
        <v>42</v>
      </c>
      <c r="Q32" s="62"/>
      <c r="R32" s="62" t="s">
        <v>443</v>
      </c>
      <c r="T3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07:20:52-0600',mode:absolute,to:'2016-05-08 08:01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2" s="75" t="str">
        <f t="shared" si="9"/>
        <v>Y</v>
      </c>
      <c r="V32" s="75">
        <f t="shared" si="17"/>
        <v>1</v>
      </c>
      <c r="W32" s="75">
        <f t="shared" si="10"/>
        <v>1.9179999999999999</v>
      </c>
      <c r="X32" s="75">
        <f t="shared" si="11"/>
        <v>23.331399999999999</v>
      </c>
      <c r="Y32" s="75">
        <f t="shared" si="12"/>
        <v>21.413399999999999</v>
      </c>
      <c r="Z32" s="76" t="e">
        <f>VLOOKUP(A32,Enforcements!$C$3:$J$26,8,0)</f>
        <v>#N/A</v>
      </c>
      <c r="AA32" s="76" t="e">
        <f>VLOOKUP(A32,Enforcements!$C$3:$J$26,3,0)</f>
        <v>#N/A</v>
      </c>
    </row>
    <row r="33" spans="1:27" s="2" customFormat="1" x14ac:dyDescent="0.25">
      <c r="A33" s="61" t="s">
        <v>239</v>
      </c>
      <c r="B33" s="61">
        <v>4020</v>
      </c>
      <c r="C33" s="61" t="s">
        <v>83</v>
      </c>
      <c r="D33" s="61" t="s">
        <v>133</v>
      </c>
      <c r="E33" s="30">
        <v>42498.299027777779</v>
      </c>
      <c r="F33" s="30">
        <v>42498.300300925926</v>
      </c>
      <c r="G33" s="38">
        <v>1</v>
      </c>
      <c r="H33" s="30" t="s">
        <v>241</v>
      </c>
      <c r="I33" s="30">
        <v>42498.30369212963</v>
      </c>
      <c r="J33" s="61">
        <v>0</v>
      </c>
      <c r="K33" s="61" t="str">
        <f t="shared" si="0"/>
        <v>4019/4020</v>
      </c>
      <c r="L33" s="61" t="str">
        <f>VLOOKUP(A33,'Trips&amp;Operators'!$C$1:$E$9999,3,FALSE)</f>
        <v>BRABO</v>
      </c>
      <c r="M33" s="12">
        <f t="shared" si="1"/>
        <v>3.3912037033587694E-3</v>
      </c>
      <c r="N33" s="13"/>
      <c r="O33" s="13"/>
      <c r="P33" s="13"/>
      <c r="Q33" s="62"/>
      <c r="R33" s="62"/>
      <c r="T3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07:09:36-0600',mode:absolute,to:'2016-05-08 07:18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3" s="75" t="str">
        <f t="shared" si="9"/>
        <v>Y</v>
      </c>
      <c r="V33" s="75">
        <f t="shared" si="17"/>
        <v>0</v>
      </c>
      <c r="W33" s="75">
        <f t="shared" si="10"/>
        <v>4.6399999999999997E-2</v>
      </c>
      <c r="X33" s="75">
        <f t="shared" si="11"/>
        <v>8.8999999999999996E-2</v>
      </c>
      <c r="Y33" s="75">
        <f t="shared" si="12"/>
        <v>4.2599999999999999E-2</v>
      </c>
      <c r="Z33" s="76" t="e">
        <f>VLOOKUP(A33,Enforcements!$C$3:$J$26,8,0)</f>
        <v>#N/A</v>
      </c>
      <c r="AA33" s="76" t="e">
        <f>VLOOKUP(A33,Enforcements!$C$3:$J$26,3,0)</f>
        <v>#N/A</v>
      </c>
    </row>
    <row r="34" spans="1:27" s="2" customFormat="1" x14ac:dyDescent="0.25">
      <c r="A34" s="61" t="s">
        <v>242</v>
      </c>
      <c r="B34" s="61">
        <v>4019</v>
      </c>
      <c r="C34" s="61" t="s">
        <v>83</v>
      </c>
      <c r="D34" s="61" t="s">
        <v>176</v>
      </c>
      <c r="E34" s="30">
        <v>42498.336331018516</v>
      </c>
      <c r="F34" s="30">
        <v>42498.337523148148</v>
      </c>
      <c r="G34" s="38">
        <v>1</v>
      </c>
      <c r="H34" s="30" t="s">
        <v>221</v>
      </c>
      <c r="I34" s="30">
        <v>42498.368263888886</v>
      </c>
      <c r="J34" s="61">
        <v>0</v>
      </c>
      <c r="K34" s="61" t="str">
        <f t="shared" si="0"/>
        <v>4019/4020</v>
      </c>
      <c r="L34" s="61" t="str">
        <f>VLOOKUP(A34,'Trips&amp;Operators'!$C$1:$E$9999,3,FALSE)</f>
        <v>BRABO</v>
      </c>
      <c r="M34" s="12">
        <f t="shared" si="1"/>
        <v>3.0740740738110617E-2</v>
      </c>
      <c r="N34" s="13">
        <f t="shared" si="2"/>
        <v>44.266666662879288</v>
      </c>
      <c r="O34" s="13"/>
      <c r="P34" s="13"/>
      <c r="Q34" s="62"/>
      <c r="R34" s="62"/>
      <c r="T3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08:03:19-0600',mode:absolute,to:'2016-05-08 08:51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4" s="75" t="str">
        <f t="shared" si="9"/>
        <v>N</v>
      </c>
      <c r="V34" s="75">
        <f t="shared" si="17"/>
        <v>1</v>
      </c>
      <c r="W34" s="75">
        <f t="shared" si="10"/>
        <v>23.301300000000001</v>
      </c>
      <c r="X34" s="75">
        <f t="shared" si="11"/>
        <v>1.32E-2</v>
      </c>
      <c r="Y34" s="75">
        <f t="shared" si="12"/>
        <v>23.2881</v>
      </c>
      <c r="Z34" s="76" t="e">
        <f>VLOOKUP(A34,Enforcements!$C$3:$J$26,8,0)</f>
        <v>#N/A</v>
      </c>
      <c r="AA34" s="76" t="e">
        <f>VLOOKUP(A34,Enforcements!$C$3:$J$26,3,0)</f>
        <v>#N/A</v>
      </c>
    </row>
    <row r="35" spans="1:27" s="2" customFormat="1" x14ac:dyDescent="0.25">
      <c r="A35" s="61" t="s">
        <v>243</v>
      </c>
      <c r="B35" s="61">
        <v>4014</v>
      </c>
      <c r="C35" s="61" t="s">
        <v>83</v>
      </c>
      <c r="D35" s="61" t="s">
        <v>139</v>
      </c>
      <c r="E35" s="30">
        <v>42498.307372685187</v>
      </c>
      <c r="F35" s="30">
        <v>42498.308553240742</v>
      </c>
      <c r="G35" s="38">
        <v>1</v>
      </c>
      <c r="H35" s="30" t="s">
        <v>95</v>
      </c>
      <c r="I35" s="30">
        <v>42498.337337962963</v>
      </c>
      <c r="J35" s="61">
        <v>0</v>
      </c>
      <c r="K35" s="61" t="str">
        <f t="shared" si="0"/>
        <v>4013/4014</v>
      </c>
      <c r="L35" s="61" t="str">
        <f>VLOOKUP(A35,'Trips&amp;Operators'!$C$1:$E$9999,3,FALSE)</f>
        <v>STURGEON</v>
      </c>
      <c r="M35" s="12">
        <f t="shared" si="1"/>
        <v>2.8784722220734693E-2</v>
      </c>
      <c r="N35" s="13">
        <f t="shared" si="2"/>
        <v>41.449999997857958</v>
      </c>
      <c r="O35" s="13"/>
      <c r="P35" s="13"/>
      <c r="Q35" s="62"/>
      <c r="R35" s="62"/>
      <c r="T3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07:21:37-0600',mode:absolute,to:'2016-05-08 08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5" s="75" t="str">
        <f t="shared" si="9"/>
        <v>N</v>
      </c>
      <c r="V35" s="75">
        <f t="shared" si="17"/>
        <v>1</v>
      </c>
      <c r="W35" s="75">
        <f t="shared" si="10"/>
        <v>4.58E-2</v>
      </c>
      <c r="X35" s="75">
        <f t="shared" si="11"/>
        <v>23.330300000000001</v>
      </c>
      <c r="Y35" s="75">
        <f t="shared" si="12"/>
        <v>23.284500000000001</v>
      </c>
      <c r="Z35" s="76" t="e">
        <f>VLOOKUP(A35,Enforcements!$C$3:$J$26,8,0)</f>
        <v>#N/A</v>
      </c>
      <c r="AA35" s="76" t="e">
        <f>VLOOKUP(A35,Enforcements!$C$3:$J$26,3,0)</f>
        <v>#N/A</v>
      </c>
    </row>
    <row r="36" spans="1:27" s="2" customFormat="1" x14ac:dyDescent="0.25">
      <c r="A36" s="61" t="s">
        <v>244</v>
      </c>
      <c r="B36" s="61">
        <v>4013</v>
      </c>
      <c r="C36" s="61" t="s">
        <v>83</v>
      </c>
      <c r="D36" s="61" t="s">
        <v>145</v>
      </c>
      <c r="E36" s="30">
        <v>42498.348298611112</v>
      </c>
      <c r="F36" s="30">
        <v>42498.349224537036</v>
      </c>
      <c r="G36" s="38">
        <v>1</v>
      </c>
      <c r="H36" s="30" t="s">
        <v>170</v>
      </c>
      <c r="I36" s="30">
        <v>42498.377418981479</v>
      </c>
      <c r="J36" s="61">
        <v>0</v>
      </c>
      <c r="K36" s="61" t="str">
        <f t="shared" si="0"/>
        <v>4013/4014</v>
      </c>
      <c r="L36" s="61" t="str">
        <f>VLOOKUP(A36,'Trips&amp;Operators'!$C$1:$E$9999,3,FALSE)</f>
        <v>STURGEON</v>
      </c>
      <c r="M36" s="12">
        <f t="shared" si="1"/>
        <v>2.8194444443215616E-2</v>
      </c>
      <c r="N36" s="13">
        <f t="shared" si="2"/>
        <v>40.599999998230487</v>
      </c>
      <c r="O36" s="13"/>
      <c r="P36" s="13"/>
      <c r="Q36" s="62"/>
      <c r="R36" s="62"/>
      <c r="T3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08:20:33-0600',mode:absolute,to:'2016-05-08 09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6" s="75" t="str">
        <f t="shared" si="9"/>
        <v>N</v>
      </c>
      <c r="V36" s="75">
        <f t="shared" si="17"/>
        <v>1</v>
      </c>
      <c r="W36" s="75">
        <f t="shared" si="10"/>
        <v>23.2988</v>
      </c>
      <c r="X36" s="75">
        <f t="shared" si="11"/>
        <v>1.3899999999999999E-2</v>
      </c>
      <c r="Y36" s="75">
        <f t="shared" si="12"/>
        <v>23.2849</v>
      </c>
      <c r="Z36" s="76" t="e">
        <f>VLOOKUP(A36,Enforcements!$C$3:$J$26,8,0)</f>
        <v>#N/A</v>
      </c>
      <c r="AA36" s="76" t="e">
        <f>VLOOKUP(A36,Enforcements!$C$3:$J$26,3,0)</f>
        <v>#N/A</v>
      </c>
    </row>
    <row r="37" spans="1:27" s="2" customFormat="1" x14ac:dyDescent="0.25">
      <c r="A37" s="61" t="s">
        <v>245</v>
      </c>
      <c r="B37" s="61">
        <v>4040</v>
      </c>
      <c r="C37" s="61" t="s">
        <v>83</v>
      </c>
      <c r="D37" s="61" t="s">
        <v>123</v>
      </c>
      <c r="E37" s="30">
        <v>42498.316620370373</v>
      </c>
      <c r="F37" s="30">
        <v>42498.321111111109</v>
      </c>
      <c r="G37" s="38">
        <v>6</v>
      </c>
      <c r="H37" s="30" t="s">
        <v>246</v>
      </c>
      <c r="I37" s="30">
        <v>42498.347800925927</v>
      </c>
      <c r="J37" s="61">
        <v>0</v>
      </c>
      <c r="K37" s="61" t="str">
        <f t="shared" si="0"/>
        <v>4039/4040</v>
      </c>
      <c r="L37" s="61" t="str">
        <f>VLOOKUP(A37,'Trips&amp;Operators'!$C$1:$E$9999,3,FALSE)</f>
        <v>LEDERHAUSE</v>
      </c>
      <c r="M37" s="12">
        <f t="shared" si="1"/>
        <v>2.6689814818382729E-2</v>
      </c>
      <c r="N37" s="13">
        <f t="shared" si="2"/>
        <v>38.43333333847113</v>
      </c>
      <c r="O37" s="13"/>
      <c r="P37" s="13"/>
      <c r="Q37" s="62"/>
      <c r="R37" s="62"/>
      <c r="T3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07:34:56-0600',mode:absolute,to:'2016-05-08 08:21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7" s="75" t="str">
        <f t="shared" si="9"/>
        <v>N</v>
      </c>
      <c r="V37" s="75">
        <f t="shared" si="17"/>
        <v>1</v>
      </c>
      <c r="W37" s="75">
        <f t="shared" si="10"/>
        <v>4.5999999999999999E-2</v>
      </c>
      <c r="X37" s="75">
        <f t="shared" si="11"/>
        <v>23.332100000000001</v>
      </c>
      <c r="Y37" s="75">
        <f t="shared" si="12"/>
        <v>23.286100000000001</v>
      </c>
      <c r="Z37" s="76" t="e">
        <f>VLOOKUP(A37,Enforcements!$C$3:$J$26,8,0)</f>
        <v>#N/A</v>
      </c>
      <c r="AA37" s="76" t="e">
        <f>VLOOKUP(A37,Enforcements!$C$3:$J$26,3,0)</f>
        <v>#N/A</v>
      </c>
    </row>
    <row r="38" spans="1:27" s="2" customFormat="1" x14ac:dyDescent="0.25">
      <c r="A38" s="61" t="s">
        <v>247</v>
      </c>
      <c r="B38" s="61">
        <v>4039</v>
      </c>
      <c r="C38" s="61" t="s">
        <v>83</v>
      </c>
      <c r="D38" s="61" t="s">
        <v>235</v>
      </c>
      <c r="E38" s="30">
        <v>42498.353182870371</v>
      </c>
      <c r="F38" s="30">
        <v>42498.357256944444</v>
      </c>
      <c r="G38" s="38">
        <v>5</v>
      </c>
      <c r="H38" s="30" t="s">
        <v>235</v>
      </c>
      <c r="I38" s="30">
        <v>42498.357256944444</v>
      </c>
      <c r="J38" s="61">
        <v>0</v>
      </c>
      <c r="K38" s="61" t="str">
        <f t="shared" si="0"/>
        <v>4039/4040</v>
      </c>
      <c r="L38" s="61" t="str">
        <f>VLOOKUP(A38,'Trips&amp;Operators'!$C$1:$E$9999,3,FALSE)</f>
        <v>LEDERHAUSE</v>
      </c>
      <c r="M38" s="12">
        <f t="shared" si="1"/>
        <v>0</v>
      </c>
      <c r="N38" s="13"/>
      <c r="O38" s="13"/>
      <c r="P38" s="13">
        <v>1</v>
      </c>
      <c r="Q38" s="62"/>
      <c r="R38" s="62" t="s">
        <v>442</v>
      </c>
      <c r="T3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08:27:35-0600',mode:absolute,to:'2016-05-08 08:35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8" s="75" t="str">
        <f t="shared" si="9"/>
        <v>Y</v>
      </c>
      <c r="V38" s="75">
        <f t="shared" si="17"/>
        <v>1</v>
      </c>
      <c r="W38" s="75">
        <f t="shared" si="10"/>
        <v>23.3002</v>
      </c>
      <c r="X38" s="75">
        <f t="shared" si="11"/>
        <v>23.3002</v>
      </c>
      <c r="Y38" s="75">
        <f t="shared" si="12"/>
        <v>0</v>
      </c>
      <c r="Z38" s="76" t="e">
        <f>VLOOKUP(A38,Enforcements!$C$3:$J$26,8,0)</f>
        <v>#N/A</v>
      </c>
      <c r="AA38" s="76" t="e">
        <f>VLOOKUP(A38,Enforcements!$C$3:$J$26,3,0)</f>
        <v>#N/A</v>
      </c>
    </row>
    <row r="39" spans="1:27" s="2" customFormat="1" x14ac:dyDescent="0.25">
      <c r="A39" s="61" t="s">
        <v>248</v>
      </c>
      <c r="B39" s="61">
        <v>4029</v>
      </c>
      <c r="C39" s="61" t="s">
        <v>83</v>
      </c>
      <c r="D39" s="61" t="s">
        <v>103</v>
      </c>
      <c r="E39" s="30">
        <v>42498.334340277775</v>
      </c>
      <c r="F39" s="30">
        <v>42498.335196759261</v>
      </c>
      <c r="G39" s="38">
        <v>1</v>
      </c>
      <c r="H39" s="30" t="s">
        <v>134</v>
      </c>
      <c r="I39" s="30">
        <v>42498.36146990741</v>
      </c>
      <c r="J39" s="61">
        <v>0</v>
      </c>
      <c r="K39" s="61" t="str">
        <f t="shared" si="0"/>
        <v>4029/4030</v>
      </c>
      <c r="L39" s="61" t="str">
        <f>VLOOKUP(A39,'Trips&amp;Operators'!$C$1:$E$9999,3,FALSE)</f>
        <v>SANTIZO</v>
      </c>
      <c r="M39" s="12">
        <f t="shared" si="1"/>
        <v>2.6273148148902692E-2</v>
      </c>
      <c r="N39" s="13">
        <f t="shared" si="2"/>
        <v>37.833333334419876</v>
      </c>
      <c r="O39" s="13"/>
      <c r="P39" s="13"/>
      <c r="Q39" s="62"/>
      <c r="R39" s="62"/>
      <c r="T3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08:00:27-0600',mode:absolute,to:'2016-05-08 08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9" s="75" t="str">
        <f t="shared" si="9"/>
        <v>N</v>
      </c>
      <c r="V39" s="75">
        <f t="shared" si="17"/>
        <v>1</v>
      </c>
      <c r="W39" s="75">
        <f t="shared" si="10"/>
        <v>4.4900000000000002E-2</v>
      </c>
      <c r="X39" s="75">
        <f t="shared" si="11"/>
        <v>23.331399999999999</v>
      </c>
      <c r="Y39" s="75">
        <f t="shared" si="12"/>
        <v>23.2865</v>
      </c>
      <c r="Z39" s="76" t="e">
        <f>VLOOKUP(A39,Enforcements!$C$3:$J$26,8,0)</f>
        <v>#N/A</v>
      </c>
      <c r="AA39" s="76" t="e">
        <f>VLOOKUP(A39,Enforcements!$C$3:$J$26,3,0)</f>
        <v>#N/A</v>
      </c>
    </row>
    <row r="40" spans="1:27" s="2" customFormat="1" x14ac:dyDescent="0.25">
      <c r="A40" s="61" t="s">
        <v>249</v>
      </c>
      <c r="B40" s="61">
        <v>4030</v>
      </c>
      <c r="C40" s="61" t="s">
        <v>83</v>
      </c>
      <c r="D40" s="61" t="s">
        <v>90</v>
      </c>
      <c r="E40" s="30">
        <v>42498.368356481478</v>
      </c>
      <c r="F40" s="30">
        <v>42498.369490740741</v>
      </c>
      <c r="G40" s="38">
        <v>1</v>
      </c>
      <c r="H40" s="30" t="s">
        <v>118</v>
      </c>
      <c r="I40" s="30">
        <v>42498.398136574076</v>
      </c>
      <c r="J40" s="61">
        <v>0</v>
      </c>
      <c r="K40" s="61" t="str">
        <f t="shared" si="0"/>
        <v>4029/4030</v>
      </c>
      <c r="L40" s="61" t="str">
        <f>VLOOKUP(A40,'Trips&amp;Operators'!$C$1:$E$9999,3,FALSE)</f>
        <v>SANTIZO</v>
      </c>
      <c r="M40" s="12">
        <f t="shared" si="1"/>
        <v>2.8645833335758653E-2</v>
      </c>
      <c r="N40" s="13">
        <f t="shared" si="2"/>
        <v>41.25000000349246</v>
      </c>
      <c r="O40" s="13"/>
      <c r="P40" s="13"/>
      <c r="Q40" s="62"/>
      <c r="R40" s="62"/>
      <c r="T4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08:49:26-0600',mode:absolute,to:'2016-05-08 09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0" s="75" t="str">
        <f t="shared" si="9"/>
        <v>N</v>
      </c>
      <c r="V40" s="75">
        <f t="shared" si="17"/>
        <v>1</v>
      </c>
      <c r="W40" s="75">
        <f t="shared" si="10"/>
        <v>23.297699999999999</v>
      </c>
      <c r="X40" s="75">
        <f t="shared" si="11"/>
        <v>1.5800000000000002E-2</v>
      </c>
      <c r="Y40" s="75">
        <f t="shared" si="12"/>
        <v>23.2819</v>
      </c>
      <c r="Z40" s="76" t="e">
        <f>VLOOKUP(A40,Enforcements!$C$3:$J$26,8,0)</f>
        <v>#N/A</v>
      </c>
      <c r="AA40" s="76" t="e">
        <f>VLOOKUP(A40,Enforcements!$C$3:$J$26,3,0)</f>
        <v>#N/A</v>
      </c>
    </row>
    <row r="41" spans="1:27" s="2" customFormat="1" x14ac:dyDescent="0.25">
      <c r="A41" s="61" t="s">
        <v>250</v>
      </c>
      <c r="B41" s="61">
        <v>4025</v>
      </c>
      <c r="C41" s="61" t="s">
        <v>83</v>
      </c>
      <c r="D41" s="61" t="s">
        <v>133</v>
      </c>
      <c r="E41" s="30">
        <v>42498.342187499999</v>
      </c>
      <c r="F41" s="30">
        <v>42498.343194444446</v>
      </c>
      <c r="G41" s="38">
        <v>1</v>
      </c>
      <c r="H41" s="30" t="s">
        <v>114</v>
      </c>
      <c r="I41" s="30">
        <v>42498.368564814817</v>
      </c>
      <c r="J41" s="61">
        <v>1</v>
      </c>
      <c r="K41" s="61" t="str">
        <f t="shared" si="0"/>
        <v>4025/4026</v>
      </c>
      <c r="L41" s="61" t="str">
        <f>VLOOKUP(A41,'Trips&amp;Operators'!$C$1:$E$9999,3,FALSE)</f>
        <v>MALAVE</v>
      </c>
      <c r="M41" s="12">
        <f t="shared" si="1"/>
        <v>2.5370370371092577E-2</v>
      </c>
      <c r="N41" s="13">
        <f t="shared" si="2"/>
        <v>36.53333333437331</v>
      </c>
      <c r="O41" s="13"/>
      <c r="P41" s="13"/>
      <c r="Q41" s="62"/>
      <c r="R41" s="62"/>
      <c r="T4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08:11:45-0600',mode:absolute,to:'2016-05-08 08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1" s="75" t="str">
        <f t="shared" si="9"/>
        <v>N</v>
      </c>
      <c r="V41" s="75">
        <f t="shared" si="17"/>
        <v>1</v>
      </c>
      <c r="W41" s="75">
        <f t="shared" si="10"/>
        <v>4.6399999999999997E-2</v>
      </c>
      <c r="X41" s="75">
        <f t="shared" si="11"/>
        <v>23.3308</v>
      </c>
      <c r="Y41" s="75">
        <f t="shared" si="12"/>
        <v>23.284400000000002</v>
      </c>
      <c r="Z41" s="76">
        <f>VLOOKUP(A41,Enforcements!$C$3:$J$26,8,0)</f>
        <v>233491</v>
      </c>
      <c r="AA41" s="76" t="str">
        <f>VLOOKUP(A41,Enforcements!$C$3:$J$26,3,0)</f>
        <v>TRACK WARRANT AUTHORITY</v>
      </c>
    </row>
    <row r="42" spans="1:27" s="2" customFormat="1" x14ac:dyDescent="0.25">
      <c r="A42" s="61" t="s">
        <v>251</v>
      </c>
      <c r="B42" s="61">
        <v>4026</v>
      </c>
      <c r="C42" s="61" t="s">
        <v>83</v>
      </c>
      <c r="D42" s="61" t="s">
        <v>168</v>
      </c>
      <c r="E42" s="30">
        <v>42498.380150462966</v>
      </c>
      <c r="F42" s="30">
        <v>42498.382800925923</v>
      </c>
      <c r="G42" s="38">
        <v>3</v>
      </c>
      <c r="H42" s="30" t="s">
        <v>252</v>
      </c>
      <c r="I42" s="30">
        <v>42498.408530092594</v>
      </c>
      <c r="J42" s="61">
        <v>0</v>
      </c>
      <c r="K42" s="61" t="str">
        <f t="shared" si="0"/>
        <v>4025/4026</v>
      </c>
      <c r="L42" s="61" t="str">
        <f>VLOOKUP(A42,'Trips&amp;Operators'!$C$1:$E$9999,3,FALSE)</f>
        <v>MALAVE</v>
      </c>
      <c r="M42" s="12">
        <f t="shared" si="1"/>
        <v>2.5729166671226267E-2</v>
      </c>
      <c r="N42" s="13">
        <f t="shared" si="2"/>
        <v>37.050000006565824</v>
      </c>
      <c r="O42" s="13"/>
      <c r="P42" s="13"/>
      <c r="Q42" s="62"/>
      <c r="R42" s="62"/>
      <c r="T4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09:06:25-0600',mode:absolute,to:'2016-05-08 09:49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2" s="75" t="str">
        <f t="shared" si="9"/>
        <v>N</v>
      </c>
      <c r="V42" s="75">
        <f t="shared" si="17"/>
        <v>1</v>
      </c>
      <c r="W42" s="75">
        <f t="shared" si="10"/>
        <v>23.298300000000001</v>
      </c>
      <c r="X42" s="75">
        <f t="shared" si="11"/>
        <v>1.47E-2</v>
      </c>
      <c r="Y42" s="75">
        <f t="shared" si="12"/>
        <v>23.2836</v>
      </c>
      <c r="Z42" s="76" t="e">
        <f>VLOOKUP(A42,Enforcements!$C$3:$J$26,8,0)</f>
        <v>#N/A</v>
      </c>
      <c r="AA42" s="76" t="e">
        <f>VLOOKUP(A42,Enforcements!$C$3:$J$26,3,0)</f>
        <v>#N/A</v>
      </c>
    </row>
    <row r="43" spans="1:27" s="2" customFormat="1" x14ac:dyDescent="0.25">
      <c r="A43" s="61" t="s">
        <v>253</v>
      </c>
      <c r="B43" s="61">
        <v>4016</v>
      </c>
      <c r="C43" s="61" t="s">
        <v>83</v>
      </c>
      <c r="D43" s="61" t="s">
        <v>120</v>
      </c>
      <c r="E43" s="30">
        <v>42498.349317129629</v>
      </c>
      <c r="F43" s="30">
        <v>42498.350416666668</v>
      </c>
      <c r="G43" s="38">
        <v>1</v>
      </c>
      <c r="H43" s="30" t="s">
        <v>181</v>
      </c>
      <c r="I43" s="30">
        <v>42498.378657407404</v>
      </c>
      <c r="J43" s="61">
        <v>0</v>
      </c>
      <c r="K43" s="61" t="str">
        <f t="shared" si="0"/>
        <v>4015/4016</v>
      </c>
      <c r="L43" s="61" t="str">
        <f>VLOOKUP(A43,'Trips&amp;Operators'!$C$1:$E$9999,3,FALSE)</f>
        <v>GEBRETEKLE</v>
      </c>
      <c r="M43" s="12">
        <f t="shared" si="1"/>
        <v>2.824074073578231E-2</v>
      </c>
      <c r="N43" s="13">
        <f t="shared" si="2"/>
        <v>40.666666659526527</v>
      </c>
      <c r="O43" s="13"/>
      <c r="P43" s="13"/>
      <c r="Q43" s="62"/>
      <c r="R43" s="62"/>
      <c r="T4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08:22:01-0600',mode:absolute,to:'2016-05-08 09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3" s="75" t="str">
        <f t="shared" si="9"/>
        <v>N</v>
      </c>
      <c r="V43" s="75">
        <f t="shared" si="17"/>
        <v>1</v>
      </c>
      <c r="W43" s="75">
        <f t="shared" si="10"/>
        <v>4.53E-2</v>
      </c>
      <c r="X43" s="75">
        <f t="shared" si="11"/>
        <v>23.327999999999999</v>
      </c>
      <c r="Y43" s="75">
        <f t="shared" si="12"/>
        <v>23.282699999999998</v>
      </c>
      <c r="Z43" s="76" t="e">
        <f>VLOOKUP(A43,Enforcements!$C$3:$J$26,8,0)</f>
        <v>#N/A</v>
      </c>
      <c r="AA43" s="76" t="e">
        <f>VLOOKUP(A43,Enforcements!$C$3:$J$26,3,0)</f>
        <v>#N/A</v>
      </c>
    </row>
    <row r="44" spans="1:27" s="2" customFormat="1" x14ac:dyDescent="0.25">
      <c r="A44" s="61" t="s">
        <v>254</v>
      </c>
      <c r="B44" s="61">
        <v>4015</v>
      </c>
      <c r="C44" s="61" t="s">
        <v>83</v>
      </c>
      <c r="D44" s="61" t="s">
        <v>91</v>
      </c>
      <c r="E44" s="30">
        <v>42498.38386574074</v>
      </c>
      <c r="F44" s="30">
        <v>42498.385208333333</v>
      </c>
      <c r="G44" s="38">
        <v>1</v>
      </c>
      <c r="H44" s="30" t="s">
        <v>162</v>
      </c>
      <c r="I44" s="30">
        <v>42498.418136574073</v>
      </c>
      <c r="J44" s="61">
        <v>0</v>
      </c>
      <c r="K44" s="61" t="str">
        <f t="shared" si="0"/>
        <v>4015/4016</v>
      </c>
      <c r="L44" s="61" t="str">
        <f>VLOOKUP(A44,'Trips&amp;Operators'!$C$1:$E$9999,3,FALSE)</f>
        <v>GEBRETEKLE</v>
      </c>
      <c r="M44" s="12">
        <f t="shared" si="1"/>
        <v>3.2928240740147885E-2</v>
      </c>
      <c r="N44" s="13">
        <f t="shared" si="2"/>
        <v>47.416666665812954</v>
      </c>
      <c r="O44" s="13"/>
      <c r="P44" s="13"/>
      <c r="Q44" s="62"/>
      <c r="R44" s="62"/>
      <c r="T4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09:11:46-0600',mode:absolute,to:'2016-05-08 10:03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4" s="75" t="str">
        <f t="shared" si="9"/>
        <v>N</v>
      </c>
      <c r="V44" s="75">
        <f t="shared" si="17"/>
        <v>1</v>
      </c>
      <c r="W44" s="75">
        <f t="shared" si="10"/>
        <v>23.297799999999999</v>
      </c>
      <c r="X44" s="75">
        <f t="shared" si="11"/>
        <v>1.4999999999999999E-2</v>
      </c>
      <c r="Y44" s="75">
        <f t="shared" si="12"/>
        <v>23.282799999999998</v>
      </c>
      <c r="Z44" s="76" t="e">
        <f>VLOOKUP(A44,Enforcements!$C$3:$J$26,8,0)</f>
        <v>#N/A</v>
      </c>
      <c r="AA44" s="76" t="e">
        <f>VLOOKUP(A44,Enforcements!$C$3:$J$26,3,0)</f>
        <v>#N/A</v>
      </c>
    </row>
    <row r="45" spans="1:27" s="2" customFormat="1" x14ac:dyDescent="0.25">
      <c r="A45" s="61" t="s">
        <v>255</v>
      </c>
      <c r="B45" s="61">
        <v>4018</v>
      </c>
      <c r="C45" s="61" t="s">
        <v>83</v>
      </c>
      <c r="D45" s="61" t="s">
        <v>97</v>
      </c>
      <c r="E45" s="30">
        <v>42498.358217592591</v>
      </c>
      <c r="F45" s="30">
        <v>42498.359375</v>
      </c>
      <c r="G45" s="38">
        <v>1</v>
      </c>
      <c r="H45" s="30" t="s">
        <v>85</v>
      </c>
      <c r="I45" s="30">
        <v>42498.389594907407</v>
      </c>
      <c r="J45" s="61">
        <v>0</v>
      </c>
      <c r="K45" s="61" t="str">
        <f t="shared" si="0"/>
        <v>4017/4018</v>
      </c>
      <c r="L45" s="61" t="str">
        <f>VLOOKUP(A45,'Trips&amp;Operators'!$C$1:$E$9999,3,FALSE)</f>
        <v>LEVIN</v>
      </c>
      <c r="M45" s="12">
        <f t="shared" si="1"/>
        <v>3.0219907406717539E-2</v>
      </c>
      <c r="N45" s="13">
        <f t="shared" si="2"/>
        <v>43.516666665673256</v>
      </c>
      <c r="O45" s="13"/>
      <c r="P45" s="13"/>
      <c r="Q45" s="62"/>
      <c r="R45" s="62"/>
      <c r="T4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08:34:50-0600',mode:absolute,to:'2016-05-08 09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5" s="75" t="str">
        <f t="shared" si="9"/>
        <v>N</v>
      </c>
      <c r="V45" s="75">
        <f t="shared" si="17"/>
        <v>1</v>
      </c>
      <c r="W45" s="75">
        <f t="shared" si="10"/>
        <v>4.5699999999999998E-2</v>
      </c>
      <c r="X45" s="75">
        <f t="shared" si="11"/>
        <v>23.331</v>
      </c>
      <c r="Y45" s="75">
        <f t="shared" si="12"/>
        <v>23.285299999999999</v>
      </c>
      <c r="Z45" s="76" t="e">
        <f>VLOOKUP(A45,Enforcements!$C$3:$J$26,8,0)</f>
        <v>#N/A</v>
      </c>
      <c r="AA45" s="76" t="e">
        <f>VLOOKUP(A45,Enforcements!$C$3:$J$26,3,0)</f>
        <v>#N/A</v>
      </c>
    </row>
    <row r="46" spans="1:27" s="2" customFormat="1" x14ac:dyDescent="0.25">
      <c r="A46" s="61" t="s">
        <v>256</v>
      </c>
      <c r="B46" s="61">
        <v>4017</v>
      </c>
      <c r="C46" s="61" t="s">
        <v>83</v>
      </c>
      <c r="D46" s="61" t="s">
        <v>105</v>
      </c>
      <c r="E46" s="30">
        <v>42498.39738425926</v>
      </c>
      <c r="F46" s="30">
        <v>42498.398298611108</v>
      </c>
      <c r="G46" s="38">
        <v>1</v>
      </c>
      <c r="H46" s="30" t="s">
        <v>94</v>
      </c>
      <c r="I46" s="30">
        <v>42498.429814814815</v>
      </c>
      <c r="J46" s="61">
        <v>1</v>
      </c>
      <c r="K46" s="61" t="str">
        <f t="shared" si="0"/>
        <v>4017/4018</v>
      </c>
      <c r="L46" s="61" t="str">
        <f>VLOOKUP(A46,'Trips&amp;Operators'!$C$1:$E$9999,3,FALSE)</f>
        <v>LEVIN</v>
      </c>
      <c r="M46" s="12">
        <f t="shared" si="1"/>
        <v>3.1516203707724344E-2</v>
      </c>
      <c r="N46" s="13">
        <f t="shared" si="2"/>
        <v>45.383333339123055</v>
      </c>
      <c r="O46" s="13"/>
      <c r="P46" s="13"/>
      <c r="Q46" s="62"/>
      <c r="R46" s="62"/>
      <c r="T4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09:31:14-0600',mode:absolute,to:'2016-05-08 10:19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6" s="75" t="str">
        <f t="shared" si="9"/>
        <v>N</v>
      </c>
      <c r="V46" s="75">
        <f t="shared" si="17"/>
        <v>1</v>
      </c>
      <c r="W46" s="75">
        <f t="shared" si="10"/>
        <v>23.2989</v>
      </c>
      <c r="X46" s="75">
        <f t="shared" si="11"/>
        <v>1.49E-2</v>
      </c>
      <c r="Y46" s="75">
        <f t="shared" si="12"/>
        <v>23.283999999999999</v>
      </c>
      <c r="Z46" s="76">
        <f>VLOOKUP(A46,Enforcements!$C$3:$J$26,8,0)</f>
        <v>1</v>
      </c>
      <c r="AA46" s="76" t="str">
        <f>VLOOKUP(A46,Enforcements!$C$3:$J$26,3,0)</f>
        <v>TRACK WARRANT AUTHORITY</v>
      </c>
    </row>
    <row r="47" spans="1:27" s="2" customFormat="1" x14ac:dyDescent="0.25">
      <c r="A47" s="61" t="s">
        <v>257</v>
      </c>
      <c r="B47" s="61">
        <v>4020</v>
      </c>
      <c r="C47" s="61" t="s">
        <v>83</v>
      </c>
      <c r="D47" s="61" t="s">
        <v>117</v>
      </c>
      <c r="E47" s="30">
        <v>42498.370289351849</v>
      </c>
      <c r="F47" s="30">
        <v>42498.371203703704</v>
      </c>
      <c r="G47" s="38">
        <v>1</v>
      </c>
      <c r="H47" s="30" t="s">
        <v>125</v>
      </c>
      <c r="I47" s="30">
        <v>42498.40079861111</v>
      </c>
      <c r="J47" s="61">
        <v>0</v>
      </c>
      <c r="K47" s="61" t="str">
        <f t="shared" si="0"/>
        <v>4019/4020</v>
      </c>
      <c r="L47" s="61" t="str">
        <f>VLOOKUP(A47,'Trips&amp;Operators'!$C$1:$E$9999,3,FALSE)</f>
        <v>BRABO</v>
      </c>
      <c r="M47" s="12">
        <f t="shared" si="1"/>
        <v>2.9594907406135462E-2</v>
      </c>
      <c r="N47" s="13">
        <f t="shared" si="2"/>
        <v>42.616666664835066</v>
      </c>
      <c r="O47" s="13"/>
      <c r="P47" s="13"/>
      <c r="Q47" s="62"/>
      <c r="R47" s="62"/>
      <c r="T4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08:52:13-0600',mode:absolute,to:'2016-05-08 09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7" s="75" t="str">
        <f t="shared" si="9"/>
        <v>N</v>
      </c>
      <c r="V47" s="75">
        <f t="shared" si="17"/>
        <v>1</v>
      </c>
      <c r="W47" s="75">
        <f t="shared" si="10"/>
        <v>4.5100000000000001E-2</v>
      </c>
      <c r="X47" s="75">
        <f t="shared" si="11"/>
        <v>23.329899999999999</v>
      </c>
      <c r="Y47" s="75">
        <f t="shared" si="12"/>
        <v>23.284799999999997</v>
      </c>
      <c r="Z47" s="76" t="e">
        <f>VLOOKUP(A47,Enforcements!$C$3:$J$26,8,0)</f>
        <v>#N/A</v>
      </c>
      <c r="AA47" s="76" t="e">
        <f>VLOOKUP(A47,Enforcements!$C$3:$J$26,3,0)</f>
        <v>#N/A</v>
      </c>
    </row>
    <row r="48" spans="1:27" s="2" customFormat="1" x14ac:dyDescent="0.25">
      <c r="A48" s="61" t="s">
        <v>258</v>
      </c>
      <c r="B48" s="61">
        <v>4019</v>
      </c>
      <c r="C48" s="61" t="s">
        <v>83</v>
      </c>
      <c r="D48" s="61" t="s">
        <v>200</v>
      </c>
      <c r="E48" s="30">
        <v>42498.408888888887</v>
      </c>
      <c r="F48" s="30">
        <v>42498.40997685185</v>
      </c>
      <c r="G48" s="38">
        <v>1</v>
      </c>
      <c r="H48" s="30" t="s">
        <v>161</v>
      </c>
      <c r="I48" s="30">
        <v>42498.443657407406</v>
      </c>
      <c r="J48" s="61">
        <v>0</v>
      </c>
      <c r="K48" s="61" t="str">
        <f t="shared" si="0"/>
        <v>4019/4020</v>
      </c>
      <c r="L48" s="61" t="str">
        <f>VLOOKUP(A48,'Trips&amp;Operators'!$C$1:$E$9999,3,FALSE)</f>
        <v>BRABO</v>
      </c>
      <c r="M48" s="12">
        <f t="shared" si="1"/>
        <v>3.3680555556202307E-2</v>
      </c>
      <c r="N48" s="13">
        <f t="shared" si="2"/>
        <v>48.500000000931323</v>
      </c>
      <c r="O48" s="13"/>
      <c r="P48" s="13"/>
      <c r="Q48" s="62"/>
      <c r="R48" s="62"/>
      <c r="T4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09:47:48-0600',mode:absolute,to:'2016-05-08 10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8" s="75" t="str">
        <f t="shared" si="9"/>
        <v>N</v>
      </c>
      <c r="V48" s="75">
        <f t="shared" si="17"/>
        <v>1</v>
      </c>
      <c r="W48" s="75">
        <f t="shared" si="10"/>
        <v>23.2971</v>
      </c>
      <c r="X48" s="75">
        <f t="shared" si="11"/>
        <v>1.41E-2</v>
      </c>
      <c r="Y48" s="75">
        <f t="shared" si="12"/>
        <v>23.283000000000001</v>
      </c>
      <c r="Z48" s="76" t="e">
        <f>VLOOKUP(A48,Enforcements!$C$3:$J$26,8,0)</f>
        <v>#N/A</v>
      </c>
      <c r="AA48" s="76" t="e">
        <f>VLOOKUP(A48,Enforcements!$C$3:$J$26,3,0)</f>
        <v>#N/A</v>
      </c>
    </row>
    <row r="49" spans="1:27" s="2" customFormat="1" x14ac:dyDescent="0.25">
      <c r="A49" s="61" t="s">
        <v>259</v>
      </c>
      <c r="B49" s="61">
        <v>4014</v>
      </c>
      <c r="C49" s="61" t="s">
        <v>83</v>
      </c>
      <c r="D49" s="61" t="s">
        <v>165</v>
      </c>
      <c r="E49" s="30">
        <v>42498.378935185188</v>
      </c>
      <c r="F49" s="30">
        <v>42498.380115740743</v>
      </c>
      <c r="G49" s="38">
        <v>1</v>
      </c>
      <c r="H49" s="30" t="s">
        <v>101</v>
      </c>
      <c r="I49" s="30">
        <v>42498.410752314812</v>
      </c>
      <c r="J49" s="61">
        <v>0</v>
      </c>
      <c r="K49" s="61" t="str">
        <f t="shared" ref="K49:K80" si="21">IF(ISEVEN(B49),(B49-1)&amp;"/"&amp;B49,B49&amp;"/"&amp;(B49+1))</f>
        <v>4013/4014</v>
      </c>
      <c r="L49" s="61" t="str">
        <f>VLOOKUP(A49,'Trips&amp;Operators'!$C$1:$E$9999,3,FALSE)</f>
        <v>STURGEON</v>
      </c>
      <c r="M49" s="12">
        <f t="shared" ref="M49:M80" si="22">I49-F49</f>
        <v>3.0636574068921618E-2</v>
      </c>
      <c r="N49" s="13">
        <f t="shared" si="2"/>
        <v>44.11666665924713</v>
      </c>
      <c r="O49" s="13"/>
      <c r="P49" s="13"/>
      <c r="Q49" s="62"/>
      <c r="R49" s="62"/>
      <c r="T4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09:04:40-0600',mode:absolute,to:'2016-05-08 09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9" s="75" t="str">
        <f t="shared" si="9"/>
        <v>N</v>
      </c>
      <c r="V49" s="75">
        <f t="shared" si="17"/>
        <v>1</v>
      </c>
      <c r="W49" s="75">
        <f t="shared" si="10"/>
        <v>4.3700000000000003E-2</v>
      </c>
      <c r="X49" s="75">
        <f t="shared" si="11"/>
        <v>23.3306</v>
      </c>
      <c r="Y49" s="75">
        <f t="shared" si="12"/>
        <v>23.286899999999999</v>
      </c>
      <c r="Z49" s="76" t="e">
        <f>VLOOKUP(A49,Enforcements!$C$3:$J$26,8,0)</f>
        <v>#N/A</v>
      </c>
      <c r="AA49" s="76" t="e">
        <f>VLOOKUP(A49,Enforcements!$C$3:$J$26,3,0)</f>
        <v>#N/A</v>
      </c>
    </row>
    <row r="50" spans="1:27" s="2" customFormat="1" x14ac:dyDescent="0.25">
      <c r="A50" s="61" t="s">
        <v>260</v>
      </c>
      <c r="B50" s="61">
        <v>4013</v>
      </c>
      <c r="C50" s="61" t="s">
        <v>83</v>
      </c>
      <c r="D50" s="61" t="s">
        <v>140</v>
      </c>
      <c r="E50" s="30">
        <v>42498.418333333335</v>
      </c>
      <c r="F50" s="30">
        <v>42498.419409722221</v>
      </c>
      <c r="G50" s="38">
        <v>1</v>
      </c>
      <c r="H50" s="30" t="s">
        <v>108</v>
      </c>
      <c r="I50" s="30">
        <v>42498.450462962966</v>
      </c>
      <c r="J50" s="61">
        <v>0</v>
      </c>
      <c r="K50" s="61" t="str">
        <f t="shared" si="21"/>
        <v>4013/4014</v>
      </c>
      <c r="L50" s="61" t="str">
        <f>VLOOKUP(A50,'Trips&amp;Operators'!$C$1:$E$9999,3,FALSE)</f>
        <v>STURGEON</v>
      </c>
      <c r="M50" s="12">
        <f t="shared" si="22"/>
        <v>3.1053240745677613E-2</v>
      </c>
      <c r="N50" s="13">
        <f t="shared" si="2"/>
        <v>44.716666673775762</v>
      </c>
      <c r="O50" s="13"/>
      <c r="P50" s="13"/>
      <c r="Q50" s="62"/>
      <c r="R50" s="62"/>
      <c r="T5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10:01:24-0600',mode:absolute,to:'2016-05-08 10:49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0" s="75" t="str">
        <f t="shared" si="9"/>
        <v>N</v>
      </c>
      <c r="V50" s="75">
        <f t="shared" si="17"/>
        <v>1</v>
      </c>
      <c r="W50" s="75">
        <f t="shared" si="10"/>
        <v>23.297899999999998</v>
      </c>
      <c r="X50" s="75">
        <f t="shared" si="11"/>
        <v>1.4500000000000001E-2</v>
      </c>
      <c r="Y50" s="75">
        <f t="shared" si="12"/>
        <v>23.283399999999997</v>
      </c>
      <c r="Z50" s="76" t="e">
        <f>VLOOKUP(A50,Enforcements!$C$3:$J$26,8,0)</f>
        <v>#N/A</v>
      </c>
      <c r="AA50" s="76" t="e">
        <f>VLOOKUP(A50,Enforcements!$C$3:$J$26,3,0)</f>
        <v>#N/A</v>
      </c>
    </row>
    <row r="51" spans="1:27" s="2" customFormat="1" x14ac:dyDescent="0.25">
      <c r="A51" s="61" t="s">
        <v>261</v>
      </c>
      <c r="B51" s="61">
        <v>4024</v>
      </c>
      <c r="C51" s="61" t="s">
        <v>83</v>
      </c>
      <c r="D51" s="61" t="s">
        <v>123</v>
      </c>
      <c r="E51" s="30">
        <v>42498.394120370373</v>
      </c>
      <c r="F51" s="30">
        <v>42498.395127314812</v>
      </c>
      <c r="G51" s="38">
        <v>1</v>
      </c>
      <c r="H51" s="30" t="s">
        <v>262</v>
      </c>
      <c r="I51" s="30">
        <v>42498.405335648145</v>
      </c>
      <c r="J51" s="61">
        <v>0</v>
      </c>
      <c r="K51" s="61" t="str">
        <f t="shared" si="21"/>
        <v>4023/4024</v>
      </c>
      <c r="L51" s="61" t="str">
        <f>VLOOKUP(A51,'Trips&amp;Operators'!$C$1:$E$9999,3,FALSE)</f>
        <v>LEDERHAUSE</v>
      </c>
      <c r="M51" s="12">
        <f t="shared" si="22"/>
        <v>1.0208333333139308E-2</v>
      </c>
      <c r="N51" s="13"/>
      <c r="O51" s="13"/>
      <c r="P51" s="13">
        <v>15</v>
      </c>
      <c r="Q51" s="62"/>
      <c r="R51" s="62" t="s">
        <v>442</v>
      </c>
      <c r="T5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09:26:32-0600',mode:absolute,to:'2016-05-08 09:44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1" s="75" t="str">
        <f t="shared" si="9"/>
        <v>Y</v>
      </c>
      <c r="V51" s="75">
        <f t="shared" si="17"/>
        <v>1</v>
      </c>
      <c r="W51" s="75">
        <f t="shared" si="10"/>
        <v>4.5999999999999999E-2</v>
      </c>
      <c r="X51" s="75">
        <f t="shared" si="11"/>
        <v>5.8987999999999996</v>
      </c>
      <c r="Y51" s="75">
        <f t="shared" si="12"/>
        <v>5.8527999999999993</v>
      </c>
      <c r="Z51" s="76" t="e">
        <f>VLOOKUP(A51,Enforcements!$C$3:$J$26,8,0)</f>
        <v>#N/A</v>
      </c>
      <c r="AA51" s="76" t="e">
        <f>VLOOKUP(A51,Enforcements!$C$3:$J$26,3,0)</f>
        <v>#N/A</v>
      </c>
    </row>
    <row r="52" spans="1:27" s="2" customFormat="1" x14ac:dyDescent="0.25">
      <c r="A52" s="61" t="s">
        <v>263</v>
      </c>
      <c r="B52" s="61">
        <v>4023</v>
      </c>
      <c r="C52" s="61" t="s">
        <v>83</v>
      </c>
      <c r="D52" s="61" t="s">
        <v>164</v>
      </c>
      <c r="E52" s="30">
        <v>42498.429479166669</v>
      </c>
      <c r="F52" s="30">
        <v>42498.430462962962</v>
      </c>
      <c r="G52" s="38">
        <v>1</v>
      </c>
      <c r="H52" s="30" t="s">
        <v>264</v>
      </c>
      <c r="I52" s="30">
        <v>42498.461192129631</v>
      </c>
      <c r="J52" s="61">
        <v>1</v>
      </c>
      <c r="K52" s="61" t="str">
        <f t="shared" si="21"/>
        <v>4023/4024</v>
      </c>
      <c r="L52" s="61" t="str">
        <f>VLOOKUP(A52,'Trips&amp;Operators'!$C$1:$E$9999,3,FALSE)</f>
        <v>LEDERHAUSE</v>
      </c>
      <c r="M52" s="12">
        <f t="shared" si="22"/>
        <v>3.0729166668606922E-2</v>
      </c>
      <c r="N52" s="13">
        <f t="shared" si="2"/>
        <v>44.250000002793968</v>
      </c>
      <c r="O52" s="13"/>
      <c r="P52" s="13"/>
      <c r="Q52" s="62"/>
      <c r="R52" s="62"/>
      <c r="T5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10:17:27-0600',mode:absolute,to:'2016-05-08 11:05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2" s="75" t="str">
        <f t="shared" si="9"/>
        <v>N</v>
      </c>
      <c r="V52" s="75">
        <f t="shared" si="17"/>
        <v>1</v>
      </c>
      <c r="W52" s="75">
        <f t="shared" si="10"/>
        <v>23.297499999999999</v>
      </c>
      <c r="X52" s="75">
        <f t="shared" si="11"/>
        <v>9.6199999999999994E-2</v>
      </c>
      <c r="Y52" s="75">
        <f t="shared" si="12"/>
        <v>23.2013</v>
      </c>
      <c r="Z52" s="76">
        <f>VLOOKUP(A52,Enforcements!$C$3:$J$26,8,0)</f>
        <v>839</v>
      </c>
      <c r="AA52" s="76" t="str">
        <f>VLOOKUP(A52,Enforcements!$C$3:$J$26,3,0)</f>
        <v>TRACK WARRANT AUTHORITY</v>
      </c>
    </row>
    <row r="53" spans="1:27" s="2" customFormat="1" x14ac:dyDescent="0.25">
      <c r="A53" s="61" t="s">
        <v>265</v>
      </c>
      <c r="B53" s="61">
        <v>4029</v>
      </c>
      <c r="C53" s="61" t="s">
        <v>83</v>
      </c>
      <c r="D53" s="61" t="s">
        <v>97</v>
      </c>
      <c r="E53" s="30">
        <v>42498.404039351852</v>
      </c>
      <c r="F53" s="30">
        <v>42498.404999999999</v>
      </c>
      <c r="G53" s="38">
        <v>1</v>
      </c>
      <c r="H53" s="30" t="s">
        <v>101</v>
      </c>
      <c r="I53" s="30">
        <v>42498.43167824074</v>
      </c>
      <c r="J53" s="61">
        <v>0</v>
      </c>
      <c r="K53" s="61" t="str">
        <f t="shared" si="21"/>
        <v>4029/4030</v>
      </c>
      <c r="L53" s="61" t="str">
        <f>VLOOKUP(A53,'Trips&amp;Operators'!$C$1:$E$9999,3,FALSE)</f>
        <v>SANTIZO</v>
      </c>
      <c r="M53" s="12">
        <f t="shared" si="22"/>
        <v>2.6678240741603076E-2</v>
      </c>
      <c r="N53" s="13">
        <f t="shared" si="2"/>
        <v>38.41666666790843</v>
      </c>
      <c r="O53" s="13"/>
      <c r="P53" s="13"/>
      <c r="Q53" s="62"/>
      <c r="R53" s="62"/>
      <c r="T5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09:40:49-0600',mode:absolute,to:'2016-05-08 10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3" s="75" t="str">
        <f t="shared" si="9"/>
        <v>N</v>
      </c>
      <c r="V53" s="75">
        <f t="shared" si="17"/>
        <v>1</v>
      </c>
      <c r="W53" s="75">
        <f t="shared" si="10"/>
        <v>4.5699999999999998E-2</v>
      </c>
      <c r="X53" s="75">
        <f t="shared" si="11"/>
        <v>23.3306</v>
      </c>
      <c r="Y53" s="75">
        <f t="shared" si="12"/>
        <v>23.2849</v>
      </c>
      <c r="Z53" s="76" t="e">
        <f>VLOOKUP(A53,Enforcements!$C$3:$J$26,8,0)</f>
        <v>#N/A</v>
      </c>
      <c r="AA53" s="76" t="e">
        <f>VLOOKUP(A53,Enforcements!$C$3:$J$26,3,0)</f>
        <v>#N/A</v>
      </c>
    </row>
    <row r="54" spans="1:27" s="2" customFormat="1" x14ac:dyDescent="0.25">
      <c r="A54" s="61" t="s">
        <v>266</v>
      </c>
      <c r="B54" s="61">
        <v>4030</v>
      </c>
      <c r="C54" s="61" t="s">
        <v>83</v>
      </c>
      <c r="D54" s="61" t="s">
        <v>121</v>
      </c>
      <c r="E54" s="30">
        <v>42498.440312500003</v>
      </c>
      <c r="F54" s="30">
        <v>42498.441516203704</v>
      </c>
      <c r="G54" s="38">
        <v>1</v>
      </c>
      <c r="H54" s="30" t="s">
        <v>92</v>
      </c>
      <c r="I54" s="30">
        <v>42498.470879629633</v>
      </c>
      <c r="J54" s="61">
        <v>0</v>
      </c>
      <c r="K54" s="61" t="str">
        <f t="shared" si="21"/>
        <v>4029/4030</v>
      </c>
      <c r="L54" s="61" t="str">
        <f>VLOOKUP(A54,'Trips&amp;Operators'!$C$1:$E$9999,3,FALSE)</f>
        <v>SANTIZO</v>
      </c>
      <c r="M54" s="12">
        <f t="shared" si="22"/>
        <v>2.9363425928750075E-2</v>
      </c>
      <c r="N54" s="13">
        <f t="shared" si="2"/>
        <v>42.283333337400109</v>
      </c>
      <c r="O54" s="13"/>
      <c r="P54" s="13"/>
      <c r="Q54" s="62"/>
      <c r="R54" s="62"/>
      <c r="T5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10:33:03-0600',mode:absolute,to:'2016-05-08 11:19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4" s="75" t="str">
        <f t="shared" si="9"/>
        <v>N</v>
      </c>
      <c r="V54" s="75">
        <f t="shared" si="17"/>
        <v>1</v>
      </c>
      <c r="W54" s="75">
        <f t="shared" si="10"/>
        <v>23.299800000000001</v>
      </c>
      <c r="X54" s="75">
        <f t="shared" si="11"/>
        <v>1.5599999999999999E-2</v>
      </c>
      <c r="Y54" s="75">
        <f t="shared" si="12"/>
        <v>23.284200000000002</v>
      </c>
      <c r="Z54" s="76" t="e">
        <f>VLOOKUP(A54,Enforcements!$C$3:$J$26,8,0)</f>
        <v>#N/A</v>
      </c>
      <c r="AA54" s="76" t="e">
        <f>VLOOKUP(A54,Enforcements!$C$3:$J$26,3,0)</f>
        <v>#N/A</v>
      </c>
    </row>
    <row r="55" spans="1:27" s="2" customFormat="1" x14ac:dyDescent="0.25">
      <c r="A55" s="61" t="s">
        <v>267</v>
      </c>
      <c r="B55" s="61">
        <v>4025</v>
      </c>
      <c r="C55" s="61" t="s">
        <v>83</v>
      </c>
      <c r="D55" s="61" t="s">
        <v>268</v>
      </c>
      <c r="E55" s="30">
        <v>42498.416180555556</v>
      </c>
      <c r="F55" s="30">
        <v>42498.416909722226</v>
      </c>
      <c r="G55" s="38">
        <v>1</v>
      </c>
      <c r="H55" s="30" t="s">
        <v>269</v>
      </c>
      <c r="I55" s="30">
        <v>42498.44121527778</v>
      </c>
      <c r="J55" s="61">
        <v>0</v>
      </c>
      <c r="K55" s="61" t="str">
        <f t="shared" si="21"/>
        <v>4025/4026</v>
      </c>
      <c r="L55" s="61" t="str">
        <f>VLOOKUP(A55,'Trips&amp;Operators'!$C$1:$E$9999,3,FALSE)</f>
        <v>MALAVE</v>
      </c>
      <c r="M55" s="12">
        <f t="shared" si="22"/>
        <v>2.4305555554747116E-2</v>
      </c>
      <c r="N55" s="13">
        <f t="shared" si="2"/>
        <v>34.999999998835847</v>
      </c>
      <c r="O55" s="13"/>
      <c r="P55" s="13"/>
      <c r="Q55" s="62"/>
      <c r="R55" s="62"/>
      <c r="T5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09:58:18-0600',mode:absolute,to:'2016-05-08 10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55" s="75" t="str">
        <f t="shared" si="9"/>
        <v>N</v>
      </c>
      <c r="V55" s="75">
        <f t="shared" si="17"/>
        <v>1</v>
      </c>
      <c r="W55" s="75">
        <f t="shared" si="10"/>
        <v>4.6199999999999998E-2</v>
      </c>
      <c r="X55" s="75">
        <f t="shared" si="11"/>
        <v>23.328600000000002</v>
      </c>
      <c r="Y55" s="75">
        <f t="shared" si="12"/>
        <v>23.282400000000003</v>
      </c>
      <c r="Z55" s="76" t="e">
        <f>VLOOKUP(A55,Enforcements!$C$3:$J$26,8,0)</f>
        <v>#N/A</v>
      </c>
      <c r="AA55" s="76" t="e">
        <f>VLOOKUP(A55,Enforcements!$C$3:$J$26,3,0)</f>
        <v>#N/A</v>
      </c>
    </row>
    <row r="56" spans="1:27" s="2" customFormat="1" x14ac:dyDescent="0.25">
      <c r="A56" s="61" t="s">
        <v>270</v>
      </c>
      <c r="B56" s="61">
        <v>4026</v>
      </c>
      <c r="C56" s="61" t="s">
        <v>83</v>
      </c>
      <c r="D56" s="61" t="s">
        <v>177</v>
      </c>
      <c r="E56" s="30">
        <v>42498.453553240739</v>
      </c>
      <c r="F56" s="30">
        <v>42498.455694444441</v>
      </c>
      <c r="G56" s="38">
        <v>3</v>
      </c>
      <c r="H56" s="30" t="s">
        <v>252</v>
      </c>
      <c r="I56" s="30">
        <v>42498.480636574073</v>
      </c>
      <c r="J56" s="61">
        <v>0</v>
      </c>
      <c r="K56" s="61" t="str">
        <f t="shared" si="21"/>
        <v>4025/4026</v>
      </c>
      <c r="L56" s="61" t="str">
        <f>VLOOKUP(A56,'Trips&amp;Operators'!$C$1:$E$9999,3,FALSE)</f>
        <v>MALAVE</v>
      </c>
      <c r="M56" s="12">
        <f>I56-F56+1/24/60/60</f>
        <v>2.4953703706182918E-2</v>
      </c>
      <c r="N56" s="13">
        <f t="shared" si="2"/>
        <v>35.933333336903402</v>
      </c>
      <c r="O56" s="13"/>
      <c r="P56" s="13"/>
      <c r="Q56" s="62"/>
      <c r="R56" s="62"/>
      <c r="T5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10:52:07-0600',mode:absolute,to:'2016-05-08 11:33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6" s="75" t="str">
        <f t="shared" si="9"/>
        <v>N</v>
      </c>
      <c r="V56" s="75">
        <f t="shared" si="17"/>
        <v>1</v>
      </c>
      <c r="W56" s="75">
        <f t="shared" si="10"/>
        <v>23.296099999999999</v>
      </c>
      <c r="X56" s="75">
        <f t="shared" si="11"/>
        <v>1.47E-2</v>
      </c>
      <c r="Y56" s="75">
        <f t="shared" si="12"/>
        <v>23.281399999999998</v>
      </c>
      <c r="Z56" s="76" t="e">
        <f>VLOOKUP(A56,Enforcements!$C$3:$J$26,8,0)</f>
        <v>#N/A</v>
      </c>
      <c r="AA56" s="76" t="e">
        <f>VLOOKUP(A56,Enforcements!$C$3:$J$26,3,0)</f>
        <v>#N/A</v>
      </c>
    </row>
    <row r="57" spans="1:27" s="2" customFormat="1" x14ac:dyDescent="0.25">
      <c r="A57" s="61" t="s">
        <v>271</v>
      </c>
      <c r="B57" s="61">
        <v>4016</v>
      </c>
      <c r="C57" s="61" t="s">
        <v>83</v>
      </c>
      <c r="D57" s="61" t="s">
        <v>165</v>
      </c>
      <c r="E57" s="30">
        <v>42498.421990740739</v>
      </c>
      <c r="F57" s="30">
        <v>42498.423194444447</v>
      </c>
      <c r="G57" s="38">
        <v>1</v>
      </c>
      <c r="H57" s="30" t="s">
        <v>84</v>
      </c>
      <c r="I57" s="30">
        <v>42498.45207175926</v>
      </c>
      <c r="J57" s="61">
        <v>0</v>
      </c>
      <c r="K57" s="61" t="str">
        <f t="shared" si="21"/>
        <v>4015/4016</v>
      </c>
      <c r="L57" s="61" t="str">
        <f>VLOOKUP(A57,'Trips&amp;Operators'!$C$1:$E$9999,3,FALSE)</f>
        <v>ACKERMAN</v>
      </c>
      <c r="M57" s="12">
        <f t="shared" si="22"/>
        <v>2.8877314813144039E-2</v>
      </c>
      <c r="N57" s="13">
        <f t="shared" si="2"/>
        <v>41.583333330927417</v>
      </c>
      <c r="O57" s="13"/>
      <c r="P57" s="13"/>
      <c r="Q57" s="62"/>
      <c r="R57" s="62"/>
      <c r="T5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10:06:40-0600',mode:absolute,to:'2016-05-08 10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7" s="75" t="str">
        <f t="shared" si="9"/>
        <v>N</v>
      </c>
      <c r="V57" s="75">
        <f t="shared" si="17"/>
        <v>1</v>
      </c>
      <c r="W57" s="75">
        <f t="shared" si="10"/>
        <v>4.3700000000000003E-2</v>
      </c>
      <c r="X57" s="75">
        <f t="shared" si="11"/>
        <v>23.329699999999999</v>
      </c>
      <c r="Y57" s="75">
        <f t="shared" si="12"/>
        <v>23.285999999999998</v>
      </c>
      <c r="Z57" s="76" t="e">
        <f>VLOOKUP(A57,Enforcements!$C$3:$J$26,8,0)</f>
        <v>#N/A</v>
      </c>
      <c r="AA57" s="76" t="e">
        <f>VLOOKUP(A57,Enforcements!$C$3:$J$26,3,0)</f>
        <v>#N/A</v>
      </c>
    </row>
    <row r="58" spans="1:27" s="2" customFormat="1" x14ac:dyDescent="0.25">
      <c r="A58" s="61" t="s">
        <v>272</v>
      </c>
      <c r="B58" s="61">
        <v>4015</v>
      </c>
      <c r="C58" s="61" t="s">
        <v>83</v>
      </c>
      <c r="D58" s="61" t="s">
        <v>124</v>
      </c>
      <c r="E58" s="30">
        <v>42498.460856481484</v>
      </c>
      <c r="F58" s="30">
        <v>42498.46197916667</v>
      </c>
      <c r="G58" s="38">
        <v>1</v>
      </c>
      <c r="H58" s="30" t="s">
        <v>94</v>
      </c>
      <c r="I58" s="30">
        <v>42498.492372685185</v>
      </c>
      <c r="J58" s="61">
        <v>0</v>
      </c>
      <c r="K58" s="61" t="str">
        <f t="shared" si="21"/>
        <v>4015/4016</v>
      </c>
      <c r="L58" s="61" t="str">
        <f>VLOOKUP(A58,'Trips&amp;Operators'!$C$1:$E$9999,3,FALSE)</f>
        <v>ACKERMAN</v>
      </c>
      <c r="M58" s="12">
        <f t="shared" si="22"/>
        <v>3.0393518514756579E-2</v>
      </c>
      <c r="N58" s="13">
        <f t="shared" si="2"/>
        <v>43.766666661249474</v>
      </c>
      <c r="O58" s="13"/>
      <c r="P58" s="13"/>
      <c r="Q58" s="62"/>
      <c r="R58" s="62"/>
      <c r="T5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11:02:38-0600',mode:absolute,to:'2016-05-08 11:50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8" s="75" t="str">
        <f t="shared" si="9"/>
        <v>N</v>
      </c>
      <c r="V58" s="75">
        <f t="shared" si="17"/>
        <v>1</v>
      </c>
      <c r="W58" s="75">
        <f t="shared" si="10"/>
        <v>23.297599999999999</v>
      </c>
      <c r="X58" s="75">
        <f t="shared" si="11"/>
        <v>1.49E-2</v>
      </c>
      <c r="Y58" s="75">
        <f t="shared" si="12"/>
        <v>23.282699999999998</v>
      </c>
      <c r="Z58" s="76" t="e">
        <f>VLOOKUP(A58,Enforcements!$C$3:$J$26,8,0)</f>
        <v>#N/A</v>
      </c>
      <c r="AA58" s="76" t="e">
        <f>VLOOKUP(A58,Enforcements!$C$3:$J$26,3,0)</f>
        <v>#N/A</v>
      </c>
    </row>
    <row r="59" spans="1:27" s="2" customFormat="1" x14ac:dyDescent="0.25">
      <c r="A59" s="61" t="s">
        <v>273</v>
      </c>
      <c r="B59" s="61">
        <v>4018</v>
      </c>
      <c r="C59" s="61" t="s">
        <v>83</v>
      </c>
      <c r="D59" s="61" t="s">
        <v>131</v>
      </c>
      <c r="E59" s="30">
        <v>42498.432256944441</v>
      </c>
      <c r="F59" s="30">
        <v>42498.433530092596</v>
      </c>
      <c r="G59" s="38">
        <v>1</v>
      </c>
      <c r="H59" s="30" t="s">
        <v>95</v>
      </c>
      <c r="I59" s="30">
        <v>42498.46197916667</v>
      </c>
      <c r="J59" s="61">
        <v>0</v>
      </c>
      <c r="K59" s="61" t="str">
        <f t="shared" si="21"/>
        <v>4017/4018</v>
      </c>
      <c r="L59" s="61" t="str">
        <f>VLOOKUP(A59,'Trips&amp;Operators'!$C$1:$E$9999,3,FALSE)</f>
        <v>GEBRETEKLE</v>
      </c>
      <c r="M59" s="12">
        <f t="shared" si="22"/>
        <v>2.8449074074160308E-2</v>
      </c>
      <c r="N59" s="13">
        <f t="shared" si="2"/>
        <v>40.966666666790843</v>
      </c>
      <c r="O59" s="13"/>
      <c r="P59" s="13"/>
      <c r="Q59" s="62"/>
      <c r="R59" s="62"/>
      <c r="T5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10:21:27-0600',mode:absolute,to:'2016-05-08 11:06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9" s="75" t="str">
        <f t="shared" si="9"/>
        <v>N</v>
      </c>
      <c r="V59" s="75">
        <f t="shared" si="17"/>
        <v>1</v>
      </c>
      <c r="W59" s="75">
        <f t="shared" si="10"/>
        <v>4.4600000000000001E-2</v>
      </c>
      <c r="X59" s="75">
        <f t="shared" si="11"/>
        <v>23.330300000000001</v>
      </c>
      <c r="Y59" s="75">
        <f t="shared" si="12"/>
        <v>23.285700000000002</v>
      </c>
      <c r="Z59" s="76" t="e">
        <f>VLOOKUP(A59,Enforcements!$C$3:$J$26,8,0)</f>
        <v>#N/A</v>
      </c>
      <c r="AA59" s="76" t="e">
        <f>VLOOKUP(A59,Enforcements!$C$3:$J$26,3,0)</f>
        <v>#N/A</v>
      </c>
    </row>
    <row r="60" spans="1:27" s="2" customFormat="1" x14ac:dyDescent="0.25">
      <c r="A60" s="61" t="s">
        <v>274</v>
      </c>
      <c r="B60" s="61">
        <v>4017</v>
      </c>
      <c r="C60" s="61" t="s">
        <v>83</v>
      </c>
      <c r="D60" s="61" t="s">
        <v>90</v>
      </c>
      <c r="E60" s="30">
        <v>42498.47246527778</v>
      </c>
      <c r="F60" s="30">
        <v>42498.473506944443</v>
      </c>
      <c r="G60" s="38">
        <v>1</v>
      </c>
      <c r="H60" s="30" t="s">
        <v>128</v>
      </c>
      <c r="I60" s="30">
        <v>42498.506435185183</v>
      </c>
      <c r="J60" s="61">
        <v>0</v>
      </c>
      <c r="K60" s="61" t="str">
        <f t="shared" si="21"/>
        <v>4017/4018</v>
      </c>
      <c r="L60" s="61" t="str">
        <f>VLOOKUP(A60,'Trips&amp;Operators'!$C$1:$E$9999,3,FALSE)</f>
        <v>GEBRETEKLE</v>
      </c>
      <c r="M60" s="12">
        <f t="shared" si="22"/>
        <v>3.2928240740147885E-2</v>
      </c>
      <c r="N60" s="13">
        <f t="shared" si="2"/>
        <v>47.416666665812954</v>
      </c>
      <c r="O60" s="13"/>
      <c r="P60" s="13"/>
      <c r="Q60" s="62"/>
      <c r="R60" s="62"/>
      <c r="T6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11:19:21-0600',mode:absolute,to:'2016-05-08 12:10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0" s="75" t="str">
        <f t="shared" si="9"/>
        <v>N</v>
      </c>
      <c r="V60" s="75">
        <f t="shared" si="17"/>
        <v>1</v>
      </c>
      <c r="W60" s="75">
        <f t="shared" si="10"/>
        <v>23.297699999999999</v>
      </c>
      <c r="X60" s="75">
        <f t="shared" si="11"/>
        <v>1.6299999999999999E-2</v>
      </c>
      <c r="Y60" s="75">
        <f t="shared" si="12"/>
        <v>23.281399999999998</v>
      </c>
      <c r="Z60" s="76" t="e">
        <f>VLOOKUP(A60,Enforcements!$C$3:$J$26,8,0)</f>
        <v>#N/A</v>
      </c>
      <c r="AA60" s="76" t="e">
        <f>VLOOKUP(A60,Enforcements!$C$3:$J$26,3,0)</f>
        <v>#N/A</v>
      </c>
    </row>
    <row r="61" spans="1:27" s="2" customFormat="1" x14ac:dyDescent="0.25">
      <c r="A61" s="61" t="s">
        <v>275</v>
      </c>
      <c r="B61" s="61">
        <v>4020</v>
      </c>
      <c r="C61" s="61" t="s">
        <v>83</v>
      </c>
      <c r="D61" s="61" t="s">
        <v>139</v>
      </c>
      <c r="E61" s="30">
        <v>42498.445185185185</v>
      </c>
      <c r="F61" s="30">
        <v>42498.446423611109</v>
      </c>
      <c r="G61" s="38">
        <v>1</v>
      </c>
      <c r="H61" s="30" t="s">
        <v>101</v>
      </c>
      <c r="I61" s="30">
        <v>42498.472581018519</v>
      </c>
      <c r="J61" s="61">
        <v>0</v>
      </c>
      <c r="K61" s="61" t="str">
        <f t="shared" si="21"/>
        <v>4019/4020</v>
      </c>
      <c r="L61" s="61" t="str">
        <f>VLOOKUP(A61,'Trips&amp;Operators'!$C$1:$E$9999,3,FALSE)</f>
        <v>BRANNON</v>
      </c>
      <c r="M61" s="12">
        <f t="shared" si="22"/>
        <v>2.6157407410209998E-2</v>
      </c>
      <c r="N61" s="13">
        <f t="shared" si="2"/>
        <v>37.666666670702398</v>
      </c>
      <c r="O61" s="13"/>
      <c r="P61" s="13"/>
      <c r="Q61" s="62"/>
      <c r="R61" s="62"/>
      <c r="T6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10:40:04-0600',mode:absolute,to:'2016-05-08 11:21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1" s="75" t="str">
        <f t="shared" si="9"/>
        <v>N</v>
      </c>
      <c r="V61" s="75">
        <f t="shared" si="17"/>
        <v>1</v>
      </c>
      <c r="W61" s="75">
        <f t="shared" si="10"/>
        <v>4.58E-2</v>
      </c>
      <c r="X61" s="75">
        <f t="shared" si="11"/>
        <v>23.3306</v>
      </c>
      <c r="Y61" s="75">
        <f t="shared" si="12"/>
        <v>23.284800000000001</v>
      </c>
      <c r="Z61" s="76" t="e">
        <f>VLOOKUP(A61,Enforcements!$C$3:$J$26,8,0)</f>
        <v>#N/A</v>
      </c>
      <c r="AA61" s="76" t="e">
        <f>VLOOKUP(A61,Enforcements!$C$3:$J$26,3,0)</f>
        <v>#N/A</v>
      </c>
    </row>
    <row r="62" spans="1:27" s="2" customFormat="1" x14ac:dyDescent="0.25">
      <c r="A62" s="61" t="s">
        <v>276</v>
      </c>
      <c r="B62" s="61">
        <v>4019</v>
      </c>
      <c r="C62" s="61" t="s">
        <v>83</v>
      </c>
      <c r="D62" s="61" t="s">
        <v>135</v>
      </c>
      <c r="E62" s="30">
        <v>42498.483530092592</v>
      </c>
      <c r="F62" s="30">
        <v>42498.484768518516</v>
      </c>
      <c r="G62" s="38">
        <v>1</v>
      </c>
      <c r="H62" s="30" t="s">
        <v>211</v>
      </c>
      <c r="I62" s="30">
        <v>42498.51258101852</v>
      </c>
      <c r="J62" s="61">
        <v>0</v>
      </c>
      <c r="K62" s="61" t="str">
        <f t="shared" si="21"/>
        <v>4019/4020</v>
      </c>
      <c r="L62" s="61" t="str">
        <f>VLOOKUP(A62,'Trips&amp;Operators'!$C$1:$E$9999,3,FALSE)</f>
        <v>BRANNON</v>
      </c>
      <c r="M62" s="12">
        <f t="shared" si="22"/>
        <v>2.7812500004074536E-2</v>
      </c>
      <c r="N62" s="13">
        <f t="shared" si="2"/>
        <v>40.050000005867332</v>
      </c>
      <c r="O62" s="13"/>
      <c r="P62" s="13"/>
      <c r="Q62" s="62"/>
      <c r="R62" s="62"/>
      <c r="T6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11:35:17-0600',mode:absolute,to:'2016-05-08 12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2" s="75" t="str">
        <f t="shared" si="9"/>
        <v>N</v>
      </c>
      <c r="V62" s="75">
        <f t="shared" si="17"/>
        <v>1</v>
      </c>
      <c r="W62" s="75">
        <f t="shared" si="10"/>
        <v>23.299299999999999</v>
      </c>
      <c r="X62" s="75">
        <f t="shared" si="11"/>
        <v>1.34E-2</v>
      </c>
      <c r="Y62" s="75">
        <f t="shared" si="12"/>
        <v>23.285899999999998</v>
      </c>
      <c r="Z62" s="76" t="e">
        <f>VLOOKUP(A62,Enforcements!$C$3:$J$26,8,0)</f>
        <v>#N/A</v>
      </c>
      <c r="AA62" s="76" t="e">
        <f>VLOOKUP(A62,Enforcements!$C$3:$J$26,3,0)</f>
        <v>#N/A</v>
      </c>
    </row>
    <row r="63" spans="1:27" s="2" customFormat="1" x14ac:dyDescent="0.25">
      <c r="A63" s="61" t="s">
        <v>277</v>
      </c>
      <c r="B63" s="61">
        <v>4014</v>
      </c>
      <c r="C63" s="61" t="s">
        <v>83</v>
      </c>
      <c r="D63" s="61" t="s">
        <v>86</v>
      </c>
      <c r="E63" s="30">
        <v>42498.452766203707</v>
      </c>
      <c r="F63" s="30">
        <v>42498.453877314816</v>
      </c>
      <c r="G63" s="38">
        <v>1</v>
      </c>
      <c r="H63" s="30" t="s">
        <v>172</v>
      </c>
      <c r="I63" s="30">
        <v>42498.487395833334</v>
      </c>
      <c r="J63" s="61">
        <v>1</v>
      </c>
      <c r="K63" s="61" t="str">
        <f t="shared" si="21"/>
        <v>4013/4014</v>
      </c>
      <c r="L63" s="61" t="str">
        <f>VLOOKUP(A63,'Trips&amp;Operators'!$C$1:$E$9999,3,FALSE)</f>
        <v>BRABO</v>
      </c>
      <c r="M63" s="12">
        <f t="shared" si="22"/>
        <v>3.3518518517666962E-2</v>
      </c>
      <c r="N63" s="13">
        <f t="shared" si="2"/>
        <v>48.266666665440425</v>
      </c>
      <c r="O63" s="13"/>
      <c r="P63" s="13"/>
      <c r="Q63" s="62"/>
      <c r="R63" s="62"/>
      <c r="T6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10:50:59-0600',mode:absolute,to:'2016-05-08 11:42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63" s="75" t="str">
        <f t="shared" si="9"/>
        <v>N</v>
      </c>
      <c r="V63" s="75">
        <f t="shared" si="17"/>
        <v>1</v>
      </c>
      <c r="W63" s="75">
        <f t="shared" si="10"/>
        <v>4.6699999999999998E-2</v>
      </c>
      <c r="X63" s="75">
        <f t="shared" si="11"/>
        <v>23.3278</v>
      </c>
      <c r="Y63" s="75">
        <f t="shared" si="12"/>
        <v>23.281099999999999</v>
      </c>
      <c r="Z63" s="76">
        <f>VLOOKUP(A63,Enforcements!$C$3:$J$26,8,0)</f>
        <v>183829</v>
      </c>
      <c r="AA63" s="76" t="str">
        <f>VLOOKUP(A63,Enforcements!$C$3:$J$26,3,0)</f>
        <v>PERMANENT SPEED RESTRICTION</v>
      </c>
    </row>
    <row r="64" spans="1:27" s="2" customFormat="1" x14ac:dyDescent="0.25">
      <c r="A64" s="61" t="s">
        <v>278</v>
      </c>
      <c r="B64" s="61">
        <v>4013</v>
      </c>
      <c r="C64" s="61" t="s">
        <v>83</v>
      </c>
      <c r="D64" s="61" t="s">
        <v>279</v>
      </c>
      <c r="E64" s="30">
        <v>42498.492094907408</v>
      </c>
      <c r="F64" s="30">
        <v>42498.493379629632</v>
      </c>
      <c r="G64" s="38">
        <v>1</v>
      </c>
      <c r="H64" s="30" t="s">
        <v>118</v>
      </c>
      <c r="I64" s="30">
        <v>42498.528414351851</v>
      </c>
      <c r="J64" s="61">
        <v>1</v>
      </c>
      <c r="K64" s="61" t="str">
        <f t="shared" si="21"/>
        <v>4013/4014</v>
      </c>
      <c r="L64" s="61" t="str">
        <f>VLOOKUP(A64,'Trips&amp;Operators'!$C$1:$E$9999,3,FALSE)</f>
        <v>BRABO</v>
      </c>
      <c r="M64" s="12">
        <f t="shared" si="22"/>
        <v>3.5034722219279502E-2</v>
      </c>
      <c r="N64" s="13">
        <f t="shared" si="2"/>
        <v>50.449999995762482</v>
      </c>
      <c r="O64" s="13"/>
      <c r="P64" s="13"/>
      <c r="Q64" s="62"/>
      <c r="R64" s="62"/>
      <c r="T6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11:47:37-0600',mode:absolute,to:'2016-05-08 12:41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4" s="75" t="str">
        <f t="shared" si="9"/>
        <v>N</v>
      </c>
      <c r="V64" s="75">
        <f t="shared" si="17"/>
        <v>1</v>
      </c>
      <c r="W64" s="75">
        <f t="shared" si="10"/>
        <v>23.294799999999999</v>
      </c>
      <c r="X64" s="75">
        <f t="shared" si="11"/>
        <v>1.5800000000000002E-2</v>
      </c>
      <c r="Y64" s="75">
        <f t="shared" si="12"/>
        <v>23.279</v>
      </c>
      <c r="Z64" s="76">
        <f>VLOOKUP(A64,Enforcements!$C$3:$J$26,8,0)</f>
        <v>30562</v>
      </c>
      <c r="AA64" s="76" t="str">
        <f>VLOOKUP(A64,Enforcements!$C$3:$J$26,3,0)</f>
        <v>PERMANENT SPEED RESTRICTION</v>
      </c>
    </row>
    <row r="65" spans="1:27" s="2" customFormat="1" x14ac:dyDescent="0.25">
      <c r="A65" s="61" t="s">
        <v>280</v>
      </c>
      <c r="B65" s="61">
        <v>4040</v>
      </c>
      <c r="C65" s="61" t="s">
        <v>83</v>
      </c>
      <c r="D65" s="61" t="s">
        <v>120</v>
      </c>
      <c r="E65" s="30">
        <v>42498.462291666663</v>
      </c>
      <c r="F65" s="30">
        <v>42498.463518518518</v>
      </c>
      <c r="G65" s="38">
        <v>1</v>
      </c>
      <c r="H65" s="30" t="s">
        <v>104</v>
      </c>
      <c r="I65" s="30">
        <v>42498.493923611109</v>
      </c>
      <c r="J65" s="61">
        <v>0</v>
      </c>
      <c r="K65" s="61" t="str">
        <f t="shared" si="21"/>
        <v>4039/4040</v>
      </c>
      <c r="L65" s="61" t="str">
        <f>VLOOKUP(A65,'Trips&amp;Operators'!$C$1:$E$9999,3,FALSE)</f>
        <v>RIVERA</v>
      </c>
      <c r="M65" s="12">
        <f t="shared" si="22"/>
        <v>3.0405092591536231E-2</v>
      </c>
      <c r="N65" s="13">
        <f t="shared" si="2"/>
        <v>43.783333331812173</v>
      </c>
      <c r="O65" s="13"/>
      <c r="P65" s="13"/>
      <c r="Q65" s="62"/>
      <c r="R65" s="62"/>
      <c r="T6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11:04:42-0600',mode:absolute,to:'2016-05-08 11:52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5" s="75" t="str">
        <f t="shared" si="9"/>
        <v>N</v>
      </c>
      <c r="V65" s="75">
        <f t="shared" si="17"/>
        <v>1</v>
      </c>
      <c r="W65" s="75">
        <f t="shared" si="10"/>
        <v>4.53E-2</v>
      </c>
      <c r="X65" s="75">
        <f t="shared" si="11"/>
        <v>23.330400000000001</v>
      </c>
      <c r="Y65" s="75">
        <f t="shared" si="12"/>
        <v>23.2851</v>
      </c>
      <c r="Z65" s="76" t="e">
        <f>VLOOKUP(A65,Enforcements!$C$3:$J$26,8,0)</f>
        <v>#N/A</v>
      </c>
      <c r="AA65" s="76" t="e">
        <f>VLOOKUP(A65,Enforcements!$C$3:$J$26,3,0)</f>
        <v>#N/A</v>
      </c>
    </row>
    <row r="66" spans="1:27" s="2" customFormat="1" x14ac:dyDescent="0.25">
      <c r="A66" s="61" t="s">
        <v>281</v>
      </c>
      <c r="B66" s="61">
        <v>4039</v>
      </c>
      <c r="C66" s="61" t="s">
        <v>83</v>
      </c>
      <c r="D66" s="61" t="s">
        <v>168</v>
      </c>
      <c r="E66" s="30">
        <v>42498.503912037035</v>
      </c>
      <c r="F66" s="30">
        <v>42498.504814814813</v>
      </c>
      <c r="G66" s="38">
        <v>1</v>
      </c>
      <c r="H66" s="30" t="s">
        <v>111</v>
      </c>
      <c r="I66" s="30">
        <v>42498.533518518518</v>
      </c>
      <c r="J66" s="61">
        <v>0</v>
      </c>
      <c r="K66" s="61" t="str">
        <f t="shared" si="21"/>
        <v>4039/4040</v>
      </c>
      <c r="L66" s="61" t="str">
        <f>VLOOKUP(A66,'Trips&amp;Operators'!$C$1:$E$9999,3,FALSE)</f>
        <v>RIVERA</v>
      </c>
      <c r="M66" s="12">
        <f t="shared" si="22"/>
        <v>2.8703703705104999E-2</v>
      </c>
      <c r="N66" s="13">
        <f t="shared" si="2"/>
        <v>41.333333335351199</v>
      </c>
      <c r="O66" s="13"/>
      <c r="P66" s="13"/>
      <c r="Q66" s="62"/>
      <c r="R66" s="62"/>
      <c r="T6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12:04:38-0600',mode:absolute,to:'2016-05-08 12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6" s="75" t="str">
        <f t="shared" si="9"/>
        <v>N</v>
      </c>
      <c r="V66" s="75">
        <f t="shared" si="17"/>
        <v>1</v>
      </c>
      <c r="W66" s="75">
        <f t="shared" si="10"/>
        <v>23.298300000000001</v>
      </c>
      <c r="X66" s="75">
        <f t="shared" si="11"/>
        <v>1.3599999999999999E-2</v>
      </c>
      <c r="Y66" s="75">
        <f t="shared" si="12"/>
        <v>23.284700000000001</v>
      </c>
      <c r="Z66" s="76" t="e">
        <f>VLOOKUP(A66,Enforcements!$C$3:$J$26,8,0)</f>
        <v>#N/A</v>
      </c>
      <c r="AA66" s="76" t="e">
        <f>VLOOKUP(A66,Enforcements!$C$3:$J$26,3,0)</f>
        <v>#N/A</v>
      </c>
    </row>
    <row r="67" spans="1:27" s="2" customFormat="1" x14ac:dyDescent="0.25">
      <c r="A67" s="61" t="s">
        <v>282</v>
      </c>
      <c r="B67" s="61">
        <v>4029</v>
      </c>
      <c r="C67" s="61" t="s">
        <v>83</v>
      </c>
      <c r="D67" s="61" t="s">
        <v>268</v>
      </c>
      <c r="E67" s="30">
        <v>42498.475601851853</v>
      </c>
      <c r="F67" s="30">
        <v>42498.4765162037</v>
      </c>
      <c r="G67" s="38">
        <v>1</v>
      </c>
      <c r="H67" s="30" t="s">
        <v>125</v>
      </c>
      <c r="I67" s="30">
        <v>42498.504224537035</v>
      </c>
      <c r="J67" s="61">
        <v>1</v>
      </c>
      <c r="K67" s="61" t="str">
        <f t="shared" si="21"/>
        <v>4029/4030</v>
      </c>
      <c r="L67" s="61" t="str">
        <f>VLOOKUP(A67,'Trips&amp;Operators'!$C$1:$E$9999,3,FALSE)</f>
        <v>BONDS</v>
      </c>
      <c r="M67" s="12">
        <f t="shared" si="22"/>
        <v>2.7708333334885538E-2</v>
      </c>
      <c r="N67" s="13">
        <f t="shared" si="2"/>
        <v>39.900000002235174</v>
      </c>
      <c r="O67" s="13"/>
      <c r="P67" s="13"/>
      <c r="Q67" s="62"/>
      <c r="R67" s="62"/>
      <c r="T6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11:23:52-0600',mode:absolute,to:'2016-05-08 12:07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7" s="75" t="str">
        <f t="shared" si="9"/>
        <v>N</v>
      </c>
      <c r="V67" s="75">
        <f t="shared" si="17"/>
        <v>1</v>
      </c>
      <c r="W67" s="75">
        <f t="shared" si="10"/>
        <v>4.6199999999999998E-2</v>
      </c>
      <c r="X67" s="75">
        <f t="shared" si="11"/>
        <v>23.329899999999999</v>
      </c>
      <c r="Y67" s="75">
        <f t="shared" si="12"/>
        <v>23.2837</v>
      </c>
      <c r="Z67" s="76">
        <f>VLOOKUP(A67,Enforcements!$C$3:$J$26,8,0)</f>
        <v>233491</v>
      </c>
      <c r="AA67" s="76" t="str">
        <f>VLOOKUP(A67,Enforcements!$C$3:$J$26,3,0)</f>
        <v>TRACK WARRANT AUTHORITY</v>
      </c>
    </row>
    <row r="68" spans="1:27" s="2" customFormat="1" x14ac:dyDescent="0.25">
      <c r="A68" s="61" t="s">
        <v>283</v>
      </c>
      <c r="B68" s="61">
        <v>4030</v>
      </c>
      <c r="C68" s="61" t="s">
        <v>83</v>
      </c>
      <c r="D68" s="61" t="s">
        <v>171</v>
      </c>
      <c r="E68" s="30">
        <v>42498.506377314814</v>
      </c>
      <c r="F68" s="30">
        <v>42498.507268518515</v>
      </c>
      <c r="G68" s="38">
        <v>1</v>
      </c>
      <c r="H68" s="30" t="s">
        <v>170</v>
      </c>
      <c r="I68" s="30">
        <v>42498.543692129628</v>
      </c>
      <c r="J68" s="61">
        <v>1</v>
      </c>
      <c r="K68" s="61" t="str">
        <f t="shared" si="21"/>
        <v>4029/4030</v>
      </c>
      <c r="L68" s="61" t="str">
        <f>VLOOKUP(A68,'Trips&amp;Operators'!$C$1:$E$9999,3,FALSE)</f>
        <v>BONDS</v>
      </c>
      <c r="M68" s="12">
        <f t="shared" si="22"/>
        <v>3.6423611112695653E-2</v>
      </c>
      <c r="N68" s="13">
        <f t="shared" si="2"/>
        <v>52.45000000228174</v>
      </c>
      <c r="O68" s="13"/>
      <c r="P68" s="13"/>
      <c r="Q68" s="62"/>
      <c r="R68" s="62"/>
      <c r="T6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12:08:11-0600',mode:absolute,to:'2016-05-08 13:03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8" s="75" t="str">
        <f t="shared" si="9"/>
        <v>N</v>
      </c>
      <c r="V68" s="75">
        <f t="shared" ref="V68:V131" si="23">VALUE(LEFT(A68,3))-VALUE(LEFT(A67,3))</f>
        <v>1</v>
      </c>
      <c r="W68" s="75">
        <f t="shared" si="10"/>
        <v>23.295500000000001</v>
      </c>
      <c r="X68" s="75">
        <f t="shared" si="11"/>
        <v>1.3899999999999999E-2</v>
      </c>
      <c r="Y68" s="75">
        <f t="shared" si="12"/>
        <v>23.281600000000001</v>
      </c>
      <c r="Z68" s="76">
        <f>VLOOKUP(A68,Enforcements!$C$3:$J$26,8,0)</f>
        <v>1</v>
      </c>
      <c r="AA68" s="76" t="str">
        <f>VLOOKUP(A68,Enforcements!$C$3:$J$26,3,0)</f>
        <v>TRACK WARRANT AUTHORITY</v>
      </c>
    </row>
    <row r="69" spans="1:27" s="2" customFormat="1" x14ac:dyDescent="0.25">
      <c r="A69" s="61" t="s">
        <v>284</v>
      </c>
      <c r="B69" s="61">
        <v>4025</v>
      </c>
      <c r="C69" s="61" t="s">
        <v>83</v>
      </c>
      <c r="D69" s="61" t="s">
        <v>109</v>
      </c>
      <c r="E69" s="30">
        <v>42498.483807870369</v>
      </c>
      <c r="F69" s="30">
        <v>42498.484965277778</v>
      </c>
      <c r="G69" s="38">
        <v>1</v>
      </c>
      <c r="H69" s="30" t="s">
        <v>127</v>
      </c>
      <c r="I69" s="30">
        <v>42498.514444444445</v>
      </c>
      <c r="J69" s="61">
        <v>0</v>
      </c>
      <c r="K69" s="61" t="str">
        <f t="shared" si="21"/>
        <v>4025/4026</v>
      </c>
      <c r="L69" s="61" t="str">
        <f>VLOOKUP(A69,'Trips&amp;Operators'!$C$1:$E$9999,3,FALSE)</f>
        <v>GOODNIGHT</v>
      </c>
      <c r="M69" s="12">
        <f t="shared" si="22"/>
        <v>2.9479166667442769E-2</v>
      </c>
      <c r="N69" s="13">
        <f t="shared" si="2"/>
        <v>42.450000001117587</v>
      </c>
      <c r="O69" s="13"/>
      <c r="P69" s="13"/>
      <c r="Q69" s="62"/>
      <c r="R69" s="62"/>
      <c r="T6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11:35:41-0600',mode:absolute,to:'2016-05-08 12:21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69" s="75" t="str">
        <f t="shared" si="9"/>
        <v>N</v>
      </c>
      <c r="V69" s="75">
        <f t="shared" si="23"/>
        <v>1</v>
      </c>
      <c r="W69" s="75">
        <f t="shared" si="10"/>
        <v>4.4699999999999997E-2</v>
      </c>
      <c r="X69" s="75">
        <f t="shared" si="11"/>
        <v>23.331199999999999</v>
      </c>
      <c r="Y69" s="75">
        <f t="shared" si="12"/>
        <v>23.2865</v>
      </c>
      <c r="Z69" s="76" t="e">
        <f>VLOOKUP(A69,Enforcements!$C$3:$J$26,8,0)</f>
        <v>#N/A</v>
      </c>
      <c r="AA69" s="76" t="e">
        <f>VLOOKUP(A69,Enforcements!$C$3:$J$26,3,0)</f>
        <v>#N/A</v>
      </c>
    </row>
    <row r="70" spans="1:27" s="2" customFormat="1" x14ac:dyDescent="0.25">
      <c r="A70" s="61" t="s">
        <v>285</v>
      </c>
      <c r="B70" s="61">
        <v>4026</v>
      </c>
      <c r="C70" s="61" t="s">
        <v>83</v>
      </c>
      <c r="D70" s="61" t="s">
        <v>121</v>
      </c>
      <c r="E70" s="30">
        <v>42498.526041666664</v>
      </c>
      <c r="F70" s="30">
        <v>42498.526944444442</v>
      </c>
      <c r="G70" s="38">
        <v>1</v>
      </c>
      <c r="H70" s="30" t="s">
        <v>252</v>
      </c>
      <c r="I70" s="30">
        <v>42498.554108796299</v>
      </c>
      <c r="J70" s="61">
        <v>0</v>
      </c>
      <c r="K70" s="61" t="str">
        <f t="shared" si="21"/>
        <v>4025/4026</v>
      </c>
      <c r="L70" s="61" t="str">
        <f>VLOOKUP(A70,'Trips&amp;Operators'!$C$1:$E$9999,3,FALSE)</f>
        <v>GOODNIGHT</v>
      </c>
      <c r="M70" s="12">
        <f t="shared" si="22"/>
        <v>2.7164351857209112E-2</v>
      </c>
      <c r="N70" s="13">
        <f t="shared" si="2"/>
        <v>39.116666674381122</v>
      </c>
      <c r="O70" s="13"/>
      <c r="P70" s="13"/>
      <c r="Q70" s="62"/>
      <c r="R70" s="62"/>
      <c r="T7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12:36:30-0600',mode:absolute,to:'2016-05-08 13:18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0" s="75" t="str">
        <f t="shared" si="9"/>
        <v>N</v>
      </c>
      <c r="V70" s="75">
        <f t="shared" si="23"/>
        <v>1</v>
      </c>
      <c r="W70" s="75">
        <f t="shared" si="10"/>
        <v>23.299800000000001</v>
      </c>
      <c r="X70" s="75">
        <f t="shared" si="11"/>
        <v>1.47E-2</v>
      </c>
      <c r="Y70" s="75">
        <f t="shared" si="12"/>
        <v>23.2851</v>
      </c>
      <c r="Z70" s="76" t="e">
        <f>VLOOKUP(A70,Enforcements!$C$3:$J$26,8,0)</f>
        <v>#N/A</v>
      </c>
      <c r="AA70" s="76" t="e">
        <f>VLOOKUP(A70,Enforcements!$C$3:$J$26,3,0)</f>
        <v>#N/A</v>
      </c>
    </row>
    <row r="71" spans="1:27" s="2" customFormat="1" x14ac:dyDescent="0.25">
      <c r="A71" s="61" t="s">
        <v>286</v>
      </c>
      <c r="B71" s="61">
        <v>4016</v>
      </c>
      <c r="C71" s="61" t="s">
        <v>83</v>
      </c>
      <c r="D71" s="61" t="s">
        <v>116</v>
      </c>
      <c r="E71" s="30">
        <v>42498.495497685188</v>
      </c>
      <c r="F71" s="30">
        <v>42498.496562499997</v>
      </c>
      <c r="G71" s="38">
        <v>1</v>
      </c>
      <c r="H71" s="30" t="s">
        <v>167</v>
      </c>
      <c r="I71" s="30">
        <v>42498.525034722225</v>
      </c>
      <c r="J71" s="61">
        <v>0</v>
      </c>
      <c r="K71" s="61" t="str">
        <f t="shared" si="21"/>
        <v>4015/4016</v>
      </c>
      <c r="L71" s="61" t="str">
        <f>VLOOKUP(A71,'Trips&amp;Operators'!$C$1:$E$9999,3,FALSE)</f>
        <v>ACKERMAN</v>
      </c>
      <c r="M71" s="12">
        <f t="shared" si="22"/>
        <v>2.8472222227719612E-2</v>
      </c>
      <c r="N71" s="13">
        <f t="shared" si="2"/>
        <v>41.000000007916242</v>
      </c>
      <c r="O71" s="13"/>
      <c r="P71" s="13"/>
      <c r="Q71" s="62"/>
      <c r="R71" s="62"/>
      <c r="T7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11:52:31-0600',mode:absolute,to:'2016-05-08 12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1" s="75" t="str">
        <f t="shared" si="9"/>
        <v>N</v>
      </c>
      <c r="V71" s="75">
        <f t="shared" si="23"/>
        <v>1</v>
      </c>
      <c r="W71" s="75">
        <f t="shared" si="10"/>
        <v>4.5499999999999999E-2</v>
      </c>
      <c r="X71" s="75">
        <f t="shared" si="11"/>
        <v>23.332000000000001</v>
      </c>
      <c r="Y71" s="75">
        <f t="shared" si="12"/>
        <v>23.2865</v>
      </c>
      <c r="Z71" s="76" t="e">
        <f>VLOOKUP(A71,Enforcements!$C$3:$J$26,8,0)</f>
        <v>#N/A</v>
      </c>
      <c r="AA71" s="76" t="e">
        <f>VLOOKUP(A71,Enforcements!$C$3:$J$26,3,0)</f>
        <v>#N/A</v>
      </c>
    </row>
    <row r="72" spans="1:27" s="2" customFormat="1" x14ac:dyDescent="0.25">
      <c r="A72" s="61" t="s">
        <v>287</v>
      </c>
      <c r="B72" s="61">
        <v>4015</v>
      </c>
      <c r="C72" s="61" t="s">
        <v>83</v>
      </c>
      <c r="D72" s="61" t="s">
        <v>175</v>
      </c>
      <c r="E72" s="30">
        <v>42498.533784722225</v>
      </c>
      <c r="F72" s="30">
        <v>42498.534791666665</v>
      </c>
      <c r="G72" s="38">
        <v>1</v>
      </c>
      <c r="H72" s="30" t="s">
        <v>96</v>
      </c>
      <c r="I72" s="30">
        <v>42498.565243055556</v>
      </c>
      <c r="J72" s="61">
        <v>0</v>
      </c>
      <c r="K72" s="61" t="str">
        <f t="shared" si="21"/>
        <v>4015/4016</v>
      </c>
      <c r="L72" s="61" t="str">
        <f>VLOOKUP(A72,'Trips&amp;Operators'!$C$1:$E$9999,3,FALSE)</f>
        <v>ACKERMAN</v>
      </c>
      <c r="M72" s="12">
        <f t="shared" si="22"/>
        <v>3.0451388891378883E-2</v>
      </c>
      <c r="N72" s="13">
        <f t="shared" si="2"/>
        <v>43.850000003585592</v>
      </c>
      <c r="O72" s="13"/>
      <c r="P72" s="13"/>
      <c r="Q72" s="62"/>
      <c r="R72" s="62"/>
      <c r="T7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12:47:39-0600',mode:absolute,to:'2016-05-08 13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2" s="75" t="str">
        <f t="shared" si="9"/>
        <v>N</v>
      </c>
      <c r="V72" s="75">
        <f t="shared" si="23"/>
        <v>1</v>
      </c>
      <c r="W72" s="75">
        <f t="shared" si="10"/>
        <v>23.298999999999999</v>
      </c>
      <c r="X72" s="75">
        <f t="shared" si="11"/>
        <v>1.43E-2</v>
      </c>
      <c r="Y72" s="75">
        <f t="shared" si="12"/>
        <v>23.284700000000001</v>
      </c>
      <c r="Z72" s="76" t="e">
        <f>VLOOKUP(A72,Enforcements!$C$3:$J$26,8,0)</f>
        <v>#N/A</v>
      </c>
      <c r="AA72" s="76" t="e">
        <f>VLOOKUP(A72,Enforcements!$C$3:$J$26,3,0)</f>
        <v>#N/A</v>
      </c>
    </row>
    <row r="73" spans="1:27" s="2" customFormat="1" x14ac:dyDescent="0.25">
      <c r="A73" s="61" t="s">
        <v>288</v>
      </c>
      <c r="B73" s="61">
        <v>4018</v>
      </c>
      <c r="C73" s="61" t="s">
        <v>83</v>
      </c>
      <c r="D73" s="61" t="s">
        <v>97</v>
      </c>
      <c r="E73" s="30">
        <v>42498.510023148148</v>
      </c>
      <c r="F73" s="30">
        <v>42498.511261574073</v>
      </c>
      <c r="G73" s="38">
        <v>1</v>
      </c>
      <c r="H73" s="30" t="s">
        <v>104</v>
      </c>
      <c r="I73" s="30">
        <v>42498.536793981482</v>
      </c>
      <c r="J73" s="61">
        <v>1</v>
      </c>
      <c r="K73" s="61" t="str">
        <f t="shared" si="21"/>
        <v>4017/4018</v>
      </c>
      <c r="L73" s="61" t="str">
        <f>VLOOKUP(A73,'Trips&amp;Operators'!$C$1:$E$9999,3,FALSE)</f>
        <v>STEWART</v>
      </c>
      <c r="M73" s="12">
        <f t="shared" si="22"/>
        <v>2.5532407409627922E-2</v>
      </c>
      <c r="N73" s="13">
        <f t="shared" si="2"/>
        <v>36.766666669864208</v>
      </c>
      <c r="O73" s="13"/>
      <c r="P73" s="13"/>
      <c r="Q73" s="62"/>
      <c r="R73" s="62"/>
      <c r="T7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12:13:26-0600',mode:absolute,to:'2016-05-08 12:53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3" s="75" t="str">
        <f t="shared" si="9"/>
        <v>N</v>
      </c>
      <c r="V73" s="75">
        <f t="shared" si="23"/>
        <v>1</v>
      </c>
      <c r="W73" s="75">
        <f t="shared" si="10"/>
        <v>4.5699999999999998E-2</v>
      </c>
      <c r="X73" s="75">
        <f t="shared" si="11"/>
        <v>23.330400000000001</v>
      </c>
      <c r="Y73" s="75">
        <f t="shared" si="12"/>
        <v>23.284700000000001</v>
      </c>
      <c r="Z73" s="76">
        <f>VLOOKUP(A73,Enforcements!$C$3:$J$26,8,0)</f>
        <v>232107</v>
      </c>
      <c r="AA73" s="76" t="str">
        <f>VLOOKUP(A73,Enforcements!$C$3:$J$26,3,0)</f>
        <v>PERMANENT SPEED RESTRICTION</v>
      </c>
    </row>
    <row r="74" spans="1:27" s="2" customFormat="1" x14ac:dyDescent="0.25">
      <c r="A74" s="61" t="s">
        <v>289</v>
      </c>
      <c r="B74" s="61">
        <v>4017</v>
      </c>
      <c r="C74" s="61" t="s">
        <v>83</v>
      </c>
      <c r="D74" s="61" t="s">
        <v>105</v>
      </c>
      <c r="E74" s="30">
        <v>42498.546331018515</v>
      </c>
      <c r="F74" s="30">
        <v>42498.547638888886</v>
      </c>
      <c r="G74" s="38">
        <v>1</v>
      </c>
      <c r="H74" s="30" t="s">
        <v>252</v>
      </c>
      <c r="I74" s="30">
        <v>42498.57603009259</v>
      </c>
      <c r="J74" s="61">
        <v>0</v>
      </c>
      <c r="K74" s="61" t="str">
        <f t="shared" si="21"/>
        <v>4017/4018</v>
      </c>
      <c r="L74" s="61" t="str">
        <f>VLOOKUP(A74,'Trips&amp;Operators'!$C$1:$E$9999,3,FALSE)</f>
        <v>STEWART</v>
      </c>
      <c r="M74" s="12">
        <f t="shared" si="22"/>
        <v>2.8391203704813961E-2</v>
      </c>
      <c r="N74" s="13">
        <f t="shared" si="2"/>
        <v>40.883333334932104</v>
      </c>
      <c r="O74" s="13"/>
      <c r="P74" s="13"/>
      <c r="Q74" s="62"/>
      <c r="R74" s="62"/>
      <c r="T7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13:05:43-0600',mode:absolute,to:'2016-05-08 13:50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4" s="75" t="str">
        <f t="shared" si="9"/>
        <v>N</v>
      </c>
      <c r="V74" s="75">
        <f t="shared" si="23"/>
        <v>1</v>
      </c>
      <c r="W74" s="75">
        <f t="shared" si="10"/>
        <v>23.2989</v>
      </c>
      <c r="X74" s="75">
        <f t="shared" si="11"/>
        <v>1.47E-2</v>
      </c>
      <c r="Y74" s="75">
        <f t="shared" si="12"/>
        <v>23.284199999999998</v>
      </c>
      <c r="Z74" s="76" t="e">
        <f>VLOOKUP(A74,Enforcements!$C$3:$J$26,8,0)</f>
        <v>#N/A</v>
      </c>
      <c r="AA74" s="76" t="e">
        <f>VLOOKUP(A74,Enforcements!$C$3:$J$26,3,0)</f>
        <v>#N/A</v>
      </c>
    </row>
    <row r="75" spans="1:27" s="2" customFormat="1" x14ac:dyDescent="0.25">
      <c r="A75" s="61" t="s">
        <v>290</v>
      </c>
      <c r="B75" s="61">
        <v>4020</v>
      </c>
      <c r="C75" s="61" t="s">
        <v>83</v>
      </c>
      <c r="D75" s="61" t="s">
        <v>103</v>
      </c>
      <c r="E75" s="30">
        <v>42498.518877314818</v>
      </c>
      <c r="F75" s="30">
        <v>42498.519814814812</v>
      </c>
      <c r="G75" s="38">
        <v>1</v>
      </c>
      <c r="H75" s="30" t="s">
        <v>122</v>
      </c>
      <c r="I75" s="30">
        <v>42498.545914351853</v>
      </c>
      <c r="J75" s="61">
        <v>1</v>
      </c>
      <c r="K75" s="61" t="str">
        <f t="shared" si="21"/>
        <v>4019/4020</v>
      </c>
      <c r="L75" s="61" t="str">
        <f>VLOOKUP(A75,'Trips&amp;Operators'!$C$1:$E$9999,3,FALSE)</f>
        <v>BRANNON</v>
      </c>
      <c r="M75" s="12">
        <f t="shared" si="22"/>
        <v>2.6099537040863652E-2</v>
      </c>
      <c r="N75" s="13">
        <f t="shared" si="2"/>
        <v>37.583333338843659</v>
      </c>
      <c r="O75" s="13"/>
      <c r="P75" s="13"/>
      <c r="Q75" s="62"/>
      <c r="R75" s="62"/>
      <c r="T7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12:26:11-0600',mode:absolute,to:'2016-05-08 13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5" s="75" t="str">
        <f t="shared" si="9"/>
        <v>N</v>
      </c>
      <c r="V75" s="75">
        <f t="shared" si="23"/>
        <v>1</v>
      </c>
      <c r="W75" s="75">
        <f t="shared" si="10"/>
        <v>4.4900000000000002E-2</v>
      </c>
      <c r="X75" s="75">
        <f t="shared" si="11"/>
        <v>23.328900000000001</v>
      </c>
      <c r="Y75" s="75">
        <f t="shared" si="12"/>
        <v>23.284000000000002</v>
      </c>
      <c r="Z75" s="76">
        <f>VLOOKUP(A75,Enforcements!$C$3:$J$26,8,0)</f>
        <v>224578</v>
      </c>
      <c r="AA75" s="76" t="str">
        <f>VLOOKUP(A75,Enforcements!$C$3:$J$26,3,0)</f>
        <v>PERMANENT SPEED RESTRICTION</v>
      </c>
    </row>
    <row r="76" spans="1:27" s="2" customFormat="1" x14ac:dyDescent="0.25">
      <c r="A76" s="61" t="s">
        <v>291</v>
      </c>
      <c r="B76" s="61">
        <v>4019</v>
      </c>
      <c r="C76" s="61" t="s">
        <v>83</v>
      </c>
      <c r="D76" s="61" t="s">
        <v>91</v>
      </c>
      <c r="E76" s="30">
        <v>42498.550937499997</v>
      </c>
      <c r="F76" s="30">
        <v>42498.551863425928</v>
      </c>
      <c r="G76" s="38">
        <v>1</v>
      </c>
      <c r="H76" s="30" t="s">
        <v>92</v>
      </c>
      <c r="I76" s="30">
        <v>42498.585196759261</v>
      </c>
      <c r="J76" s="61">
        <v>1</v>
      </c>
      <c r="K76" s="61" t="str">
        <f t="shared" si="21"/>
        <v>4019/4020</v>
      </c>
      <c r="L76" s="61" t="str">
        <f>VLOOKUP(A76,'Trips&amp;Operators'!$C$1:$E$9999,3,FALSE)</f>
        <v>BRANNON</v>
      </c>
      <c r="M76" s="12">
        <f t="shared" si="22"/>
        <v>3.3333333332848269E-2</v>
      </c>
      <c r="N76" s="13">
        <f t="shared" si="2"/>
        <v>47.999999999301508</v>
      </c>
      <c r="O76" s="13"/>
      <c r="P76" s="13"/>
      <c r="Q76" s="62"/>
      <c r="R76" s="62"/>
      <c r="T7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13:12:21-0600',mode:absolute,to:'2016-05-08 14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6" s="75" t="str">
        <f t="shared" si="9"/>
        <v>N</v>
      </c>
      <c r="V76" s="75">
        <f t="shared" si="23"/>
        <v>1</v>
      </c>
      <c r="W76" s="75">
        <f t="shared" si="10"/>
        <v>23.297799999999999</v>
      </c>
      <c r="X76" s="75">
        <f t="shared" si="11"/>
        <v>1.5599999999999999E-2</v>
      </c>
      <c r="Y76" s="75">
        <f t="shared" si="12"/>
        <v>23.2822</v>
      </c>
      <c r="Z76" s="76">
        <f>VLOOKUP(A76,Enforcements!$C$3:$J$26,8,0)</f>
        <v>1</v>
      </c>
      <c r="AA76" s="76" t="str">
        <f>VLOOKUP(A76,Enforcements!$C$3:$J$26,3,0)</f>
        <v>TRACK WARRANT AUTHORITY</v>
      </c>
    </row>
    <row r="77" spans="1:27" s="2" customFormat="1" x14ac:dyDescent="0.25">
      <c r="A77" s="61" t="s">
        <v>292</v>
      </c>
      <c r="B77" s="61">
        <v>4014</v>
      </c>
      <c r="C77" s="61" t="s">
        <v>83</v>
      </c>
      <c r="D77" s="61" t="s">
        <v>138</v>
      </c>
      <c r="E77" s="30">
        <v>42498.530555555553</v>
      </c>
      <c r="F77" s="30">
        <v>42498.53193287037</v>
      </c>
      <c r="G77" s="38">
        <v>1</v>
      </c>
      <c r="H77" s="30" t="s">
        <v>127</v>
      </c>
      <c r="I77" s="30">
        <v>42498.55777777778</v>
      </c>
      <c r="J77" s="61">
        <v>0</v>
      </c>
      <c r="K77" s="61" t="str">
        <f t="shared" si="21"/>
        <v>4013/4014</v>
      </c>
      <c r="L77" s="61" t="str">
        <f>VLOOKUP(A77,'Trips&amp;Operators'!$C$1:$E$9999,3,FALSE)</f>
        <v>WEBSTER</v>
      </c>
      <c r="M77" s="12">
        <f t="shared" si="22"/>
        <v>2.584490740991896E-2</v>
      </c>
      <c r="N77" s="13">
        <f t="shared" si="2"/>
        <v>37.216666670283303</v>
      </c>
      <c r="O77" s="13"/>
      <c r="P77" s="13"/>
      <c r="Q77" s="62"/>
      <c r="R77" s="62"/>
      <c r="T7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12:43:00-0600',mode:absolute,to:'2016-05-08 13:24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7" s="75" t="str">
        <f t="shared" si="9"/>
        <v>N</v>
      </c>
      <c r="V77" s="75">
        <f t="shared" si="23"/>
        <v>1</v>
      </c>
      <c r="W77" s="75">
        <f t="shared" si="10"/>
        <v>4.7800000000000002E-2</v>
      </c>
      <c r="X77" s="75">
        <f t="shared" si="11"/>
        <v>23.331199999999999</v>
      </c>
      <c r="Y77" s="75">
        <f t="shared" si="12"/>
        <v>23.2834</v>
      </c>
      <c r="Z77" s="76" t="e">
        <f>VLOOKUP(A77,Enforcements!$C$3:$J$26,8,0)</f>
        <v>#N/A</v>
      </c>
      <c r="AA77" s="76" t="e">
        <f>VLOOKUP(A77,Enforcements!$C$3:$J$26,3,0)</f>
        <v>#N/A</v>
      </c>
    </row>
    <row r="78" spans="1:27" s="2" customFormat="1" x14ac:dyDescent="0.25">
      <c r="A78" s="61" t="s">
        <v>293</v>
      </c>
      <c r="B78" s="61">
        <v>4013</v>
      </c>
      <c r="C78" s="61" t="s">
        <v>83</v>
      </c>
      <c r="D78" s="61" t="s">
        <v>98</v>
      </c>
      <c r="E78" s="30">
        <v>42498.566412037035</v>
      </c>
      <c r="F78" s="30">
        <v>42498.567280092589</v>
      </c>
      <c r="G78" s="38">
        <v>1</v>
      </c>
      <c r="H78" s="30" t="s">
        <v>108</v>
      </c>
      <c r="I78" s="30">
        <v>42498.595983796295</v>
      </c>
      <c r="J78" s="61">
        <v>1</v>
      </c>
      <c r="K78" s="61" t="str">
        <f t="shared" si="21"/>
        <v>4013/4014</v>
      </c>
      <c r="L78" s="61" t="str">
        <f>VLOOKUP(A78,'Trips&amp;Operators'!$C$1:$E$9999,3,FALSE)</f>
        <v>WEBSTER</v>
      </c>
      <c r="M78" s="12">
        <f t="shared" si="22"/>
        <v>2.8703703705104999E-2</v>
      </c>
      <c r="N78" s="13">
        <f t="shared" si="2"/>
        <v>41.333333335351199</v>
      </c>
      <c r="O78" s="13"/>
      <c r="P78" s="13"/>
      <c r="Q78" s="62"/>
      <c r="R78" s="62"/>
      <c r="T7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13:34:38-0600',mode:absolute,to:'2016-05-08 14:19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78" s="75" t="str">
        <f t="shared" si="9"/>
        <v>N</v>
      </c>
      <c r="V78" s="75">
        <f t="shared" si="23"/>
        <v>1</v>
      </c>
      <c r="W78" s="75">
        <f t="shared" si="10"/>
        <v>23.299099999999999</v>
      </c>
      <c r="X78" s="75">
        <f t="shared" si="11"/>
        <v>1.4500000000000001E-2</v>
      </c>
      <c r="Y78" s="75">
        <f t="shared" si="12"/>
        <v>23.284599999999998</v>
      </c>
      <c r="Z78" s="76" t="e">
        <f>VLOOKUP(A78,Enforcements!$C$3:$J$26,8,0)</f>
        <v>#N/A</v>
      </c>
      <c r="AA78" s="76" t="e">
        <f>VLOOKUP(A78,Enforcements!$C$3:$J$26,3,0)</f>
        <v>#N/A</v>
      </c>
    </row>
    <row r="79" spans="1:27" s="2" customFormat="1" x14ac:dyDescent="0.25">
      <c r="A79" s="61" t="s">
        <v>294</v>
      </c>
      <c r="B79" s="61">
        <v>4040</v>
      </c>
      <c r="C79" s="61" t="s">
        <v>83</v>
      </c>
      <c r="D79" s="61" t="s">
        <v>88</v>
      </c>
      <c r="E79" s="30">
        <v>42498.537361111114</v>
      </c>
      <c r="F79" s="30">
        <v>42498.538414351853</v>
      </c>
      <c r="G79" s="38">
        <v>1</v>
      </c>
      <c r="H79" s="30" t="s">
        <v>95</v>
      </c>
      <c r="I79" s="30">
        <v>42498.566307870373</v>
      </c>
      <c r="J79" s="61">
        <v>0</v>
      </c>
      <c r="K79" s="61" t="str">
        <f t="shared" si="21"/>
        <v>4039/4040</v>
      </c>
      <c r="L79" s="61" t="str">
        <f>VLOOKUP(A79,'Trips&amp;Operators'!$C$1:$E$9999,3,FALSE)</f>
        <v>RIVERA</v>
      </c>
      <c r="M79" s="12">
        <f t="shared" si="22"/>
        <v>2.789351851970423E-2</v>
      </c>
      <c r="N79" s="13">
        <f t="shared" si="2"/>
        <v>40.166666668374091</v>
      </c>
      <c r="O79" s="13"/>
      <c r="P79" s="13"/>
      <c r="Q79" s="62"/>
      <c r="R79" s="62"/>
      <c r="T7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12:52:48-0600',mode:absolute,to:'2016-05-08 13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9" s="75" t="str">
        <f t="shared" si="9"/>
        <v>N</v>
      </c>
      <c r="V79" s="75">
        <f t="shared" si="23"/>
        <v>1</v>
      </c>
      <c r="W79" s="75">
        <f t="shared" si="10"/>
        <v>4.4200000000000003E-2</v>
      </c>
      <c r="X79" s="75">
        <f t="shared" si="11"/>
        <v>23.330300000000001</v>
      </c>
      <c r="Y79" s="75">
        <f t="shared" si="12"/>
        <v>23.286100000000001</v>
      </c>
      <c r="Z79" s="76" t="e">
        <f>VLOOKUP(A79,Enforcements!$C$3:$J$26,8,0)</f>
        <v>#N/A</v>
      </c>
      <c r="AA79" s="76" t="e">
        <f>VLOOKUP(A79,Enforcements!$C$3:$J$26,3,0)</f>
        <v>#N/A</v>
      </c>
    </row>
    <row r="80" spans="1:27" s="2" customFormat="1" x14ac:dyDescent="0.25">
      <c r="A80" s="61" t="s">
        <v>295</v>
      </c>
      <c r="B80" s="61">
        <v>4039</v>
      </c>
      <c r="C80" s="61" t="s">
        <v>83</v>
      </c>
      <c r="D80" s="61" t="s">
        <v>110</v>
      </c>
      <c r="E80" s="30">
        <v>42498.575289351851</v>
      </c>
      <c r="F80" s="30">
        <v>42498.576180555552</v>
      </c>
      <c r="G80" s="38">
        <v>1</v>
      </c>
      <c r="H80" s="30" t="s">
        <v>126</v>
      </c>
      <c r="I80" s="30">
        <v>42498.606504629628</v>
      </c>
      <c r="J80" s="61">
        <v>0</v>
      </c>
      <c r="K80" s="61" t="str">
        <f t="shared" si="21"/>
        <v>4039/4040</v>
      </c>
      <c r="L80" s="61" t="str">
        <f>VLOOKUP(A80,'Trips&amp;Operators'!$C$1:$E$9999,3,FALSE)</f>
        <v>RIVERA</v>
      </c>
      <c r="M80" s="12">
        <f t="shared" si="22"/>
        <v>3.0324074075906537E-2</v>
      </c>
      <c r="N80" s="13">
        <f t="shared" si="2"/>
        <v>43.666666669305414</v>
      </c>
      <c r="O80" s="13"/>
      <c r="P80" s="13"/>
      <c r="Q80" s="62"/>
      <c r="R80" s="62"/>
      <c r="T8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13:47:25-0600',mode:absolute,to:'2016-05-08 14:34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0" s="75" t="str">
        <f t="shared" si="9"/>
        <v>N</v>
      </c>
      <c r="V80" s="75">
        <f t="shared" si="23"/>
        <v>1</v>
      </c>
      <c r="W80" s="75">
        <f t="shared" si="10"/>
        <v>23.299199999999999</v>
      </c>
      <c r="X80" s="75">
        <f t="shared" si="11"/>
        <v>1.52E-2</v>
      </c>
      <c r="Y80" s="75">
        <f t="shared" si="12"/>
        <v>23.283999999999999</v>
      </c>
      <c r="Z80" s="76" t="e">
        <f>VLOOKUP(A80,Enforcements!$C$3:$J$26,8,0)</f>
        <v>#N/A</v>
      </c>
      <c r="AA80" s="76" t="e">
        <f>VLOOKUP(A80,Enforcements!$C$3:$J$26,3,0)</f>
        <v>#N/A</v>
      </c>
    </row>
    <row r="81" spans="1:27" s="2" customFormat="1" x14ac:dyDescent="0.25">
      <c r="A81" s="61" t="s">
        <v>296</v>
      </c>
      <c r="B81" s="61">
        <v>4029</v>
      </c>
      <c r="C81" s="61" t="s">
        <v>83</v>
      </c>
      <c r="D81" s="61" t="s">
        <v>97</v>
      </c>
      <c r="E81" s="30">
        <v>42498.548622685186</v>
      </c>
      <c r="F81" s="30">
        <v>42498.549351851849</v>
      </c>
      <c r="G81" s="38">
        <v>1</v>
      </c>
      <c r="H81" s="30" t="s">
        <v>297</v>
      </c>
      <c r="I81" s="30">
        <v>42498.577268518522</v>
      </c>
      <c r="J81" s="61">
        <v>1</v>
      </c>
      <c r="K81" s="61" t="str">
        <f t="shared" ref="K81:K112" si="24">IF(ISEVEN(B81),(B81-1)&amp;"/"&amp;B81,B81&amp;"/"&amp;(B81+1))</f>
        <v>4029/4030</v>
      </c>
      <c r="L81" s="61" t="str">
        <f>VLOOKUP(A81,'Trips&amp;Operators'!$C$1:$E$9999,3,FALSE)</f>
        <v>BONDS</v>
      </c>
      <c r="M81" s="12">
        <f t="shared" ref="M81:M112" si="25">I81-F81</f>
        <v>2.7916666673263535E-2</v>
      </c>
      <c r="N81" s="13">
        <f t="shared" ref="N81:N130" si="26">$M81*24*60</f>
        <v>40.20000000949949</v>
      </c>
      <c r="O81" s="13"/>
      <c r="P81" s="13"/>
      <c r="Q81" s="62"/>
      <c r="R81" s="62"/>
      <c r="T8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13:09:01-0600',mode:absolute,to:'2016-05-08 13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81" s="75" t="str">
        <f t="shared" si="9"/>
        <v>N</v>
      </c>
      <c r="V81" s="75">
        <f t="shared" si="23"/>
        <v>1</v>
      </c>
      <c r="W81" s="75">
        <f t="shared" si="10"/>
        <v>4.5699999999999998E-2</v>
      </c>
      <c r="X81" s="75">
        <f t="shared" si="11"/>
        <v>23.336300000000001</v>
      </c>
      <c r="Y81" s="75">
        <f t="shared" si="12"/>
        <v>23.290600000000001</v>
      </c>
      <c r="Z81" s="76">
        <f>VLOOKUP(A81,Enforcements!$C$3:$J$26,8,0)</f>
        <v>233491</v>
      </c>
      <c r="AA81" s="76" t="str">
        <f>VLOOKUP(A81,Enforcements!$C$3:$J$26,3,0)</f>
        <v>TRACK WARRANT AUTHORITY</v>
      </c>
    </row>
    <row r="82" spans="1:27" s="2" customFormat="1" x14ac:dyDescent="0.25">
      <c r="A82" s="61" t="s">
        <v>298</v>
      </c>
      <c r="B82" s="61">
        <v>4030</v>
      </c>
      <c r="C82" s="61" t="s">
        <v>83</v>
      </c>
      <c r="D82" s="61" t="s">
        <v>299</v>
      </c>
      <c r="E82" s="30">
        <v>42498.582002314812</v>
      </c>
      <c r="F82" s="30">
        <v>42498.582708333335</v>
      </c>
      <c r="G82" s="38">
        <v>1</v>
      </c>
      <c r="H82" s="30" t="s">
        <v>118</v>
      </c>
      <c r="I82" s="30">
        <v>42498.616562499999</v>
      </c>
      <c r="J82" s="61">
        <v>1</v>
      </c>
      <c r="K82" s="61" t="str">
        <f t="shared" si="24"/>
        <v>4029/4030</v>
      </c>
      <c r="L82" s="61" t="str">
        <f>VLOOKUP(A82,'Trips&amp;Operators'!$C$1:$E$9999,3,FALSE)</f>
        <v>BONDS</v>
      </c>
      <c r="M82" s="12">
        <f t="shared" si="25"/>
        <v>3.3854166664241347E-2</v>
      </c>
      <c r="N82" s="13">
        <f t="shared" si="26"/>
        <v>48.74999999650754</v>
      </c>
      <c r="O82" s="13"/>
      <c r="P82" s="13"/>
      <c r="Q82" s="62"/>
      <c r="R82" s="62"/>
      <c r="T82" s="75" t="str">
        <f t="shared" ref="T82:T145" si="27"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https://search-rtdc-monitor-bjffxe2xuh6vdkpspy63sjmuny.us-east-1.es.amazonaws.com/_plugin/kibana/#/discover/Steve-Slow-Train-Analysis-(2080s-and-2083s)?_g=(refreshInterval:(display:Off,section:0,value:0),time:(from:'2016-05-08 13:57:05-0600',mode:absolute,to:'2016-05-08 14:48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2" s="75" t="str">
        <f t="shared" ref="U82:U145" si="28">IF(Y82&lt;23,"Y","N")</f>
        <v>N</v>
      </c>
      <c r="V82" s="75">
        <f t="shared" si="23"/>
        <v>1</v>
      </c>
      <c r="W82" s="75">
        <f t="shared" ref="W82:W145" si="29">RIGHT(D82,LEN(D82)-4)/10000</f>
        <v>23.304300000000001</v>
      </c>
      <c r="X82" s="75">
        <f t="shared" ref="X82:X145" si="30">RIGHT(H82,LEN(H82)-4)/10000</f>
        <v>1.5800000000000002E-2</v>
      </c>
      <c r="Y82" s="75">
        <f t="shared" ref="Y82:Y145" si="31">ABS(X82-W82)</f>
        <v>23.288500000000003</v>
      </c>
      <c r="Z82" s="76" t="e">
        <f>VLOOKUP(A82,Enforcements!$C$3:$J$26,8,0)</f>
        <v>#N/A</v>
      </c>
      <c r="AA82" s="76" t="e">
        <f>VLOOKUP(A82,Enforcements!$C$3:$J$26,3,0)</f>
        <v>#N/A</v>
      </c>
    </row>
    <row r="83" spans="1:27" s="2" customFormat="1" x14ac:dyDescent="0.25">
      <c r="A83" s="61" t="s">
        <v>300</v>
      </c>
      <c r="B83" s="61">
        <v>4025</v>
      </c>
      <c r="C83" s="61" t="s">
        <v>83</v>
      </c>
      <c r="D83" s="61" t="s">
        <v>133</v>
      </c>
      <c r="E83" s="30">
        <v>42498.558541666665</v>
      </c>
      <c r="F83" s="30">
        <v>42498.559351851851</v>
      </c>
      <c r="G83" s="38">
        <v>1</v>
      </c>
      <c r="H83" s="30" t="s">
        <v>301</v>
      </c>
      <c r="I83" s="30">
        <v>42498.587465277778</v>
      </c>
      <c r="J83" s="61">
        <v>0</v>
      </c>
      <c r="K83" s="61" t="str">
        <f t="shared" si="24"/>
        <v>4025/4026</v>
      </c>
      <c r="L83" s="61" t="str">
        <f>VLOOKUP(A83,'Trips&amp;Operators'!$C$1:$E$9999,3,FALSE)</f>
        <v>GOODNIGHT</v>
      </c>
      <c r="M83" s="12">
        <f t="shared" si="25"/>
        <v>2.8113425927585922E-2</v>
      </c>
      <c r="N83" s="13">
        <f t="shared" si="26"/>
        <v>40.483333335723728</v>
      </c>
      <c r="O83" s="13"/>
      <c r="P83" s="13"/>
      <c r="Q83" s="62"/>
      <c r="R83" s="62"/>
      <c r="T8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13:23:18-0600',mode:absolute,to:'2016-05-08 14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3" s="75" t="str">
        <f t="shared" si="28"/>
        <v>N</v>
      </c>
      <c r="V83" s="75">
        <f t="shared" si="23"/>
        <v>1</v>
      </c>
      <c r="W83" s="75">
        <f t="shared" si="29"/>
        <v>4.6399999999999997E-2</v>
      </c>
      <c r="X83" s="75">
        <f t="shared" si="30"/>
        <v>23.332999999999998</v>
      </c>
      <c r="Y83" s="75">
        <f t="shared" si="31"/>
        <v>23.2866</v>
      </c>
      <c r="Z83" s="76" t="e">
        <f>VLOOKUP(A83,Enforcements!$C$3:$J$26,8,0)</f>
        <v>#N/A</v>
      </c>
      <c r="AA83" s="76" t="e">
        <f>VLOOKUP(A83,Enforcements!$C$3:$J$26,3,0)</f>
        <v>#N/A</v>
      </c>
    </row>
    <row r="84" spans="1:27" s="2" customFormat="1" x14ac:dyDescent="0.25">
      <c r="A84" s="61" t="s">
        <v>302</v>
      </c>
      <c r="B84" s="61">
        <v>4026</v>
      </c>
      <c r="C84" s="61" t="s">
        <v>83</v>
      </c>
      <c r="D84" s="61" t="s">
        <v>303</v>
      </c>
      <c r="E84" s="30">
        <v>42498.597511574073</v>
      </c>
      <c r="F84" s="30">
        <v>42498.598182870373</v>
      </c>
      <c r="G84" s="38">
        <v>0</v>
      </c>
      <c r="H84" s="30" t="s">
        <v>108</v>
      </c>
      <c r="I84" s="30">
        <v>42498.626736111109</v>
      </c>
      <c r="J84" s="61">
        <v>0</v>
      </c>
      <c r="K84" s="61" t="str">
        <f t="shared" si="24"/>
        <v>4025/4026</v>
      </c>
      <c r="L84" s="61" t="str">
        <f>VLOOKUP(A84,'Trips&amp;Operators'!$C$1:$E$9999,3,FALSE)</f>
        <v>GOODNIGHT</v>
      </c>
      <c r="M84" s="12">
        <f t="shared" si="25"/>
        <v>2.8553240736073349E-2</v>
      </c>
      <c r="N84" s="13">
        <f t="shared" si="26"/>
        <v>41.116666659945622</v>
      </c>
      <c r="O84" s="13"/>
      <c r="P84" s="13"/>
      <c r="Q84" s="62"/>
      <c r="R84" s="62"/>
      <c r="T8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14:19:25-0600',mode:absolute,to:'2016-05-08 15:03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4" s="75" t="str">
        <f t="shared" si="28"/>
        <v>N</v>
      </c>
      <c r="V84" s="75">
        <f t="shared" si="23"/>
        <v>1</v>
      </c>
      <c r="W84" s="75">
        <f t="shared" si="29"/>
        <v>23.301500000000001</v>
      </c>
      <c r="X84" s="75">
        <f t="shared" si="30"/>
        <v>1.4500000000000001E-2</v>
      </c>
      <c r="Y84" s="75">
        <f t="shared" si="31"/>
        <v>23.286999999999999</v>
      </c>
      <c r="Z84" s="76" t="e">
        <f>VLOOKUP(A84,Enforcements!$C$3:$J$26,8,0)</f>
        <v>#N/A</v>
      </c>
      <c r="AA84" s="76" t="e">
        <f>VLOOKUP(A84,Enforcements!$C$3:$J$26,3,0)</f>
        <v>#N/A</v>
      </c>
    </row>
    <row r="85" spans="1:27" s="2" customFormat="1" x14ac:dyDescent="0.25">
      <c r="A85" s="61" t="s">
        <v>304</v>
      </c>
      <c r="B85" s="61">
        <v>4016</v>
      </c>
      <c r="C85" s="61" t="s">
        <v>83</v>
      </c>
      <c r="D85" s="61" t="s">
        <v>97</v>
      </c>
      <c r="E85" s="30">
        <v>42498.567685185182</v>
      </c>
      <c r="F85" s="30">
        <v>42498.568749999999</v>
      </c>
      <c r="G85" s="38">
        <v>1</v>
      </c>
      <c r="H85" s="30" t="s">
        <v>305</v>
      </c>
      <c r="I85" s="30">
        <v>42498.59847222222</v>
      </c>
      <c r="J85" s="61">
        <v>0</v>
      </c>
      <c r="K85" s="61" t="str">
        <f t="shared" si="24"/>
        <v>4015/4016</v>
      </c>
      <c r="L85" s="61" t="str">
        <f>VLOOKUP(A85,'Trips&amp;Operators'!$C$1:$E$9999,3,FALSE)</f>
        <v>ACKERMAN</v>
      </c>
      <c r="M85" s="12">
        <f t="shared" si="25"/>
        <v>2.9722222221607808E-2</v>
      </c>
      <c r="N85" s="13">
        <f t="shared" si="26"/>
        <v>42.799999999115244</v>
      </c>
      <c r="O85" s="13"/>
      <c r="P85" s="13"/>
      <c r="Q85" s="62"/>
      <c r="R85" s="62"/>
      <c r="T8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13:36:28-0600',mode:absolute,to:'2016-05-08 14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5" s="75" t="str">
        <f t="shared" si="28"/>
        <v>N</v>
      </c>
      <c r="V85" s="75">
        <f t="shared" si="23"/>
        <v>1</v>
      </c>
      <c r="W85" s="75">
        <f t="shared" si="29"/>
        <v>4.5699999999999998E-2</v>
      </c>
      <c r="X85" s="75">
        <f t="shared" si="30"/>
        <v>23.328700000000001</v>
      </c>
      <c r="Y85" s="75">
        <f t="shared" si="31"/>
        <v>23.283000000000001</v>
      </c>
      <c r="Z85" s="76" t="e">
        <f>VLOOKUP(A85,Enforcements!$C$3:$J$26,8,0)</f>
        <v>#N/A</v>
      </c>
      <c r="AA85" s="76" t="e">
        <f>VLOOKUP(A85,Enforcements!$C$3:$J$26,3,0)</f>
        <v>#N/A</v>
      </c>
    </row>
    <row r="86" spans="1:27" s="2" customFormat="1" x14ac:dyDescent="0.25">
      <c r="A86" s="61" t="s">
        <v>306</v>
      </c>
      <c r="B86" s="61">
        <v>4015</v>
      </c>
      <c r="C86" s="61" t="s">
        <v>83</v>
      </c>
      <c r="D86" s="61" t="s">
        <v>90</v>
      </c>
      <c r="E86" s="30">
        <v>42498.60596064815</v>
      </c>
      <c r="F86" s="30">
        <v>42498.606805555559</v>
      </c>
      <c r="G86" s="38">
        <v>1</v>
      </c>
      <c r="H86" s="30" t="s">
        <v>161</v>
      </c>
      <c r="I86" s="30">
        <v>42498.637719907405</v>
      </c>
      <c r="J86" s="61">
        <v>0</v>
      </c>
      <c r="K86" s="61" t="str">
        <f t="shared" si="24"/>
        <v>4015/4016</v>
      </c>
      <c r="L86" s="61" t="str">
        <f>VLOOKUP(A86,'Trips&amp;Operators'!$C$1:$E$9999,3,FALSE)</f>
        <v>ACKERMAN</v>
      </c>
      <c r="M86" s="12">
        <f t="shared" si="25"/>
        <v>3.0914351846149657E-2</v>
      </c>
      <c r="N86" s="13">
        <f t="shared" si="26"/>
        <v>44.516666658455506</v>
      </c>
      <c r="O86" s="13"/>
      <c r="P86" s="13"/>
      <c r="Q86" s="62"/>
      <c r="R86" s="62"/>
      <c r="T8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14:31:35-0600',mode:absolute,to:'2016-05-08 15:19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6" s="75" t="str">
        <f t="shared" si="28"/>
        <v>N</v>
      </c>
      <c r="V86" s="75">
        <f t="shared" si="23"/>
        <v>1</v>
      </c>
      <c r="W86" s="75">
        <f t="shared" si="29"/>
        <v>23.297699999999999</v>
      </c>
      <c r="X86" s="75">
        <f t="shared" si="30"/>
        <v>1.41E-2</v>
      </c>
      <c r="Y86" s="75">
        <f t="shared" si="31"/>
        <v>23.2836</v>
      </c>
      <c r="Z86" s="76" t="e">
        <f>VLOOKUP(A86,Enforcements!$C$3:$J$26,8,0)</f>
        <v>#N/A</v>
      </c>
      <c r="AA86" s="76" t="e">
        <f>VLOOKUP(A86,Enforcements!$C$3:$J$26,3,0)</f>
        <v>#N/A</v>
      </c>
    </row>
    <row r="87" spans="1:27" s="2" customFormat="1" x14ac:dyDescent="0.25">
      <c r="A87" s="61" t="s">
        <v>307</v>
      </c>
      <c r="B87" s="61">
        <v>4018</v>
      </c>
      <c r="C87" s="61" t="s">
        <v>83</v>
      </c>
      <c r="D87" s="61" t="s">
        <v>117</v>
      </c>
      <c r="E87" s="30">
        <v>42498.579884259256</v>
      </c>
      <c r="F87" s="30">
        <v>42498.580636574072</v>
      </c>
      <c r="G87" s="38">
        <v>1</v>
      </c>
      <c r="H87" s="30" t="s">
        <v>308</v>
      </c>
      <c r="I87" s="30">
        <v>42498.608078703706</v>
      </c>
      <c r="J87" s="61">
        <v>0</v>
      </c>
      <c r="K87" s="61" t="str">
        <f t="shared" si="24"/>
        <v>4017/4018</v>
      </c>
      <c r="L87" s="61" t="str">
        <f>VLOOKUP(A87,'Trips&amp;Operators'!$C$1:$E$9999,3,FALSE)</f>
        <v>STEWART</v>
      </c>
      <c r="M87" s="12">
        <f t="shared" si="25"/>
        <v>2.7442129634437151E-2</v>
      </c>
      <c r="N87" s="13">
        <f t="shared" si="26"/>
        <v>39.516666673589498</v>
      </c>
      <c r="O87" s="13"/>
      <c r="P87" s="13"/>
      <c r="Q87" s="62"/>
      <c r="R87" s="62"/>
      <c r="T8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13:54:02-0600',mode:absolute,to:'2016-05-08 14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7" s="75" t="str">
        <f t="shared" si="28"/>
        <v>N</v>
      </c>
      <c r="V87" s="75">
        <f t="shared" si="23"/>
        <v>1</v>
      </c>
      <c r="W87" s="75">
        <f t="shared" si="29"/>
        <v>4.5100000000000001E-2</v>
      </c>
      <c r="X87" s="75">
        <f t="shared" si="30"/>
        <v>23.3276</v>
      </c>
      <c r="Y87" s="75">
        <f t="shared" si="31"/>
        <v>23.282499999999999</v>
      </c>
      <c r="Z87" s="76" t="e">
        <f>VLOOKUP(A87,Enforcements!$C$3:$J$26,8,0)</f>
        <v>#N/A</v>
      </c>
      <c r="AA87" s="76" t="e">
        <f>VLOOKUP(A87,Enforcements!$C$3:$J$26,3,0)</f>
        <v>#N/A</v>
      </c>
    </row>
    <row r="88" spans="1:27" s="2" customFormat="1" x14ac:dyDescent="0.25">
      <c r="A88" s="61" t="s">
        <v>309</v>
      </c>
      <c r="B88" s="61">
        <v>4017</v>
      </c>
      <c r="C88" s="61" t="s">
        <v>83</v>
      </c>
      <c r="D88" s="61" t="s">
        <v>310</v>
      </c>
      <c r="E88" s="30">
        <v>42498.617800925924</v>
      </c>
      <c r="F88" s="30">
        <v>42498.619039351855</v>
      </c>
      <c r="G88" s="38">
        <v>1</v>
      </c>
      <c r="H88" s="30" t="s">
        <v>102</v>
      </c>
      <c r="I88" s="30">
        <v>42498.648298611108</v>
      </c>
      <c r="J88" s="61">
        <v>0</v>
      </c>
      <c r="K88" s="61" t="str">
        <f t="shared" si="24"/>
        <v>4017/4018</v>
      </c>
      <c r="L88" s="61" t="str">
        <f>VLOOKUP(A88,'Trips&amp;Operators'!$C$1:$E$9999,3,FALSE)</f>
        <v>STEWART</v>
      </c>
      <c r="M88" s="12">
        <f t="shared" si="25"/>
        <v>2.9259259252285119E-2</v>
      </c>
      <c r="N88" s="13">
        <f t="shared" si="26"/>
        <v>42.133333323290572</v>
      </c>
      <c r="O88" s="13"/>
      <c r="P88" s="13"/>
      <c r="Q88" s="62"/>
      <c r="R88" s="62"/>
      <c r="T8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14:48:38-0600',mode:absolute,to:'2016-05-08 15:34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8" s="75" t="str">
        <f t="shared" si="28"/>
        <v>N</v>
      </c>
      <c r="V88" s="75">
        <f t="shared" si="23"/>
        <v>1</v>
      </c>
      <c r="W88" s="75">
        <f t="shared" si="29"/>
        <v>23.2944</v>
      </c>
      <c r="X88" s="75">
        <f t="shared" si="30"/>
        <v>1.6E-2</v>
      </c>
      <c r="Y88" s="75">
        <f t="shared" si="31"/>
        <v>23.278400000000001</v>
      </c>
      <c r="Z88" s="76" t="e">
        <f>VLOOKUP(A88,Enforcements!$C$3:$J$26,8,0)</f>
        <v>#N/A</v>
      </c>
      <c r="AA88" s="76" t="e">
        <f>VLOOKUP(A88,Enforcements!$C$3:$J$26,3,0)</f>
        <v>#N/A</v>
      </c>
    </row>
    <row r="89" spans="1:27" s="2" customFormat="1" x14ac:dyDescent="0.25">
      <c r="A89" s="61" t="s">
        <v>311</v>
      </c>
      <c r="B89" s="61">
        <v>4020</v>
      </c>
      <c r="C89" s="61" t="s">
        <v>83</v>
      </c>
      <c r="D89" s="61" t="s">
        <v>116</v>
      </c>
      <c r="E89" s="30">
        <v>42498.588472222225</v>
      </c>
      <c r="F89" s="30">
        <v>42498.589409722219</v>
      </c>
      <c r="G89" s="38">
        <v>1</v>
      </c>
      <c r="H89" s="30" t="s">
        <v>312</v>
      </c>
      <c r="I89" s="30">
        <v>42498.618541666663</v>
      </c>
      <c r="J89" s="61">
        <v>1</v>
      </c>
      <c r="K89" s="61" t="str">
        <f t="shared" si="24"/>
        <v>4019/4020</v>
      </c>
      <c r="L89" s="61" t="str">
        <f>VLOOKUP(A89,'Trips&amp;Operators'!$C$1:$E$9999,3,FALSE)</f>
        <v>BRANNON</v>
      </c>
      <c r="M89" s="12">
        <f t="shared" si="25"/>
        <v>2.9131944444088731E-2</v>
      </c>
      <c r="N89" s="13">
        <f t="shared" si="26"/>
        <v>41.949999999487773</v>
      </c>
      <c r="O89" s="13"/>
      <c r="P89" s="13"/>
      <c r="Q89" s="62"/>
      <c r="R89" s="62"/>
      <c r="T8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14:06:24-0600',mode:absolute,to:'2016-05-08 14:51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9" s="75" t="str">
        <f t="shared" si="28"/>
        <v>N</v>
      </c>
      <c r="V89" s="75">
        <f t="shared" si="23"/>
        <v>1</v>
      </c>
      <c r="W89" s="75">
        <f t="shared" si="29"/>
        <v>4.5499999999999999E-2</v>
      </c>
      <c r="X89" s="75">
        <f t="shared" si="30"/>
        <v>23.33</v>
      </c>
      <c r="Y89" s="75">
        <f t="shared" si="31"/>
        <v>23.284499999999998</v>
      </c>
      <c r="Z89" s="76" t="e">
        <f>VLOOKUP(A89,Enforcements!$C$3:$J$26,8,0)</f>
        <v>#N/A</v>
      </c>
      <c r="AA89" s="76" t="e">
        <f>VLOOKUP(A89,Enforcements!$C$3:$J$26,3,0)</f>
        <v>#N/A</v>
      </c>
    </row>
    <row r="90" spans="1:27" s="2" customFormat="1" x14ac:dyDescent="0.25">
      <c r="A90" s="61" t="s">
        <v>313</v>
      </c>
      <c r="B90" s="61">
        <v>4019</v>
      </c>
      <c r="C90" s="61" t="s">
        <v>83</v>
      </c>
      <c r="D90" s="61" t="s">
        <v>135</v>
      </c>
      <c r="E90" s="30">
        <v>42498.625949074078</v>
      </c>
      <c r="F90" s="30">
        <v>42498.626840277779</v>
      </c>
      <c r="G90" s="38">
        <v>1</v>
      </c>
      <c r="H90" s="30" t="s">
        <v>112</v>
      </c>
      <c r="I90" s="30">
        <v>42498.658101851855</v>
      </c>
      <c r="J90" s="61">
        <v>1</v>
      </c>
      <c r="K90" s="61" t="str">
        <f t="shared" si="24"/>
        <v>4019/4020</v>
      </c>
      <c r="L90" s="61" t="str">
        <f>VLOOKUP(A90,'Trips&amp;Operators'!$C$1:$E$9999,3,FALSE)</f>
        <v>BRANNON</v>
      </c>
      <c r="M90" s="12">
        <f t="shared" si="25"/>
        <v>3.1261574076779652E-2</v>
      </c>
      <c r="N90" s="13">
        <f t="shared" si="26"/>
        <v>45.016666670562699</v>
      </c>
      <c r="O90" s="13"/>
      <c r="P90" s="13"/>
      <c r="Q90" s="62"/>
      <c r="R90" s="62"/>
      <c r="T9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15:00:22-0600',mode:absolute,to:'2016-05-08 15:48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0" s="75" t="str">
        <f t="shared" si="28"/>
        <v>N</v>
      </c>
      <c r="V90" s="75">
        <f t="shared" si="23"/>
        <v>1</v>
      </c>
      <c r="W90" s="75">
        <f t="shared" si="29"/>
        <v>23.299299999999999</v>
      </c>
      <c r="X90" s="75">
        <f t="shared" si="30"/>
        <v>1.38E-2</v>
      </c>
      <c r="Y90" s="75">
        <f t="shared" si="31"/>
        <v>23.285499999999999</v>
      </c>
      <c r="Z90" s="76" t="e">
        <f>VLOOKUP(A90,Enforcements!$C$3:$J$26,8,0)</f>
        <v>#N/A</v>
      </c>
      <c r="AA90" s="76" t="e">
        <f>VLOOKUP(A90,Enforcements!$C$3:$J$26,3,0)</f>
        <v>#N/A</v>
      </c>
    </row>
    <row r="91" spans="1:27" s="2" customFormat="1" x14ac:dyDescent="0.25">
      <c r="A91" s="61" t="s">
        <v>314</v>
      </c>
      <c r="B91" s="61">
        <v>4014</v>
      </c>
      <c r="C91" s="61" t="s">
        <v>83</v>
      </c>
      <c r="D91" s="61" t="s">
        <v>103</v>
      </c>
      <c r="E91" s="30">
        <v>42498.597974537035</v>
      </c>
      <c r="F91" s="30">
        <v>42498.599085648151</v>
      </c>
      <c r="G91" s="38">
        <v>1</v>
      </c>
      <c r="H91" s="30" t="s">
        <v>87</v>
      </c>
      <c r="I91" s="30">
        <v>42498.62903935185</v>
      </c>
      <c r="J91" s="61">
        <v>1</v>
      </c>
      <c r="K91" s="61" t="str">
        <f t="shared" si="24"/>
        <v>4013/4014</v>
      </c>
      <c r="L91" s="61" t="str">
        <f>VLOOKUP(A91,'Trips&amp;Operators'!$C$1:$E$9999,3,FALSE)</f>
        <v>WEBSTER</v>
      </c>
      <c r="M91" s="12">
        <f t="shared" si="25"/>
        <v>2.9953703698993195E-2</v>
      </c>
      <c r="N91" s="13">
        <f t="shared" si="26"/>
        <v>43.133333326550201</v>
      </c>
      <c r="O91" s="13"/>
      <c r="P91" s="13"/>
      <c r="Q91" s="62"/>
      <c r="R91" s="62"/>
      <c r="T9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14:20:05-0600',mode:absolute,to:'2016-05-08 15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91" s="75" t="str">
        <f t="shared" si="28"/>
        <v>N</v>
      </c>
      <c r="V91" s="75">
        <f t="shared" si="23"/>
        <v>1</v>
      </c>
      <c r="W91" s="75">
        <f t="shared" si="29"/>
        <v>4.4900000000000002E-2</v>
      </c>
      <c r="X91" s="75">
        <f t="shared" si="30"/>
        <v>23.329499999999999</v>
      </c>
      <c r="Y91" s="75">
        <f t="shared" si="31"/>
        <v>23.284600000000001</v>
      </c>
      <c r="Z91" s="76" t="e">
        <f>VLOOKUP(A91,Enforcements!$C$3:$J$26,8,0)</f>
        <v>#N/A</v>
      </c>
      <c r="AA91" s="76" t="e">
        <f>VLOOKUP(A91,Enforcements!$C$3:$J$26,3,0)</f>
        <v>#N/A</v>
      </c>
    </row>
    <row r="92" spans="1:27" s="2" customFormat="1" x14ac:dyDescent="0.25">
      <c r="A92" s="61" t="s">
        <v>315</v>
      </c>
      <c r="B92" s="61">
        <v>4013</v>
      </c>
      <c r="C92" s="61" t="s">
        <v>83</v>
      </c>
      <c r="D92" s="61" t="s">
        <v>164</v>
      </c>
      <c r="E92" s="30">
        <v>42498.639050925929</v>
      </c>
      <c r="F92" s="30">
        <v>42498.640636574077</v>
      </c>
      <c r="G92" s="38">
        <v>2</v>
      </c>
      <c r="H92" s="30" t="s">
        <v>102</v>
      </c>
      <c r="I92" s="30">
        <v>42498.669189814813</v>
      </c>
      <c r="J92" s="61">
        <v>1</v>
      </c>
      <c r="K92" s="61" t="str">
        <f t="shared" si="24"/>
        <v>4013/4014</v>
      </c>
      <c r="L92" s="61" t="str">
        <f>VLOOKUP(A92,'Trips&amp;Operators'!$C$1:$E$9999,3,FALSE)</f>
        <v>WEBSTER</v>
      </c>
      <c r="M92" s="12">
        <f t="shared" si="25"/>
        <v>2.8553240736073349E-2</v>
      </c>
      <c r="N92" s="13">
        <f t="shared" si="26"/>
        <v>41.116666659945622</v>
      </c>
      <c r="O92" s="13"/>
      <c r="P92" s="13"/>
      <c r="Q92" s="62"/>
      <c r="R92" s="62"/>
      <c r="T9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15:19:14-0600',mode:absolute,to:'2016-05-08 16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2" s="75" t="str">
        <f t="shared" si="28"/>
        <v>N</v>
      </c>
      <c r="V92" s="75">
        <f t="shared" si="23"/>
        <v>1</v>
      </c>
      <c r="W92" s="75">
        <f t="shared" si="29"/>
        <v>23.297499999999999</v>
      </c>
      <c r="X92" s="75">
        <f t="shared" si="30"/>
        <v>1.6E-2</v>
      </c>
      <c r="Y92" s="75">
        <f t="shared" si="31"/>
        <v>23.281500000000001</v>
      </c>
      <c r="Z92" s="76" t="e">
        <f>VLOOKUP(A92,Enforcements!$C$3:$J$26,8,0)</f>
        <v>#N/A</v>
      </c>
      <c r="AA92" s="76" t="e">
        <f>VLOOKUP(A92,Enforcements!$C$3:$J$26,3,0)</f>
        <v>#N/A</v>
      </c>
    </row>
    <row r="93" spans="1:27" s="2" customFormat="1" x14ac:dyDescent="0.25">
      <c r="A93" s="61" t="s">
        <v>316</v>
      </c>
      <c r="B93" s="61">
        <v>4040</v>
      </c>
      <c r="C93" s="61" t="s">
        <v>83</v>
      </c>
      <c r="D93" s="61" t="s">
        <v>144</v>
      </c>
      <c r="E93" s="30">
        <v>42498.610486111109</v>
      </c>
      <c r="F93" s="30">
        <v>42498.61146990741</v>
      </c>
      <c r="G93" s="38">
        <v>1</v>
      </c>
      <c r="H93" s="30" t="s">
        <v>127</v>
      </c>
      <c r="I93" s="30">
        <v>42498.64162037037</v>
      </c>
      <c r="J93" s="61">
        <v>2</v>
      </c>
      <c r="K93" s="61" t="str">
        <f t="shared" si="24"/>
        <v>4039/4040</v>
      </c>
      <c r="L93" s="61" t="str">
        <f>VLOOKUP(A93,'Trips&amp;Operators'!$C$1:$E$9999,3,FALSE)</f>
        <v>RIVERA</v>
      </c>
      <c r="M93" s="12">
        <f t="shared" si="25"/>
        <v>3.015046296059154E-2</v>
      </c>
      <c r="N93" s="13">
        <f t="shared" si="26"/>
        <v>43.416666663251817</v>
      </c>
      <c r="O93" s="13"/>
      <c r="P93" s="13"/>
      <c r="Q93" s="62"/>
      <c r="R93" s="62"/>
      <c r="T9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14:38:06-0600',mode:absolute,to:'2016-05-08 15:24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3" s="75" t="str">
        <f t="shared" si="28"/>
        <v>N</v>
      </c>
      <c r="V93" s="75">
        <f t="shared" si="23"/>
        <v>1</v>
      </c>
      <c r="W93" s="75">
        <f t="shared" si="29"/>
        <v>4.6600000000000003E-2</v>
      </c>
      <c r="X93" s="75">
        <f t="shared" si="30"/>
        <v>23.331199999999999</v>
      </c>
      <c r="Y93" s="75">
        <f t="shared" si="31"/>
        <v>23.284599999999998</v>
      </c>
      <c r="Z93" s="76">
        <f>VLOOKUP(A93,Enforcements!$C$3:$J$26,8,0)</f>
        <v>232107</v>
      </c>
      <c r="AA93" s="76" t="str">
        <f>VLOOKUP(A93,Enforcements!$C$3:$J$26,3,0)</f>
        <v>PERMANENT SPEED RESTRICTION</v>
      </c>
    </row>
    <row r="94" spans="1:27" s="2" customFormat="1" x14ac:dyDescent="0.25">
      <c r="A94" s="61" t="s">
        <v>317</v>
      </c>
      <c r="B94" s="61">
        <v>4039</v>
      </c>
      <c r="C94" s="61" t="s">
        <v>83</v>
      </c>
      <c r="D94" s="61" t="s">
        <v>135</v>
      </c>
      <c r="E94" s="30">
        <v>42498.6484375</v>
      </c>
      <c r="F94" s="30">
        <v>42498.649513888886</v>
      </c>
      <c r="G94" s="38">
        <v>1</v>
      </c>
      <c r="H94" s="30" t="s">
        <v>215</v>
      </c>
      <c r="I94" s="30">
        <v>42498.68005787037</v>
      </c>
      <c r="J94" s="61">
        <v>0</v>
      </c>
      <c r="K94" s="61" t="str">
        <f t="shared" si="24"/>
        <v>4039/4040</v>
      </c>
      <c r="L94" s="61" t="str">
        <f>VLOOKUP(A94,'Trips&amp;Operators'!$C$1:$E$9999,3,FALSE)</f>
        <v>RIVERA</v>
      </c>
      <c r="M94" s="12">
        <f t="shared" si="25"/>
        <v>3.054398148378823E-2</v>
      </c>
      <c r="N94" s="13">
        <f t="shared" si="26"/>
        <v>43.983333336655051</v>
      </c>
      <c r="O94" s="13"/>
      <c r="P94" s="13"/>
      <c r="Q94" s="62"/>
      <c r="R94" s="62"/>
      <c r="T9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15:32:45-0600',mode:absolute,to:'2016-05-08 16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4" s="75" t="str">
        <f t="shared" si="28"/>
        <v>N</v>
      </c>
      <c r="V94" s="75">
        <f t="shared" si="23"/>
        <v>1</v>
      </c>
      <c r="W94" s="75">
        <f t="shared" si="29"/>
        <v>23.299299999999999</v>
      </c>
      <c r="X94" s="75">
        <f t="shared" si="30"/>
        <v>1.1900000000000001E-2</v>
      </c>
      <c r="Y94" s="75">
        <f t="shared" si="31"/>
        <v>23.287399999999998</v>
      </c>
      <c r="Z94" s="76" t="e">
        <f>VLOOKUP(A94,Enforcements!$C$3:$J$26,8,0)</f>
        <v>#N/A</v>
      </c>
      <c r="AA94" s="76" t="e">
        <f>VLOOKUP(A94,Enforcements!$C$3:$J$26,3,0)</f>
        <v>#N/A</v>
      </c>
    </row>
    <row r="95" spans="1:27" s="2" customFormat="1" x14ac:dyDescent="0.25">
      <c r="A95" s="61" t="s">
        <v>318</v>
      </c>
      <c r="B95" s="61">
        <v>4029</v>
      </c>
      <c r="C95" s="61" t="s">
        <v>83</v>
      </c>
      <c r="D95" s="61" t="s">
        <v>139</v>
      </c>
      <c r="E95" s="30">
        <v>42498.618252314816</v>
      </c>
      <c r="F95" s="30">
        <v>42498.61922453704</v>
      </c>
      <c r="G95" s="38">
        <v>1</v>
      </c>
      <c r="H95" s="30" t="s">
        <v>319</v>
      </c>
      <c r="I95" s="30">
        <v>42498.633587962962</v>
      </c>
      <c r="J95" s="61">
        <v>0</v>
      </c>
      <c r="K95" s="61" t="str">
        <f t="shared" si="24"/>
        <v>4029/4030</v>
      </c>
      <c r="L95" s="61" t="str">
        <f>VLOOKUP(A95,'Trips&amp;Operators'!$C$1:$E$9999,3,FALSE)</f>
        <v>BONDS</v>
      </c>
      <c r="M95" s="12">
        <f t="shared" si="25"/>
        <v>1.4363425922056194E-2</v>
      </c>
      <c r="N95" s="13"/>
      <c r="O95" s="13"/>
      <c r="P95" s="13">
        <v>49</v>
      </c>
      <c r="Q95" s="62"/>
      <c r="R95" s="62" t="s">
        <v>444</v>
      </c>
      <c r="T9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14:49:17-0600',mode:absolute,to:'2016-05-08 15:13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5" s="75" t="str">
        <f t="shared" si="28"/>
        <v>Y</v>
      </c>
      <c r="V95" s="75">
        <f t="shared" si="23"/>
        <v>1</v>
      </c>
      <c r="W95" s="75">
        <f t="shared" si="29"/>
        <v>4.58E-2</v>
      </c>
      <c r="X95" s="75">
        <f t="shared" si="30"/>
        <v>4.5479000000000003</v>
      </c>
      <c r="Y95" s="75">
        <f t="shared" si="31"/>
        <v>4.5021000000000004</v>
      </c>
      <c r="Z95" s="76">
        <f>VLOOKUP(A95,Enforcements!$C$3:$J$26,8,0)</f>
        <v>155600</v>
      </c>
      <c r="AA95" s="76" t="str">
        <f>VLOOKUP(A95,Enforcements!$C$3:$J$26,3,0)</f>
        <v>SIGNAL</v>
      </c>
    </row>
    <row r="96" spans="1:27" s="2" customFormat="1" x14ac:dyDescent="0.25">
      <c r="A96" s="61" t="s">
        <v>318</v>
      </c>
      <c r="B96" s="61">
        <v>4029</v>
      </c>
      <c r="C96" s="61" t="s">
        <v>83</v>
      </c>
      <c r="D96" s="61" t="s">
        <v>320</v>
      </c>
      <c r="E96" s="30">
        <v>42498.637037037035</v>
      </c>
      <c r="F96" s="30">
        <v>42498.63758101852</v>
      </c>
      <c r="G96" s="38">
        <v>0</v>
      </c>
      <c r="H96" s="30" t="s">
        <v>321</v>
      </c>
      <c r="I96" s="30">
        <v>42498.65730324074</v>
      </c>
      <c r="J96" s="61">
        <v>1</v>
      </c>
      <c r="K96" s="61" t="str">
        <f t="shared" si="24"/>
        <v>4029/4030</v>
      </c>
      <c r="L96" s="61" t="str">
        <f>VLOOKUP(A96,'Trips&amp;Operators'!$C$1:$E$9999,3,FALSE)</f>
        <v>BONDS</v>
      </c>
      <c r="M96" s="12">
        <f t="shared" si="25"/>
        <v>1.972222221957054E-2</v>
      </c>
      <c r="N96" s="13"/>
      <c r="O96" s="13"/>
      <c r="P96" s="13"/>
      <c r="Q96" s="62"/>
      <c r="R96" s="62"/>
      <c r="T9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15:16:20-0600',mode:absolute,to:'2016-05-08 15:47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6" s="75" t="str">
        <f t="shared" si="28"/>
        <v>Y</v>
      </c>
      <c r="V96" s="75">
        <f t="shared" si="23"/>
        <v>0</v>
      </c>
      <c r="W96" s="75">
        <f t="shared" si="29"/>
        <v>6.4720000000000004</v>
      </c>
      <c r="X96" s="75">
        <f t="shared" si="30"/>
        <v>23.334299999999999</v>
      </c>
      <c r="Y96" s="75">
        <f t="shared" si="31"/>
        <v>16.862299999999998</v>
      </c>
      <c r="Z96" s="76">
        <f>VLOOKUP(A96,Enforcements!$C$3:$J$26,8,0)</f>
        <v>155600</v>
      </c>
      <c r="AA96" s="76" t="str">
        <f>VLOOKUP(A96,Enforcements!$C$3:$J$26,3,0)</f>
        <v>SIGNAL</v>
      </c>
    </row>
    <row r="97" spans="1:27" s="2" customFormat="1" x14ac:dyDescent="0.25">
      <c r="A97" s="61" t="s">
        <v>322</v>
      </c>
      <c r="B97" s="61">
        <v>4030</v>
      </c>
      <c r="C97" s="61" t="s">
        <v>83</v>
      </c>
      <c r="D97" s="61" t="s">
        <v>323</v>
      </c>
      <c r="E97" s="30">
        <v>42498.660509259258</v>
      </c>
      <c r="F97" s="30">
        <v>42498.661400462966</v>
      </c>
      <c r="G97" s="38">
        <v>1</v>
      </c>
      <c r="H97" s="30" t="s">
        <v>111</v>
      </c>
      <c r="I97" s="30">
        <v>42498.689988425926</v>
      </c>
      <c r="J97" s="61">
        <v>0</v>
      </c>
      <c r="K97" s="61" t="str">
        <f t="shared" si="24"/>
        <v>4029/4030</v>
      </c>
      <c r="L97" s="61" t="str">
        <f>VLOOKUP(A97,'Trips&amp;Operators'!$C$1:$E$9999,3,FALSE)</f>
        <v>BONDS</v>
      </c>
      <c r="M97" s="12">
        <f t="shared" si="25"/>
        <v>2.8587962959136348E-2</v>
      </c>
      <c r="N97" s="13">
        <f t="shared" si="26"/>
        <v>41.166666661156341</v>
      </c>
      <c r="O97" s="13"/>
      <c r="P97" s="13"/>
      <c r="Q97" s="62"/>
      <c r="R97" s="62"/>
      <c r="T9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15:50:08-0600',mode:absolute,to:'2016-05-08 16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97" s="75" t="str">
        <f t="shared" si="28"/>
        <v>N</v>
      </c>
      <c r="V97" s="75">
        <f t="shared" si="23"/>
        <v>1</v>
      </c>
      <c r="W97" s="75">
        <f t="shared" si="29"/>
        <v>23.3017</v>
      </c>
      <c r="X97" s="75">
        <f t="shared" si="30"/>
        <v>1.3599999999999999E-2</v>
      </c>
      <c r="Y97" s="75">
        <f t="shared" si="31"/>
        <v>23.2881</v>
      </c>
      <c r="Z97" s="76" t="e">
        <f>VLOOKUP(A97,Enforcements!$C$3:$J$26,8,0)</f>
        <v>#N/A</v>
      </c>
      <c r="AA97" s="76" t="e">
        <f>VLOOKUP(A97,Enforcements!$C$3:$J$26,3,0)</f>
        <v>#N/A</v>
      </c>
    </row>
    <row r="98" spans="1:27" s="2" customFormat="1" x14ac:dyDescent="0.25">
      <c r="A98" s="61" t="s">
        <v>324</v>
      </c>
      <c r="B98" s="61">
        <v>4025</v>
      </c>
      <c r="C98" s="61" t="s">
        <v>83</v>
      </c>
      <c r="D98" s="61" t="s">
        <v>116</v>
      </c>
      <c r="E98" s="30">
        <v>42498.632627314815</v>
      </c>
      <c r="F98" s="30">
        <v>42498.633611111109</v>
      </c>
      <c r="G98" s="38">
        <v>1</v>
      </c>
      <c r="H98" s="30" t="s">
        <v>325</v>
      </c>
      <c r="I98" s="30">
        <v>42498.65997685185</v>
      </c>
      <c r="J98" s="61">
        <v>1</v>
      </c>
      <c r="K98" s="61" t="str">
        <f t="shared" si="24"/>
        <v>4025/4026</v>
      </c>
      <c r="L98" s="61" t="str">
        <f>VLOOKUP(A98,'Trips&amp;Operators'!$C$1:$E$9999,3,FALSE)</f>
        <v>GOODNIGHT</v>
      </c>
      <c r="M98" s="12">
        <f t="shared" si="25"/>
        <v>2.6365740741312038E-2</v>
      </c>
      <c r="N98" s="13">
        <f t="shared" si="26"/>
        <v>37.966666667489335</v>
      </c>
      <c r="O98" s="13"/>
      <c r="P98" s="13"/>
      <c r="Q98" s="62"/>
      <c r="R98" s="62"/>
      <c r="T9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15:09:59-0600',mode:absolute,to:'2016-05-08 15:51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8" s="75" t="str">
        <f t="shared" si="28"/>
        <v>N</v>
      </c>
      <c r="V98" s="75">
        <f t="shared" si="23"/>
        <v>1</v>
      </c>
      <c r="W98" s="75">
        <f t="shared" si="29"/>
        <v>4.5499999999999999E-2</v>
      </c>
      <c r="X98" s="75">
        <f t="shared" si="30"/>
        <v>23.319500000000001</v>
      </c>
      <c r="Y98" s="75">
        <f t="shared" si="31"/>
        <v>23.274000000000001</v>
      </c>
      <c r="Z98" s="76" t="e">
        <f>VLOOKUP(A98,Enforcements!$C$3:$J$26,8,0)</f>
        <v>#N/A</v>
      </c>
      <c r="AA98" s="76" t="e">
        <f>VLOOKUP(A98,Enforcements!$C$3:$J$26,3,0)</f>
        <v>#N/A</v>
      </c>
    </row>
    <row r="99" spans="1:27" s="2" customFormat="1" x14ac:dyDescent="0.25">
      <c r="A99" s="61" t="s">
        <v>326</v>
      </c>
      <c r="B99" s="61">
        <v>4026</v>
      </c>
      <c r="C99" s="61" t="s">
        <v>83</v>
      </c>
      <c r="D99" s="61" t="s">
        <v>327</v>
      </c>
      <c r="E99" s="30">
        <v>42498.671574074076</v>
      </c>
      <c r="F99" s="30">
        <v>42498.672430555554</v>
      </c>
      <c r="G99" s="38">
        <v>1</v>
      </c>
      <c r="H99" s="30" t="s">
        <v>111</v>
      </c>
      <c r="I99" s="30">
        <v>42498.7</v>
      </c>
      <c r="J99" s="61">
        <v>0</v>
      </c>
      <c r="K99" s="61" t="str">
        <f t="shared" si="24"/>
        <v>4025/4026</v>
      </c>
      <c r="L99" s="61" t="str">
        <f>VLOOKUP(A99,'Trips&amp;Operators'!$C$1:$E$9999,3,FALSE)</f>
        <v>GOODNIGHT</v>
      </c>
      <c r="M99" s="12">
        <f t="shared" si="25"/>
        <v>2.7569444442633539E-2</v>
      </c>
      <c r="N99" s="13">
        <f t="shared" si="26"/>
        <v>39.699999997392297</v>
      </c>
      <c r="O99" s="13"/>
      <c r="P99" s="13"/>
      <c r="Q99" s="62"/>
      <c r="R99" s="62"/>
      <c r="T9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16:06:04-0600',mode:absolute,to:'2016-05-08 16:49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99" s="75" t="str">
        <f t="shared" si="28"/>
        <v>N</v>
      </c>
      <c r="V99" s="75">
        <f t="shared" si="23"/>
        <v>1</v>
      </c>
      <c r="W99" s="75">
        <f t="shared" si="29"/>
        <v>23.2881</v>
      </c>
      <c r="X99" s="75">
        <f t="shared" si="30"/>
        <v>1.3599999999999999E-2</v>
      </c>
      <c r="Y99" s="75">
        <f t="shared" si="31"/>
        <v>23.2745</v>
      </c>
      <c r="Z99" s="76" t="e">
        <f>VLOOKUP(A99,Enforcements!$C$3:$J$26,8,0)</f>
        <v>#N/A</v>
      </c>
      <c r="AA99" s="76" t="e">
        <f>VLOOKUP(A99,Enforcements!$C$3:$J$26,3,0)</f>
        <v>#N/A</v>
      </c>
    </row>
    <row r="100" spans="1:27" s="2" customFormat="1" x14ac:dyDescent="0.25">
      <c r="A100" s="61" t="s">
        <v>328</v>
      </c>
      <c r="B100" s="61">
        <v>4016</v>
      </c>
      <c r="C100" s="61" t="s">
        <v>83</v>
      </c>
      <c r="D100" s="61" t="s">
        <v>123</v>
      </c>
      <c r="E100" s="30">
        <v>42498.640474537038</v>
      </c>
      <c r="F100" s="30">
        <v>42498.64162037037</v>
      </c>
      <c r="G100" s="38">
        <v>1</v>
      </c>
      <c r="H100" s="30" t="s">
        <v>163</v>
      </c>
      <c r="I100" s="30">
        <v>42498.671261574076</v>
      </c>
      <c r="J100" s="61">
        <v>0</v>
      </c>
      <c r="K100" s="61" t="str">
        <f t="shared" si="24"/>
        <v>4015/4016</v>
      </c>
      <c r="L100" s="61" t="str">
        <f>VLOOKUP(A100,'Trips&amp;Operators'!$C$1:$E$9999,3,FALSE)</f>
        <v>ACKERMAN</v>
      </c>
      <c r="M100" s="12">
        <f t="shared" si="25"/>
        <v>2.9641203705978114E-2</v>
      </c>
      <c r="N100" s="13">
        <f t="shared" si="26"/>
        <v>42.683333336608484</v>
      </c>
      <c r="O100" s="13"/>
      <c r="P100" s="13"/>
      <c r="Q100" s="62"/>
      <c r="R100" s="62"/>
      <c r="T10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15:21:17-0600',mode:absolute,to:'2016-05-08 16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0" s="75" t="str">
        <f t="shared" si="28"/>
        <v>N</v>
      </c>
      <c r="V100" s="75">
        <f t="shared" si="23"/>
        <v>1</v>
      </c>
      <c r="W100" s="75">
        <f t="shared" si="29"/>
        <v>4.5999999999999999E-2</v>
      </c>
      <c r="X100" s="75">
        <f t="shared" si="30"/>
        <v>23.330100000000002</v>
      </c>
      <c r="Y100" s="75">
        <f t="shared" si="31"/>
        <v>23.284100000000002</v>
      </c>
      <c r="Z100" s="76" t="e">
        <f>VLOOKUP(A100,Enforcements!$C$3:$J$26,8,0)</f>
        <v>#N/A</v>
      </c>
      <c r="AA100" s="76" t="e">
        <f>VLOOKUP(A100,Enforcements!$C$3:$J$26,3,0)</f>
        <v>#N/A</v>
      </c>
    </row>
    <row r="101" spans="1:27" s="2" customFormat="1" x14ac:dyDescent="0.25">
      <c r="A101" s="61" t="s">
        <v>329</v>
      </c>
      <c r="B101" s="61">
        <v>4015</v>
      </c>
      <c r="C101" s="61" t="s">
        <v>83</v>
      </c>
      <c r="D101" s="61" t="s">
        <v>145</v>
      </c>
      <c r="E101" s="30">
        <v>42498.680034722223</v>
      </c>
      <c r="F101" s="30">
        <v>42498.680787037039</v>
      </c>
      <c r="G101" s="38">
        <v>1</v>
      </c>
      <c r="H101" s="30" t="s">
        <v>252</v>
      </c>
      <c r="I101" s="30">
        <v>42498.710752314815</v>
      </c>
      <c r="J101" s="61">
        <v>0</v>
      </c>
      <c r="K101" s="61" t="str">
        <f t="shared" si="24"/>
        <v>4015/4016</v>
      </c>
      <c r="L101" s="61" t="str">
        <f>VLOOKUP(A101,'Trips&amp;Operators'!$C$1:$E$9999,3,FALSE)</f>
        <v>ACKERMAN</v>
      </c>
      <c r="M101" s="12">
        <f t="shared" si="25"/>
        <v>2.9965277775772847E-2</v>
      </c>
      <c r="N101" s="13">
        <f t="shared" si="26"/>
        <v>43.1499999971129</v>
      </c>
      <c r="O101" s="13"/>
      <c r="P101" s="13"/>
      <c r="Q101" s="62"/>
      <c r="R101" s="62"/>
      <c r="T10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16:18:15-0600',mode:absolute,to:'2016-05-08 17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1" s="75" t="str">
        <f t="shared" si="28"/>
        <v>N</v>
      </c>
      <c r="V101" s="75">
        <f t="shared" si="23"/>
        <v>1</v>
      </c>
      <c r="W101" s="75">
        <f t="shared" si="29"/>
        <v>23.2988</v>
      </c>
      <c r="X101" s="75">
        <f t="shared" si="30"/>
        <v>1.47E-2</v>
      </c>
      <c r="Y101" s="75">
        <f t="shared" si="31"/>
        <v>23.284099999999999</v>
      </c>
      <c r="Z101" s="76" t="e">
        <f>VLOOKUP(A101,Enforcements!$C$3:$J$26,8,0)</f>
        <v>#N/A</v>
      </c>
      <c r="AA101" s="76" t="e">
        <f>VLOOKUP(A101,Enforcements!$C$3:$J$26,3,0)</f>
        <v>#N/A</v>
      </c>
    </row>
    <row r="102" spans="1:27" s="2" customFormat="1" x14ac:dyDescent="0.25">
      <c r="A102" s="61" t="s">
        <v>330</v>
      </c>
      <c r="B102" s="61">
        <v>4018</v>
      </c>
      <c r="C102" s="61" t="s">
        <v>83</v>
      </c>
      <c r="D102" s="61" t="s">
        <v>139</v>
      </c>
      <c r="E102" s="30">
        <v>42498.650590277779</v>
      </c>
      <c r="F102" s="30">
        <v>42498.651655092595</v>
      </c>
      <c r="G102" s="38">
        <v>1</v>
      </c>
      <c r="H102" s="30" t="s">
        <v>331</v>
      </c>
      <c r="I102" s="30">
        <v>42498.681562500002</v>
      </c>
      <c r="J102" s="61">
        <v>0</v>
      </c>
      <c r="K102" s="61" t="str">
        <f t="shared" si="24"/>
        <v>4017/4018</v>
      </c>
      <c r="L102" s="61" t="str">
        <f>VLOOKUP(A102,'Trips&amp;Operators'!$C$1:$E$9999,3,FALSE)</f>
        <v>STEWART</v>
      </c>
      <c r="M102" s="12">
        <f t="shared" si="25"/>
        <v>2.9907407406426501E-2</v>
      </c>
      <c r="N102" s="13">
        <f t="shared" si="26"/>
        <v>43.066666665254161</v>
      </c>
      <c r="O102" s="13"/>
      <c r="P102" s="13"/>
      <c r="Q102" s="62"/>
      <c r="R102" s="62"/>
      <c r="T10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15:35:51-0600',mode:absolute,to:'2016-05-08 16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2" s="75" t="str">
        <f t="shared" si="28"/>
        <v>N</v>
      </c>
      <c r="V102" s="75">
        <f t="shared" si="23"/>
        <v>1</v>
      </c>
      <c r="W102" s="75">
        <f t="shared" si="29"/>
        <v>4.58E-2</v>
      </c>
      <c r="X102" s="75">
        <f t="shared" si="30"/>
        <v>23.331700000000001</v>
      </c>
      <c r="Y102" s="75">
        <f t="shared" si="31"/>
        <v>23.285900000000002</v>
      </c>
      <c r="Z102" s="76" t="e">
        <f>VLOOKUP(A102,Enforcements!$C$3:$J$26,8,0)</f>
        <v>#N/A</v>
      </c>
      <c r="AA102" s="76" t="e">
        <f>VLOOKUP(A102,Enforcements!$C$3:$J$26,3,0)</f>
        <v>#N/A</v>
      </c>
    </row>
    <row r="103" spans="1:27" s="2" customFormat="1" x14ac:dyDescent="0.25">
      <c r="A103" s="61" t="s">
        <v>332</v>
      </c>
      <c r="B103" s="61">
        <v>4017</v>
      </c>
      <c r="C103" s="61" t="s">
        <v>83</v>
      </c>
      <c r="D103" s="61" t="s">
        <v>173</v>
      </c>
      <c r="E103" s="30">
        <v>42498.692175925928</v>
      </c>
      <c r="F103" s="30">
        <v>42498.693090277775</v>
      </c>
      <c r="G103" s="38">
        <v>1</v>
      </c>
      <c r="H103" s="30" t="s">
        <v>162</v>
      </c>
      <c r="I103" s="30">
        <v>42498.721585648149</v>
      </c>
      <c r="J103" s="61">
        <v>0</v>
      </c>
      <c r="K103" s="61" t="str">
        <f t="shared" si="24"/>
        <v>4017/4018</v>
      </c>
      <c r="L103" s="61" t="str">
        <f>VLOOKUP(A103,'Trips&amp;Operators'!$C$1:$E$9999,3,FALSE)</f>
        <v>STEWART</v>
      </c>
      <c r="M103" s="12">
        <f t="shared" si="25"/>
        <v>2.849537037400296E-2</v>
      </c>
      <c r="N103" s="13">
        <f t="shared" si="26"/>
        <v>41.033333338564262</v>
      </c>
      <c r="O103" s="13"/>
      <c r="P103" s="13"/>
      <c r="Q103" s="62"/>
      <c r="R103" s="62"/>
      <c r="T10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16:35:44-0600',mode:absolute,to:'2016-05-08 17:20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3" s="75" t="str">
        <f t="shared" si="28"/>
        <v>N</v>
      </c>
      <c r="V103" s="75">
        <f t="shared" si="23"/>
        <v>1</v>
      </c>
      <c r="W103" s="75">
        <f t="shared" si="29"/>
        <v>23.300599999999999</v>
      </c>
      <c r="X103" s="75">
        <f t="shared" si="30"/>
        <v>1.4999999999999999E-2</v>
      </c>
      <c r="Y103" s="75">
        <f t="shared" si="31"/>
        <v>23.285599999999999</v>
      </c>
      <c r="Z103" s="76" t="e">
        <f>VLOOKUP(A103,Enforcements!$C$3:$J$26,8,0)</f>
        <v>#N/A</v>
      </c>
      <c r="AA103" s="76" t="e">
        <f>VLOOKUP(A103,Enforcements!$C$3:$J$26,3,0)</f>
        <v>#N/A</v>
      </c>
    </row>
    <row r="104" spans="1:27" s="2" customFormat="1" x14ac:dyDescent="0.25">
      <c r="A104" s="61" t="s">
        <v>333</v>
      </c>
      <c r="B104" s="61">
        <v>4020</v>
      </c>
      <c r="C104" s="61" t="s">
        <v>83</v>
      </c>
      <c r="D104" s="61" t="s">
        <v>139</v>
      </c>
      <c r="E104" s="30">
        <v>42498.662627314814</v>
      </c>
      <c r="F104" s="30">
        <v>42498.664548611108</v>
      </c>
      <c r="G104" s="38">
        <v>2</v>
      </c>
      <c r="H104" s="30" t="s">
        <v>174</v>
      </c>
      <c r="I104" s="30">
        <v>42498.69127314815</v>
      </c>
      <c r="J104" s="61">
        <v>0</v>
      </c>
      <c r="K104" s="61" t="str">
        <f t="shared" si="24"/>
        <v>4019/4020</v>
      </c>
      <c r="L104" s="61" t="str">
        <f>VLOOKUP(A104,'Trips&amp;Operators'!$C$1:$E$9999,3,FALSE)</f>
        <v>BUTLER</v>
      </c>
      <c r="M104" s="12">
        <f t="shared" si="25"/>
        <v>2.6724537041445728E-2</v>
      </c>
      <c r="N104" s="13">
        <f t="shared" si="26"/>
        <v>38.483333339681849</v>
      </c>
      <c r="O104" s="13"/>
      <c r="P104" s="13"/>
      <c r="Q104" s="62"/>
      <c r="R104" s="62"/>
      <c r="T10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15:53:11-0600',mode:absolute,to:'2016-05-08 16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4" s="75" t="str">
        <f t="shared" si="28"/>
        <v>N</v>
      </c>
      <c r="V104" s="75">
        <f t="shared" si="23"/>
        <v>1</v>
      </c>
      <c r="W104" s="75">
        <f t="shared" si="29"/>
        <v>4.58E-2</v>
      </c>
      <c r="X104" s="75">
        <f t="shared" si="30"/>
        <v>23.3291</v>
      </c>
      <c r="Y104" s="75">
        <f t="shared" si="31"/>
        <v>23.283300000000001</v>
      </c>
      <c r="Z104" s="76" t="e">
        <f>VLOOKUP(A104,Enforcements!$C$3:$J$26,8,0)</f>
        <v>#N/A</v>
      </c>
      <c r="AA104" s="76" t="e">
        <f>VLOOKUP(A104,Enforcements!$C$3:$J$26,3,0)</f>
        <v>#N/A</v>
      </c>
    </row>
    <row r="105" spans="1:27" s="2" customFormat="1" x14ac:dyDescent="0.25">
      <c r="A105" s="61" t="s">
        <v>334</v>
      </c>
      <c r="B105" s="61">
        <v>4019</v>
      </c>
      <c r="C105" s="61" t="s">
        <v>83</v>
      </c>
      <c r="D105" s="61" t="s">
        <v>142</v>
      </c>
      <c r="E105" s="30">
        <v>42498.698784722219</v>
      </c>
      <c r="F105" s="30">
        <v>42498.699745370373</v>
      </c>
      <c r="G105" s="38">
        <v>1</v>
      </c>
      <c r="H105" s="30" t="s">
        <v>118</v>
      </c>
      <c r="I105" s="30">
        <v>42498.730983796297</v>
      </c>
      <c r="J105" s="61">
        <v>1</v>
      </c>
      <c r="K105" s="61" t="str">
        <f t="shared" si="24"/>
        <v>4019/4020</v>
      </c>
      <c r="L105" s="61" t="str">
        <f>VLOOKUP(A105,'Trips&amp;Operators'!$C$1:$E$9999,3,FALSE)</f>
        <v>BUTLER</v>
      </c>
      <c r="M105" s="12">
        <f t="shared" si="25"/>
        <v>3.1238425923220348E-2</v>
      </c>
      <c r="N105" s="13">
        <f t="shared" si="26"/>
        <v>44.983333329437301</v>
      </c>
      <c r="O105" s="13"/>
      <c r="P105" s="13"/>
      <c r="Q105" s="62"/>
      <c r="R105" s="62"/>
      <c r="T10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16:45:15-0600',mode:absolute,to:'2016-05-08 17:33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5" s="75" t="str">
        <f t="shared" si="28"/>
        <v>N</v>
      </c>
      <c r="V105" s="75">
        <f t="shared" si="23"/>
        <v>1</v>
      </c>
      <c r="W105" s="75">
        <f t="shared" si="29"/>
        <v>23.297999999999998</v>
      </c>
      <c r="X105" s="75">
        <f t="shared" si="30"/>
        <v>1.5800000000000002E-2</v>
      </c>
      <c r="Y105" s="75">
        <f t="shared" si="31"/>
        <v>23.2822</v>
      </c>
      <c r="Z105" s="76" t="e">
        <f>VLOOKUP(A105,Enforcements!$C$3:$J$26,8,0)</f>
        <v>#N/A</v>
      </c>
      <c r="AA105" s="76" t="e">
        <f>VLOOKUP(A105,Enforcements!$C$3:$J$26,3,0)</f>
        <v>#N/A</v>
      </c>
    </row>
    <row r="106" spans="1:27" s="2" customFormat="1" x14ac:dyDescent="0.25">
      <c r="A106" s="61" t="s">
        <v>335</v>
      </c>
      <c r="B106" s="61">
        <v>4014</v>
      </c>
      <c r="C106" s="61" t="s">
        <v>83</v>
      </c>
      <c r="D106" s="61" t="s">
        <v>144</v>
      </c>
      <c r="E106" s="30">
        <v>42498.673587962963</v>
      </c>
      <c r="F106" s="30">
        <v>42498.675081018519</v>
      </c>
      <c r="G106" s="38">
        <v>2</v>
      </c>
      <c r="H106" s="30" t="s">
        <v>336</v>
      </c>
      <c r="I106" s="30">
        <v>42498.681875000002</v>
      </c>
      <c r="J106" s="61">
        <v>1</v>
      </c>
      <c r="K106" s="61" t="str">
        <f t="shared" si="24"/>
        <v>4013/4014</v>
      </c>
      <c r="L106" s="61" t="str">
        <f>VLOOKUP(A106,'Trips&amp;Operators'!$C$1:$E$9999,3,FALSE)</f>
        <v>WEBSTER</v>
      </c>
      <c r="M106" s="12">
        <f t="shared" si="25"/>
        <v>6.7939814834971912E-3</v>
      </c>
      <c r="N106" s="13"/>
      <c r="O106" s="13"/>
      <c r="P106" s="13">
        <v>10</v>
      </c>
      <c r="Q106" s="62"/>
      <c r="R106" s="62" t="s">
        <v>442</v>
      </c>
      <c r="T10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16:08:58-0600',mode:absolute,to:'2016-05-08 16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6" s="75" t="str">
        <f t="shared" si="28"/>
        <v>Y</v>
      </c>
      <c r="V106" s="75">
        <f t="shared" si="23"/>
        <v>1</v>
      </c>
      <c r="W106" s="75">
        <f t="shared" si="29"/>
        <v>4.6600000000000003E-2</v>
      </c>
      <c r="X106" s="75">
        <f t="shared" si="30"/>
        <v>2.2523</v>
      </c>
      <c r="Y106" s="75">
        <f t="shared" si="31"/>
        <v>2.2056999999999998</v>
      </c>
      <c r="Z106" s="76">
        <f>VLOOKUP(A106,Enforcements!$C$3:$J$26,8,0)</f>
        <v>21871</v>
      </c>
      <c r="AA106" s="76" t="str">
        <f>VLOOKUP(A106,Enforcements!$C$3:$J$26,3,0)</f>
        <v>PERMANENT SPEED RESTRICTION</v>
      </c>
    </row>
    <row r="107" spans="1:27" s="2" customFormat="1" x14ac:dyDescent="0.25">
      <c r="A107" s="61" t="s">
        <v>337</v>
      </c>
      <c r="B107" s="61">
        <v>4013</v>
      </c>
      <c r="C107" s="61" t="s">
        <v>83</v>
      </c>
      <c r="D107" s="61" t="s">
        <v>98</v>
      </c>
      <c r="E107" s="30">
        <v>42498.710115740738</v>
      </c>
      <c r="F107" s="30">
        <v>42498.711458333331</v>
      </c>
      <c r="G107" s="38">
        <v>1</v>
      </c>
      <c r="H107" s="30" t="s">
        <v>338</v>
      </c>
      <c r="I107" s="30">
        <v>42498.742002314815</v>
      </c>
      <c r="J107" s="61">
        <v>0</v>
      </c>
      <c r="K107" s="61" t="str">
        <f t="shared" si="24"/>
        <v>4013/4014</v>
      </c>
      <c r="L107" s="61" t="str">
        <f>VLOOKUP(A107,'Trips&amp;Operators'!$C$1:$E$9999,3,FALSE)</f>
        <v>WEBSTER</v>
      </c>
      <c r="M107" s="12">
        <f t="shared" si="25"/>
        <v>3.054398148378823E-2</v>
      </c>
      <c r="N107" s="13">
        <f t="shared" si="26"/>
        <v>43.983333336655051</v>
      </c>
      <c r="O107" s="13"/>
      <c r="P107" s="13"/>
      <c r="Q107" s="62"/>
      <c r="R107" s="62"/>
      <c r="T10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17:01:34-0600',mode:absolute,to:'2016-05-08 17:49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7" s="75" t="str">
        <f t="shared" si="28"/>
        <v>N</v>
      </c>
      <c r="V107" s="75">
        <f t="shared" si="23"/>
        <v>1</v>
      </c>
      <c r="W107" s="75">
        <f t="shared" si="29"/>
        <v>23.299099999999999</v>
      </c>
      <c r="X107" s="75">
        <f t="shared" si="30"/>
        <v>9.0899999999999995E-2</v>
      </c>
      <c r="Y107" s="75">
        <f t="shared" si="31"/>
        <v>23.208199999999998</v>
      </c>
      <c r="Z107" s="76" t="e">
        <f>VLOOKUP(A107,Enforcements!$C$3:$J$26,8,0)</f>
        <v>#N/A</v>
      </c>
      <c r="AA107" s="76" t="e">
        <f>VLOOKUP(A107,Enforcements!$C$3:$J$26,3,0)</f>
        <v>#N/A</v>
      </c>
    </row>
    <row r="108" spans="1:27" s="2" customFormat="1" x14ac:dyDescent="0.25">
      <c r="A108" s="61" t="s">
        <v>339</v>
      </c>
      <c r="B108" s="61">
        <v>4040</v>
      </c>
      <c r="C108" s="61" t="s">
        <v>83</v>
      </c>
      <c r="D108" s="61" t="s">
        <v>340</v>
      </c>
      <c r="E108" s="30">
        <v>42498.683680555558</v>
      </c>
      <c r="F108" s="30">
        <v>42498.684756944444</v>
      </c>
      <c r="G108" s="38">
        <v>1</v>
      </c>
      <c r="H108" s="30" t="s">
        <v>341</v>
      </c>
      <c r="I108" s="30">
        <v>42498.712372685186</v>
      </c>
      <c r="J108" s="61">
        <v>0</v>
      </c>
      <c r="K108" s="61" t="str">
        <f t="shared" si="24"/>
        <v>4039/4040</v>
      </c>
      <c r="L108" s="61" t="str">
        <f>VLOOKUP(A108,'Trips&amp;Operators'!$C$1:$E$9999,3,FALSE)</f>
        <v>RIVERA</v>
      </c>
      <c r="M108" s="12">
        <f t="shared" si="25"/>
        <v>2.7615740742476191E-2</v>
      </c>
      <c r="N108" s="13">
        <f t="shared" si="26"/>
        <v>39.766666669165716</v>
      </c>
      <c r="O108" s="13"/>
      <c r="P108" s="13"/>
      <c r="Q108" s="62"/>
      <c r="R108" s="62"/>
      <c r="T10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16:23:30-0600',mode:absolute,to:'2016-05-08 17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8" s="75" t="str">
        <f t="shared" si="28"/>
        <v>N</v>
      </c>
      <c r="V108" s="75">
        <f t="shared" si="23"/>
        <v>1</v>
      </c>
      <c r="W108" s="75">
        <f t="shared" si="29"/>
        <v>4.3299999999999998E-2</v>
      </c>
      <c r="X108" s="75">
        <f t="shared" si="30"/>
        <v>23.334499999999998</v>
      </c>
      <c r="Y108" s="75">
        <f t="shared" si="31"/>
        <v>23.2912</v>
      </c>
      <c r="Z108" s="76" t="e">
        <f>VLOOKUP(A108,Enforcements!$C$3:$J$26,8,0)</f>
        <v>#N/A</v>
      </c>
      <c r="AA108" s="76" t="e">
        <f>VLOOKUP(A108,Enforcements!$C$3:$J$26,3,0)</f>
        <v>#N/A</v>
      </c>
    </row>
    <row r="109" spans="1:27" s="2" customFormat="1" x14ac:dyDescent="0.25">
      <c r="A109" s="61" t="s">
        <v>342</v>
      </c>
      <c r="B109" s="61">
        <v>4039</v>
      </c>
      <c r="C109" s="61" t="s">
        <v>83</v>
      </c>
      <c r="D109" s="61" t="s">
        <v>343</v>
      </c>
      <c r="E109" s="30">
        <v>42498.720439814817</v>
      </c>
      <c r="F109" s="30">
        <v>42498.721238425926</v>
      </c>
      <c r="G109" s="38">
        <v>1</v>
      </c>
      <c r="H109" s="30" t="s">
        <v>141</v>
      </c>
      <c r="I109" s="30">
        <v>42498.752453703702</v>
      </c>
      <c r="J109" s="61">
        <v>0</v>
      </c>
      <c r="K109" s="61" t="str">
        <f t="shared" si="24"/>
        <v>4039/4040</v>
      </c>
      <c r="L109" s="61" t="str">
        <f>VLOOKUP(A109,'Trips&amp;Operators'!$C$1:$E$9999,3,FALSE)</f>
        <v>RIVERA</v>
      </c>
      <c r="M109" s="12">
        <f t="shared" si="25"/>
        <v>3.1215277776937E-2</v>
      </c>
      <c r="N109" s="13">
        <f t="shared" si="26"/>
        <v>44.949999998789281</v>
      </c>
      <c r="O109" s="13"/>
      <c r="P109" s="13"/>
      <c r="Q109" s="62"/>
      <c r="R109" s="62"/>
      <c r="T10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17:16:26-0600',mode:absolute,to:'2016-05-08 18:04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9" s="75" t="str">
        <f t="shared" si="28"/>
        <v>N</v>
      </c>
      <c r="V109" s="75">
        <f t="shared" si="23"/>
        <v>1</v>
      </c>
      <c r="W109" s="75">
        <f t="shared" si="29"/>
        <v>23.3019</v>
      </c>
      <c r="X109" s="75">
        <f t="shared" si="30"/>
        <v>1.61E-2</v>
      </c>
      <c r="Y109" s="75">
        <f t="shared" si="31"/>
        <v>23.285799999999998</v>
      </c>
      <c r="Z109" s="76" t="e">
        <f>VLOOKUP(A109,Enforcements!$C$3:$J$26,8,0)</f>
        <v>#N/A</v>
      </c>
      <c r="AA109" s="76" t="e">
        <f>VLOOKUP(A109,Enforcements!$C$3:$J$26,3,0)</f>
        <v>#N/A</v>
      </c>
    </row>
    <row r="110" spans="1:27" s="2" customFormat="1" x14ac:dyDescent="0.25">
      <c r="A110" s="61" t="s">
        <v>344</v>
      </c>
      <c r="B110" s="61">
        <v>4029</v>
      </c>
      <c r="C110" s="61" t="s">
        <v>83</v>
      </c>
      <c r="D110" s="61" t="s">
        <v>136</v>
      </c>
      <c r="E110" s="30">
        <v>42498.691620370373</v>
      </c>
      <c r="F110" s="30">
        <v>42498.69258101852</v>
      </c>
      <c r="G110" s="38">
        <v>1</v>
      </c>
      <c r="H110" s="30" t="s">
        <v>345</v>
      </c>
      <c r="I110" s="30">
        <v>42498.723553240743</v>
      </c>
      <c r="J110" s="61">
        <v>3</v>
      </c>
      <c r="K110" s="61" t="str">
        <f t="shared" si="24"/>
        <v>4029/4030</v>
      </c>
      <c r="L110" s="61" t="str">
        <f>VLOOKUP(A110,'Trips&amp;Operators'!$C$1:$E$9999,3,FALSE)</f>
        <v>BONDS</v>
      </c>
      <c r="M110" s="12">
        <f t="shared" si="25"/>
        <v>3.0972222222771961E-2</v>
      </c>
      <c r="N110" s="13">
        <f t="shared" si="26"/>
        <v>44.600000000791624</v>
      </c>
      <c r="O110" s="13"/>
      <c r="P110" s="13"/>
      <c r="Q110" s="62"/>
      <c r="R110" s="62"/>
      <c r="T11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16:34:56-0600',mode:absolute,to:'2016-05-08 17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0" s="75" t="str">
        <f t="shared" si="28"/>
        <v>N</v>
      </c>
      <c r="V110" s="75">
        <f t="shared" si="23"/>
        <v>1</v>
      </c>
      <c r="W110" s="75">
        <f t="shared" si="29"/>
        <v>4.3999999999999997E-2</v>
      </c>
      <c r="X110" s="75">
        <f t="shared" si="30"/>
        <v>23.3079</v>
      </c>
      <c r="Y110" s="75">
        <f t="shared" si="31"/>
        <v>23.2639</v>
      </c>
      <c r="Z110" s="76">
        <f>VLOOKUP(A110,Enforcements!$C$3:$J$26,8,0)</f>
        <v>20338</v>
      </c>
      <c r="AA110" s="76" t="str">
        <f>VLOOKUP(A110,Enforcements!$C$3:$J$26,3,0)</f>
        <v>PERMANENT SPEED RESTRICTION</v>
      </c>
    </row>
    <row r="111" spans="1:27" s="2" customFormat="1" x14ac:dyDescent="0.25">
      <c r="A111" s="61" t="s">
        <v>346</v>
      </c>
      <c r="B111" s="61">
        <v>4030</v>
      </c>
      <c r="C111" s="61" t="s">
        <v>83</v>
      </c>
      <c r="D111" s="61" t="s">
        <v>347</v>
      </c>
      <c r="E111" s="30">
        <v>42498.729942129627</v>
      </c>
      <c r="F111" s="30">
        <v>42498.730949074074</v>
      </c>
      <c r="G111" s="38">
        <v>1</v>
      </c>
      <c r="H111" s="30" t="s">
        <v>252</v>
      </c>
      <c r="I111" s="30">
        <v>42498.762141203704</v>
      </c>
      <c r="J111" s="61">
        <v>0</v>
      </c>
      <c r="K111" s="61" t="str">
        <f t="shared" si="24"/>
        <v>4029/4030</v>
      </c>
      <c r="L111" s="61" t="str">
        <f>VLOOKUP(A111,'Trips&amp;Operators'!$C$1:$E$9999,3,FALSE)</f>
        <v>BONDS</v>
      </c>
      <c r="M111" s="12">
        <f t="shared" si="25"/>
        <v>3.1192129630653653E-2</v>
      </c>
      <c r="N111" s="13">
        <f t="shared" si="26"/>
        <v>44.916666668141261</v>
      </c>
      <c r="O111" s="13"/>
      <c r="P111" s="13"/>
      <c r="Q111" s="62"/>
      <c r="R111" s="62"/>
      <c r="T11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17:30:07-0600',mode:absolute,to:'2016-05-08 18:18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1" s="75" t="str">
        <f t="shared" si="28"/>
        <v>N</v>
      </c>
      <c r="V111" s="75">
        <f t="shared" si="23"/>
        <v>1</v>
      </c>
      <c r="W111" s="75">
        <f t="shared" si="29"/>
        <v>23.292300000000001</v>
      </c>
      <c r="X111" s="75">
        <f t="shared" si="30"/>
        <v>1.47E-2</v>
      </c>
      <c r="Y111" s="75">
        <f t="shared" si="31"/>
        <v>23.2776</v>
      </c>
      <c r="Z111" s="76" t="e">
        <f>VLOOKUP(A111,Enforcements!$C$3:$J$26,8,0)</f>
        <v>#N/A</v>
      </c>
      <c r="AA111" s="76" t="e">
        <f>VLOOKUP(A111,Enforcements!$C$3:$J$26,3,0)</f>
        <v>#N/A</v>
      </c>
    </row>
    <row r="112" spans="1:27" s="2" customFormat="1" x14ac:dyDescent="0.25">
      <c r="A112" s="61" t="s">
        <v>348</v>
      </c>
      <c r="B112" s="61">
        <v>4025</v>
      </c>
      <c r="C112" s="61" t="s">
        <v>83</v>
      </c>
      <c r="D112" s="61" t="s">
        <v>120</v>
      </c>
      <c r="E112" s="30">
        <v>42498.702372685184</v>
      </c>
      <c r="F112" s="30">
        <v>42498.70857638889</v>
      </c>
      <c r="G112" s="38">
        <v>8</v>
      </c>
      <c r="H112" s="30" t="s">
        <v>349</v>
      </c>
      <c r="I112" s="30">
        <v>42498.732951388891</v>
      </c>
      <c r="J112" s="61">
        <v>0</v>
      </c>
      <c r="K112" s="61" t="str">
        <f t="shared" si="24"/>
        <v>4025/4026</v>
      </c>
      <c r="L112" s="61" t="str">
        <f>VLOOKUP(A112,'Trips&amp;Operators'!$C$1:$E$9999,3,FALSE)</f>
        <v>GOODNIGHT</v>
      </c>
      <c r="M112" s="12">
        <f t="shared" si="25"/>
        <v>2.4375000000873115E-2</v>
      </c>
      <c r="N112" s="13">
        <f t="shared" si="26"/>
        <v>35.100000001257285</v>
      </c>
      <c r="O112" s="13"/>
      <c r="P112" s="13"/>
      <c r="Q112" s="62"/>
      <c r="R112" s="62"/>
      <c r="T11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16:50:25-0600',mode:absolute,to:'2016-05-08 17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2" s="75" t="str">
        <f t="shared" si="28"/>
        <v>N</v>
      </c>
      <c r="V112" s="75">
        <f t="shared" si="23"/>
        <v>1</v>
      </c>
      <c r="W112" s="75">
        <f t="shared" si="29"/>
        <v>4.53E-2</v>
      </c>
      <c r="X112" s="75">
        <f t="shared" si="30"/>
        <v>23.334900000000001</v>
      </c>
      <c r="Y112" s="75">
        <f t="shared" si="31"/>
        <v>23.2896</v>
      </c>
      <c r="Z112" s="76" t="e">
        <f>VLOOKUP(A112,Enforcements!$C$3:$J$26,8,0)</f>
        <v>#N/A</v>
      </c>
      <c r="AA112" s="76" t="e">
        <f>VLOOKUP(A112,Enforcements!$C$3:$J$26,3,0)</f>
        <v>#N/A</v>
      </c>
    </row>
    <row r="113" spans="1:27" s="2" customFormat="1" x14ac:dyDescent="0.25">
      <c r="A113" s="61" t="s">
        <v>350</v>
      </c>
      <c r="B113" s="61">
        <v>4026</v>
      </c>
      <c r="C113" s="61" t="s">
        <v>83</v>
      </c>
      <c r="D113" s="61" t="s">
        <v>351</v>
      </c>
      <c r="E113" s="30">
        <v>42498.744131944448</v>
      </c>
      <c r="F113" s="30">
        <v>42498.745057870372</v>
      </c>
      <c r="G113" s="38">
        <v>1</v>
      </c>
      <c r="H113" s="30" t="s">
        <v>100</v>
      </c>
      <c r="I113" s="30">
        <v>42498.772986111115</v>
      </c>
      <c r="J113" s="61">
        <v>0</v>
      </c>
      <c r="K113" s="61" t="str">
        <f t="shared" ref="K113:K116" si="32">IF(ISEVEN(B113),(B113-1)&amp;"/"&amp;B113,B113&amp;"/"&amp;(B113+1))</f>
        <v>4025/4026</v>
      </c>
      <c r="L113" s="61" t="str">
        <f>VLOOKUP(A113,'Trips&amp;Operators'!$C$1:$E$9999,3,FALSE)</f>
        <v>GOODNIGHT</v>
      </c>
      <c r="M113" s="12">
        <f t="shared" ref="M113:M116" si="33">I113-F113</f>
        <v>2.792824074276723E-2</v>
      </c>
      <c r="N113" s="13">
        <f t="shared" si="26"/>
        <v>40.216666669584811</v>
      </c>
      <c r="O113" s="13"/>
      <c r="P113" s="13"/>
      <c r="Q113" s="62"/>
      <c r="R113" s="62"/>
      <c r="T11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17:50:33-0600',mode:absolute,to:'2016-05-08 18:34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3" s="75" t="str">
        <f t="shared" si="28"/>
        <v>N</v>
      </c>
      <c r="V113" s="75">
        <f t="shared" si="23"/>
        <v>1</v>
      </c>
      <c r="W113" s="75">
        <f t="shared" si="29"/>
        <v>23.302800000000001</v>
      </c>
      <c r="X113" s="75">
        <f t="shared" si="30"/>
        <v>1.54E-2</v>
      </c>
      <c r="Y113" s="75">
        <f t="shared" si="31"/>
        <v>23.287400000000002</v>
      </c>
      <c r="Z113" s="76" t="e">
        <f>VLOOKUP(A113,Enforcements!$C$3:$J$26,8,0)</f>
        <v>#N/A</v>
      </c>
      <c r="AA113" s="76" t="e">
        <f>VLOOKUP(A113,Enforcements!$C$3:$J$26,3,0)</f>
        <v>#N/A</v>
      </c>
    </row>
    <row r="114" spans="1:27" s="2" customFormat="1" x14ac:dyDescent="0.25">
      <c r="A114" s="61" t="s">
        <v>352</v>
      </c>
      <c r="B114" s="61">
        <v>4016</v>
      </c>
      <c r="C114" s="61" t="s">
        <v>83</v>
      </c>
      <c r="D114" s="61" t="s">
        <v>136</v>
      </c>
      <c r="E114" s="30">
        <v>42498.714108796295</v>
      </c>
      <c r="F114" s="30">
        <v>42498.715300925927</v>
      </c>
      <c r="G114" s="38">
        <v>1</v>
      </c>
      <c r="H114" s="30" t="s">
        <v>353</v>
      </c>
      <c r="I114" s="30">
        <v>42498.744745370372</v>
      </c>
      <c r="J114" s="61">
        <v>0</v>
      </c>
      <c r="K114" s="61" t="str">
        <f t="shared" si="32"/>
        <v>4015/4016</v>
      </c>
      <c r="L114" s="61" t="str">
        <f>VLOOKUP(A114,'Trips&amp;Operators'!$C$1:$E$9999,3,FALSE)</f>
        <v>COCA</v>
      </c>
      <c r="M114" s="12">
        <f t="shared" si="33"/>
        <v>2.9444444444379769E-2</v>
      </c>
      <c r="N114" s="13">
        <f t="shared" si="26"/>
        <v>42.399999999906868</v>
      </c>
      <c r="O114" s="13"/>
      <c r="P114" s="13"/>
      <c r="Q114" s="62"/>
      <c r="R114" s="62"/>
      <c r="T11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17:07:19-0600',mode:absolute,to:'2016-05-08 17:53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4" s="75" t="str">
        <f t="shared" si="28"/>
        <v>N</v>
      </c>
      <c r="V114" s="75">
        <f t="shared" si="23"/>
        <v>1</v>
      </c>
      <c r="W114" s="75">
        <f t="shared" si="29"/>
        <v>4.3999999999999997E-2</v>
      </c>
      <c r="X114" s="75">
        <f t="shared" si="30"/>
        <v>23.3293</v>
      </c>
      <c r="Y114" s="75">
        <f t="shared" si="31"/>
        <v>23.285299999999999</v>
      </c>
      <c r="Z114" s="76" t="e">
        <f>VLOOKUP(A114,Enforcements!$C$3:$J$26,8,0)</f>
        <v>#N/A</v>
      </c>
      <c r="AA114" s="76" t="e">
        <f>VLOOKUP(A114,Enforcements!$C$3:$J$26,3,0)</f>
        <v>#N/A</v>
      </c>
    </row>
    <row r="115" spans="1:27" s="2" customFormat="1" x14ac:dyDescent="0.25">
      <c r="A115" s="61" t="s">
        <v>354</v>
      </c>
      <c r="B115" s="61">
        <v>4015</v>
      </c>
      <c r="C115" s="61" t="s">
        <v>83</v>
      </c>
      <c r="D115" s="61" t="s">
        <v>168</v>
      </c>
      <c r="E115" s="30">
        <v>42498.750358796293</v>
      </c>
      <c r="F115" s="30">
        <v>42498.752071759256</v>
      </c>
      <c r="G115" s="38">
        <v>2</v>
      </c>
      <c r="H115" s="30" t="s">
        <v>92</v>
      </c>
      <c r="I115" s="30">
        <v>42498.784837962965</v>
      </c>
      <c r="J115" s="61">
        <v>0</v>
      </c>
      <c r="K115" s="61" t="str">
        <f t="shared" si="32"/>
        <v>4015/4016</v>
      </c>
      <c r="L115" s="61" t="str">
        <f>VLOOKUP(A115,'Trips&amp;Operators'!$C$1:$E$9999,3,FALSE)</f>
        <v>COCA</v>
      </c>
      <c r="M115" s="12">
        <f t="shared" si="33"/>
        <v>3.2766203708888497E-2</v>
      </c>
      <c r="N115" s="13">
        <f t="shared" si="26"/>
        <v>47.183333340799436</v>
      </c>
      <c r="O115" s="13"/>
      <c r="P115" s="13"/>
      <c r="Q115" s="62"/>
      <c r="R115" s="62"/>
      <c r="T11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17:59:31-0600',mode:absolute,to:'2016-05-08 18:51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5" s="75" t="str">
        <f t="shared" si="28"/>
        <v>N</v>
      </c>
      <c r="V115" s="75">
        <f t="shared" si="23"/>
        <v>1</v>
      </c>
      <c r="W115" s="75">
        <f t="shared" si="29"/>
        <v>23.298300000000001</v>
      </c>
      <c r="X115" s="75">
        <f t="shared" si="30"/>
        <v>1.5599999999999999E-2</v>
      </c>
      <c r="Y115" s="75">
        <f t="shared" si="31"/>
        <v>23.282700000000002</v>
      </c>
      <c r="Z115" s="76" t="e">
        <f>VLOOKUP(A115,Enforcements!$C$3:$J$26,8,0)</f>
        <v>#N/A</v>
      </c>
      <c r="AA115" s="76" t="e">
        <f>VLOOKUP(A115,Enforcements!$C$3:$J$26,3,0)</f>
        <v>#N/A</v>
      </c>
    </row>
    <row r="116" spans="1:27" s="2" customFormat="1" x14ac:dyDescent="0.25">
      <c r="A116" s="61" t="s">
        <v>355</v>
      </c>
      <c r="B116" s="61">
        <v>4018</v>
      </c>
      <c r="C116" s="61" t="s">
        <v>83</v>
      </c>
      <c r="D116" s="61" t="s">
        <v>103</v>
      </c>
      <c r="E116" s="30">
        <v>42498.725451388891</v>
      </c>
      <c r="F116" s="30">
        <v>42498.726678240739</v>
      </c>
      <c r="G116" s="38">
        <v>1</v>
      </c>
      <c r="H116" s="30" t="s">
        <v>99</v>
      </c>
      <c r="I116" s="30">
        <v>42498.754467592589</v>
      </c>
      <c r="J116" s="61">
        <v>0</v>
      </c>
      <c r="K116" s="61" t="str">
        <f t="shared" si="32"/>
        <v>4017/4018</v>
      </c>
      <c r="L116" s="61" t="str">
        <f>VLOOKUP(A116,'Trips&amp;Operators'!$C$1:$E$9999,3,FALSE)</f>
        <v>STEWART</v>
      </c>
      <c r="M116" s="12">
        <f t="shared" si="33"/>
        <v>2.7789351850515231E-2</v>
      </c>
      <c r="N116" s="13">
        <f t="shared" si="26"/>
        <v>40.016666664741933</v>
      </c>
      <c r="O116" s="13"/>
      <c r="P116" s="13"/>
      <c r="Q116" s="62"/>
      <c r="R116" s="62"/>
      <c r="T11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17:23:39-0600',mode:absolute,to:'2016-05-08 18:07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6" s="75" t="str">
        <f t="shared" si="28"/>
        <v>N</v>
      </c>
      <c r="V116" s="75">
        <f t="shared" si="23"/>
        <v>1</v>
      </c>
      <c r="W116" s="75">
        <f t="shared" si="29"/>
        <v>4.4900000000000002E-2</v>
      </c>
      <c r="X116" s="75">
        <f t="shared" si="30"/>
        <v>23.330500000000001</v>
      </c>
      <c r="Y116" s="75">
        <f t="shared" si="31"/>
        <v>23.285600000000002</v>
      </c>
      <c r="Z116" s="76" t="e">
        <f>VLOOKUP(A116,Enforcements!$C$3:$J$26,8,0)</f>
        <v>#N/A</v>
      </c>
      <c r="AA116" s="76" t="e">
        <f>VLOOKUP(A116,Enforcements!$C$3:$J$26,3,0)</f>
        <v>#N/A</v>
      </c>
    </row>
    <row r="117" spans="1:27" s="2" customFormat="1" x14ac:dyDescent="0.25">
      <c r="A117" s="61" t="s">
        <v>356</v>
      </c>
      <c r="B117" s="61">
        <v>4017</v>
      </c>
      <c r="C117" s="61" t="s">
        <v>83</v>
      </c>
      <c r="D117" s="61" t="s">
        <v>177</v>
      </c>
      <c r="E117" s="30">
        <v>42498.766909722224</v>
      </c>
      <c r="F117" s="30">
        <v>42498.76767361111</v>
      </c>
      <c r="G117" s="38">
        <v>1</v>
      </c>
      <c r="H117" s="30" t="s">
        <v>126</v>
      </c>
      <c r="I117" s="30">
        <v>42498.793854166666</v>
      </c>
      <c r="J117" s="61">
        <v>0</v>
      </c>
      <c r="K117" s="61" t="str">
        <f t="shared" ref="K117:K150" si="34">IF(ISEVEN(B117),(B117-1)&amp;"/"&amp;B117,B117&amp;"/"&amp;(B117+1))</f>
        <v>4017/4018</v>
      </c>
      <c r="L117" s="61" t="str">
        <f>VLOOKUP(A117,'Trips&amp;Operators'!$C$1:$E$9999,3,FALSE)</f>
        <v>STEWART</v>
      </c>
      <c r="M117" s="12">
        <f t="shared" ref="M117:M150" si="35">I117-F117</f>
        <v>2.6180555556493346E-2</v>
      </c>
      <c r="N117" s="13">
        <f t="shared" si="26"/>
        <v>37.700000001350418</v>
      </c>
      <c r="O117" s="13"/>
      <c r="P117" s="13"/>
      <c r="Q117" s="62"/>
      <c r="R117" s="62"/>
      <c r="T11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18:23:21-0600',mode:absolute,to:'2016-05-08 19:04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17" s="75" t="str">
        <f t="shared" si="28"/>
        <v>N</v>
      </c>
      <c r="V117" s="75">
        <f t="shared" si="23"/>
        <v>1</v>
      </c>
      <c r="W117" s="75">
        <f t="shared" si="29"/>
        <v>23.296099999999999</v>
      </c>
      <c r="X117" s="75">
        <f t="shared" si="30"/>
        <v>1.52E-2</v>
      </c>
      <c r="Y117" s="75">
        <f t="shared" si="31"/>
        <v>23.280899999999999</v>
      </c>
      <c r="Z117" s="76" t="e">
        <f>VLOOKUP(A117,Enforcements!$C$3:$J$26,8,0)</f>
        <v>#N/A</v>
      </c>
      <c r="AA117" s="76" t="e">
        <f>VLOOKUP(A117,Enforcements!$C$3:$J$26,3,0)</f>
        <v>#N/A</v>
      </c>
    </row>
    <row r="118" spans="1:27" s="2" customFormat="1" x14ac:dyDescent="0.25">
      <c r="A118" s="61" t="s">
        <v>357</v>
      </c>
      <c r="B118" s="61">
        <v>4020</v>
      </c>
      <c r="C118" s="61" t="s">
        <v>83</v>
      </c>
      <c r="D118" s="61" t="s">
        <v>97</v>
      </c>
      <c r="E118" s="30">
        <v>42498.736215277779</v>
      </c>
      <c r="F118" s="30">
        <v>42498.73777777778</v>
      </c>
      <c r="G118" s="38">
        <v>2</v>
      </c>
      <c r="H118" s="30" t="s">
        <v>101</v>
      </c>
      <c r="I118" s="30">
        <v>42498.765983796293</v>
      </c>
      <c r="J118" s="61">
        <v>0</v>
      </c>
      <c r="K118" s="61" t="str">
        <f t="shared" si="34"/>
        <v>4019/4020</v>
      </c>
      <c r="L118" s="61" t="str">
        <f>VLOOKUP(A118,'Trips&amp;Operators'!$C$1:$E$9999,3,FALSE)</f>
        <v>YOUNG</v>
      </c>
      <c r="M118" s="12">
        <f t="shared" si="35"/>
        <v>2.8206018512719311E-2</v>
      </c>
      <c r="N118" s="13">
        <f t="shared" si="26"/>
        <v>40.616666658315808</v>
      </c>
      <c r="O118" s="13"/>
      <c r="P118" s="13"/>
      <c r="Q118" s="62"/>
      <c r="R118" s="62"/>
      <c r="T11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17:39:09-0600',mode:absolute,to:'2016-05-08 18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8" s="75" t="str">
        <f t="shared" si="28"/>
        <v>N</v>
      </c>
      <c r="V118" s="75">
        <f t="shared" si="23"/>
        <v>1</v>
      </c>
      <c r="W118" s="75">
        <f t="shared" si="29"/>
        <v>4.5699999999999998E-2</v>
      </c>
      <c r="X118" s="75">
        <f t="shared" si="30"/>
        <v>23.3306</v>
      </c>
      <c r="Y118" s="75">
        <f t="shared" si="31"/>
        <v>23.2849</v>
      </c>
      <c r="Z118" s="76" t="e">
        <f>VLOOKUP(A118,Enforcements!$C$3:$J$26,8,0)</f>
        <v>#N/A</v>
      </c>
      <c r="AA118" s="76" t="e">
        <f>VLOOKUP(A118,Enforcements!$C$3:$J$26,3,0)</f>
        <v>#N/A</v>
      </c>
    </row>
    <row r="119" spans="1:27" s="2" customFormat="1" x14ac:dyDescent="0.25">
      <c r="A119" s="61" t="s">
        <v>358</v>
      </c>
      <c r="B119" s="61">
        <v>4019</v>
      </c>
      <c r="C119" s="61" t="s">
        <v>83</v>
      </c>
      <c r="D119" s="61" t="s">
        <v>169</v>
      </c>
      <c r="E119" s="30">
        <v>42498.769675925927</v>
      </c>
      <c r="F119" s="30">
        <v>42498.770925925928</v>
      </c>
      <c r="G119" s="38">
        <v>1</v>
      </c>
      <c r="H119" s="30" t="s">
        <v>161</v>
      </c>
      <c r="I119" s="30">
        <v>42498.808136574073</v>
      </c>
      <c r="J119" s="61">
        <v>0</v>
      </c>
      <c r="K119" s="61" t="str">
        <f t="shared" si="34"/>
        <v>4019/4020</v>
      </c>
      <c r="L119" s="61" t="str">
        <f>VLOOKUP(A119,'Trips&amp;Operators'!$C$1:$E$9999,3,FALSE)</f>
        <v>YOUNG</v>
      </c>
      <c r="M119" s="12">
        <f t="shared" si="35"/>
        <v>3.7210648144537117E-2</v>
      </c>
      <c r="N119" s="13">
        <f t="shared" si="26"/>
        <v>53.583333328133449</v>
      </c>
      <c r="O119" s="13"/>
      <c r="P119" s="13"/>
      <c r="Q119" s="62"/>
      <c r="R119" s="62"/>
      <c r="T11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18:27:20-0600',mode:absolute,to:'2016-05-08 19:24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9" s="75" t="str">
        <f t="shared" si="28"/>
        <v>N</v>
      </c>
      <c r="V119" s="75">
        <f t="shared" si="23"/>
        <v>1</v>
      </c>
      <c r="W119" s="75">
        <f t="shared" si="29"/>
        <v>23.298100000000002</v>
      </c>
      <c r="X119" s="75">
        <f t="shared" si="30"/>
        <v>1.41E-2</v>
      </c>
      <c r="Y119" s="75">
        <f t="shared" si="31"/>
        <v>23.284000000000002</v>
      </c>
      <c r="Z119" s="76" t="e">
        <f>VLOOKUP(A119,Enforcements!$C$3:$J$26,8,0)</f>
        <v>#N/A</v>
      </c>
      <c r="AA119" s="76" t="e">
        <f>VLOOKUP(A119,Enforcements!$C$3:$J$26,3,0)</f>
        <v>#N/A</v>
      </c>
    </row>
    <row r="120" spans="1:27" s="2" customFormat="1" x14ac:dyDescent="0.25">
      <c r="A120" s="61" t="s">
        <v>359</v>
      </c>
      <c r="B120" s="61">
        <v>4024</v>
      </c>
      <c r="C120" s="61" t="s">
        <v>83</v>
      </c>
      <c r="D120" s="61" t="s">
        <v>360</v>
      </c>
      <c r="E120" s="30">
        <v>42498.746550925927</v>
      </c>
      <c r="F120" s="30">
        <v>42498.747777777775</v>
      </c>
      <c r="G120" s="38">
        <v>1</v>
      </c>
      <c r="H120" s="30" t="s">
        <v>143</v>
      </c>
      <c r="I120" s="30">
        <v>42498.774884259263</v>
      </c>
      <c r="J120" s="61">
        <v>1</v>
      </c>
      <c r="K120" s="61" t="str">
        <f t="shared" si="34"/>
        <v>4023/4024</v>
      </c>
      <c r="L120" s="61" t="str">
        <f>VLOOKUP(A120,'Trips&amp;Operators'!$C$1:$E$9999,3,FALSE)</f>
        <v>WEBSTER</v>
      </c>
      <c r="M120" s="12">
        <f t="shared" si="35"/>
        <v>2.7106481487862766E-2</v>
      </c>
      <c r="N120" s="13">
        <f t="shared" si="26"/>
        <v>39.033333342522383</v>
      </c>
      <c r="O120" s="13"/>
      <c r="P120" s="13"/>
      <c r="Q120" s="62"/>
      <c r="R120" s="62"/>
      <c r="T12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17:54:02-0600',mode:absolute,to:'2016-05-08 18:36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0" s="75" t="str">
        <f t="shared" si="28"/>
        <v>N</v>
      </c>
      <c r="V120" s="75">
        <f t="shared" si="23"/>
        <v>1</v>
      </c>
      <c r="W120" s="75">
        <f t="shared" si="29"/>
        <v>4.8000000000000001E-2</v>
      </c>
      <c r="X120" s="75">
        <f t="shared" si="30"/>
        <v>23.328399999999998</v>
      </c>
      <c r="Y120" s="75">
        <f t="shared" si="31"/>
        <v>23.2804</v>
      </c>
      <c r="Z120" s="76" t="e">
        <f>VLOOKUP(A120,Enforcements!$C$3:$J$26,8,0)</f>
        <v>#N/A</v>
      </c>
      <c r="AA120" s="76" t="e">
        <f>VLOOKUP(A120,Enforcements!$C$3:$J$26,3,0)</f>
        <v>#N/A</v>
      </c>
    </row>
    <row r="121" spans="1:27" s="2" customFormat="1" x14ac:dyDescent="0.25">
      <c r="A121" s="61" t="s">
        <v>361</v>
      </c>
      <c r="B121" s="61">
        <v>4023</v>
      </c>
      <c r="C121" s="61" t="s">
        <v>83</v>
      </c>
      <c r="D121" s="61" t="s">
        <v>362</v>
      </c>
      <c r="E121" s="30">
        <v>42498.786828703705</v>
      </c>
      <c r="F121" s="30">
        <v>42498.787638888891</v>
      </c>
      <c r="G121" s="38">
        <v>1</v>
      </c>
      <c r="H121" s="30" t="s">
        <v>252</v>
      </c>
      <c r="I121" s="30">
        <v>42498.814652777779</v>
      </c>
      <c r="J121" s="61">
        <v>1</v>
      </c>
      <c r="K121" s="61" t="str">
        <f t="shared" si="34"/>
        <v>4023/4024</v>
      </c>
      <c r="L121" s="61" t="str">
        <f>VLOOKUP(A121,'Trips&amp;Operators'!$C$1:$E$9999,3,FALSE)</f>
        <v>WEBSTER</v>
      </c>
      <c r="M121" s="12">
        <f t="shared" si="35"/>
        <v>2.7013888888177462E-2</v>
      </c>
      <c r="N121" s="13">
        <f t="shared" si="26"/>
        <v>38.899999998975545</v>
      </c>
      <c r="O121" s="13"/>
      <c r="P121" s="13"/>
      <c r="Q121" s="62"/>
      <c r="R121" s="62"/>
      <c r="T12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18:52:02-0600',mode:absolute,to:'2016-05-08 19:34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1" s="75" t="str">
        <f t="shared" si="28"/>
        <v>N</v>
      </c>
      <c r="V121" s="75">
        <f t="shared" si="23"/>
        <v>1</v>
      </c>
      <c r="W121" s="75">
        <f t="shared" si="29"/>
        <v>23.296299999999999</v>
      </c>
      <c r="X121" s="75">
        <f t="shared" si="30"/>
        <v>1.47E-2</v>
      </c>
      <c r="Y121" s="75">
        <f t="shared" si="31"/>
        <v>23.281599999999997</v>
      </c>
      <c r="Z121" s="76" t="e">
        <f>VLOOKUP(A121,Enforcements!$C$3:$J$26,8,0)</f>
        <v>#N/A</v>
      </c>
      <c r="AA121" s="76" t="e">
        <f>VLOOKUP(A121,Enforcements!$C$3:$J$26,3,0)</f>
        <v>#N/A</v>
      </c>
    </row>
    <row r="122" spans="1:27" s="2" customFormat="1" x14ac:dyDescent="0.25">
      <c r="A122" s="61" t="s">
        <v>363</v>
      </c>
      <c r="B122" s="61">
        <v>4040</v>
      </c>
      <c r="C122" s="61" t="s">
        <v>83</v>
      </c>
      <c r="D122" s="61" t="s">
        <v>97</v>
      </c>
      <c r="E122" s="30">
        <v>42498.756307870368</v>
      </c>
      <c r="F122" s="30">
        <v>42498.757800925923</v>
      </c>
      <c r="G122" s="38">
        <v>2</v>
      </c>
      <c r="H122" s="30" t="s">
        <v>364</v>
      </c>
      <c r="I122" s="30">
        <v>42498.785185185188</v>
      </c>
      <c r="J122" s="61">
        <v>1</v>
      </c>
      <c r="K122" s="61" t="str">
        <f t="shared" si="34"/>
        <v>4039/4040</v>
      </c>
      <c r="L122" s="61" t="str">
        <f>VLOOKUP(A122,'Trips&amp;Operators'!$C$1:$E$9999,3,FALSE)</f>
        <v>HONTZ</v>
      </c>
      <c r="M122" s="12">
        <f t="shared" si="35"/>
        <v>2.7384259265090805E-2</v>
      </c>
      <c r="N122" s="13">
        <f t="shared" si="26"/>
        <v>39.433333341730759</v>
      </c>
      <c r="O122" s="13"/>
      <c r="P122" s="13"/>
      <c r="Q122" s="62"/>
      <c r="R122" s="62"/>
      <c r="T12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18:08:05-0600',mode:absolute,to:'2016-05-08 18:51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2" s="75" t="str">
        <f t="shared" si="28"/>
        <v>N</v>
      </c>
      <c r="V122" s="75">
        <f t="shared" si="23"/>
        <v>1</v>
      </c>
      <c r="W122" s="75">
        <f t="shared" si="29"/>
        <v>4.5699999999999998E-2</v>
      </c>
      <c r="X122" s="75">
        <f t="shared" si="30"/>
        <v>23.334599999999998</v>
      </c>
      <c r="Y122" s="75">
        <f t="shared" si="31"/>
        <v>23.288899999999998</v>
      </c>
      <c r="Z122" s="76" t="e">
        <f>VLOOKUP(A122,Enforcements!$C$3:$J$26,8,0)</f>
        <v>#N/A</v>
      </c>
      <c r="AA122" s="76" t="e">
        <f>VLOOKUP(A122,Enforcements!$C$3:$J$26,3,0)</f>
        <v>#N/A</v>
      </c>
    </row>
    <row r="123" spans="1:27" s="2" customFormat="1" x14ac:dyDescent="0.25">
      <c r="A123" s="61" t="s">
        <v>365</v>
      </c>
      <c r="B123" s="61">
        <v>4039</v>
      </c>
      <c r="C123" s="61" t="s">
        <v>83</v>
      </c>
      <c r="D123" s="61" t="s">
        <v>366</v>
      </c>
      <c r="E123" s="30">
        <v>42498.793032407404</v>
      </c>
      <c r="F123" s="30">
        <v>42498.794004629628</v>
      </c>
      <c r="G123" s="38">
        <v>1</v>
      </c>
      <c r="H123" s="30" t="s">
        <v>182</v>
      </c>
      <c r="I123" s="30">
        <v>42498.825370370374</v>
      </c>
      <c r="J123" s="61">
        <v>1</v>
      </c>
      <c r="K123" s="61" t="str">
        <f t="shared" si="34"/>
        <v>4039/4040</v>
      </c>
      <c r="L123" s="61" t="str">
        <f>VLOOKUP(A123,'Trips&amp;Operators'!$C$1:$E$9999,3,FALSE)</f>
        <v>HONTZ</v>
      </c>
      <c r="M123" s="12">
        <f t="shared" si="35"/>
        <v>3.1365740745968651E-2</v>
      </c>
      <c r="N123" s="13">
        <f t="shared" si="26"/>
        <v>45.166666674194857</v>
      </c>
      <c r="O123" s="13"/>
      <c r="P123" s="13"/>
      <c r="Q123" s="62"/>
      <c r="R123" s="62"/>
      <c r="T12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19:00:58-0600',mode:absolute,to:'2016-05-08 19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3" s="75" t="str">
        <f t="shared" si="28"/>
        <v>N</v>
      </c>
      <c r="V123" s="75">
        <f t="shared" si="23"/>
        <v>1</v>
      </c>
      <c r="W123" s="75">
        <f t="shared" si="29"/>
        <v>23.304500000000001</v>
      </c>
      <c r="X123" s="75">
        <f t="shared" si="30"/>
        <v>1.6500000000000001E-2</v>
      </c>
      <c r="Y123" s="75">
        <f t="shared" si="31"/>
        <v>23.288</v>
      </c>
      <c r="Z123" s="76" t="e">
        <f>VLOOKUP(A123,Enforcements!$C$3:$J$26,8,0)</f>
        <v>#N/A</v>
      </c>
      <c r="AA123" s="76" t="e">
        <f>VLOOKUP(A123,Enforcements!$C$3:$J$26,3,0)</f>
        <v>#N/A</v>
      </c>
    </row>
    <row r="124" spans="1:27" s="2" customFormat="1" x14ac:dyDescent="0.25">
      <c r="A124" s="61" t="s">
        <v>367</v>
      </c>
      <c r="B124" s="61">
        <v>4029</v>
      </c>
      <c r="C124" s="61" t="s">
        <v>83</v>
      </c>
      <c r="D124" s="61" t="s">
        <v>107</v>
      </c>
      <c r="E124" s="30">
        <v>42498.766886574071</v>
      </c>
      <c r="F124" s="30">
        <v>42498.768738425926</v>
      </c>
      <c r="G124" s="38">
        <v>2</v>
      </c>
      <c r="H124" s="30" t="s">
        <v>368</v>
      </c>
      <c r="I124" s="30">
        <v>42498.796215277776</v>
      </c>
      <c r="J124" s="61">
        <v>1</v>
      </c>
      <c r="K124" s="61" t="str">
        <f t="shared" si="34"/>
        <v>4029/4030</v>
      </c>
      <c r="L124" s="61" t="str">
        <f>VLOOKUP(A124,'Trips&amp;Operators'!$C$1:$E$9999,3,FALSE)</f>
        <v>BARTLETT</v>
      </c>
      <c r="M124" s="12">
        <f t="shared" si="35"/>
        <v>2.7476851850224193E-2</v>
      </c>
      <c r="N124" s="13">
        <f t="shared" si="26"/>
        <v>39.566666664322838</v>
      </c>
      <c r="O124" s="13"/>
      <c r="P124" s="13"/>
      <c r="Q124" s="62"/>
      <c r="R124" s="62"/>
      <c r="T12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18:23:19-0600',mode:absolute,to:'2016-05-08 19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4" s="75" t="str">
        <f t="shared" si="28"/>
        <v>N</v>
      </c>
      <c r="V124" s="75">
        <f t="shared" si="23"/>
        <v>1</v>
      </c>
      <c r="W124" s="75">
        <f t="shared" si="29"/>
        <v>4.4400000000000002E-2</v>
      </c>
      <c r="X124" s="75">
        <f t="shared" si="30"/>
        <v>23.3126</v>
      </c>
      <c r="Y124" s="75">
        <f t="shared" si="31"/>
        <v>23.2682</v>
      </c>
      <c r="Z124" s="76" t="e">
        <f>VLOOKUP(A124,Enforcements!$C$3:$J$26,8,0)</f>
        <v>#N/A</v>
      </c>
      <c r="AA124" s="76" t="e">
        <f>VLOOKUP(A124,Enforcements!$C$3:$J$26,3,0)</f>
        <v>#N/A</v>
      </c>
    </row>
    <row r="125" spans="1:27" s="2" customFormat="1" x14ac:dyDescent="0.25">
      <c r="A125" s="61" t="s">
        <v>369</v>
      </c>
      <c r="B125" s="61">
        <v>4030</v>
      </c>
      <c r="C125" s="61" t="s">
        <v>83</v>
      </c>
      <c r="D125" s="61" t="s">
        <v>137</v>
      </c>
      <c r="E125" s="30">
        <v>42498.802870370368</v>
      </c>
      <c r="F125" s="30">
        <v>42498.804918981485</v>
      </c>
      <c r="G125" s="38">
        <v>2</v>
      </c>
      <c r="H125" s="30" t="s">
        <v>102</v>
      </c>
      <c r="I125" s="30">
        <v>42498.836319444446</v>
      </c>
      <c r="J125" s="61">
        <v>0</v>
      </c>
      <c r="K125" s="61" t="str">
        <f t="shared" si="34"/>
        <v>4029/4030</v>
      </c>
      <c r="L125" s="61" t="str">
        <f>VLOOKUP(A125,'Trips&amp;Operators'!$C$1:$E$9999,3,FALSE)</f>
        <v>BARTLETT</v>
      </c>
      <c r="M125" s="12">
        <f t="shared" si="35"/>
        <v>3.1400462961755693E-2</v>
      </c>
      <c r="N125" s="13">
        <f t="shared" si="26"/>
        <v>45.216666664928198</v>
      </c>
      <c r="O125" s="13"/>
      <c r="P125" s="13"/>
      <c r="Q125" s="62"/>
      <c r="R125" s="62"/>
      <c r="T12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19:15:08-0600',mode:absolute,to:'2016-05-08 20:05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5" s="75" t="str">
        <f t="shared" si="28"/>
        <v>N</v>
      </c>
      <c r="V125" s="75">
        <f t="shared" si="23"/>
        <v>1</v>
      </c>
      <c r="W125" s="75">
        <f t="shared" si="29"/>
        <v>23.296900000000001</v>
      </c>
      <c r="X125" s="75">
        <f t="shared" si="30"/>
        <v>1.6E-2</v>
      </c>
      <c r="Y125" s="75">
        <f t="shared" si="31"/>
        <v>23.280900000000003</v>
      </c>
      <c r="Z125" s="76" t="e">
        <f>VLOOKUP(A125,Enforcements!$C$3:$J$26,8,0)</f>
        <v>#N/A</v>
      </c>
      <c r="AA125" s="76" t="e">
        <f>VLOOKUP(A125,Enforcements!$C$3:$J$26,3,0)</f>
        <v>#N/A</v>
      </c>
    </row>
    <row r="126" spans="1:27" s="2" customFormat="1" x14ac:dyDescent="0.25">
      <c r="A126" s="61" t="s">
        <v>370</v>
      </c>
      <c r="B126" s="61">
        <v>4016</v>
      </c>
      <c r="C126" s="61" t="s">
        <v>83</v>
      </c>
      <c r="D126" s="61" t="s">
        <v>133</v>
      </c>
      <c r="E126" s="30">
        <v>42498.786585648151</v>
      </c>
      <c r="F126" s="30">
        <v>42498.787719907406</v>
      </c>
      <c r="G126" s="38">
        <v>1</v>
      </c>
      <c r="H126" s="30" t="s">
        <v>87</v>
      </c>
      <c r="I126" s="30">
        <v>42498.817858796298</v>
      </c>
      <c r="J126" s="61">
        <v>0</v>
      </c>
      <c r="K126" s="61" t="str">
        <f t="shared" si="34"/>
        <v>4015/4016</v>
      </c>
      <c r="L126" s="61" t="str">
        <f>VLOOKUP(A126,'Trips&amp;Operators'!$C$1:$E$9999,3,FALSE)</f>
        <v>COCA</v>
      </c>
      <c r="M126" s="12">
        <f t="shared" si="35"/>
        <v>3.0138888891087845E-2</v>
      </c>
      <c r="N126" s="13">
        <f t="shared" si="26"/>
        <v>43.400000003166497</v>
      </c>
      <c r="O126" s="13"/>
      <c r="P126" s="13"/>
      <c r="Q126" s="62"/>
      <c r="R126" s="62"/>
      <c r="T12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18:51:41-0600',mode:absolute,to:'2016-05-08 19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6" s="75" t="str">
        <f t="shared" si="28"/>
        <v>N</v>
      </c>
      <c r="V126" s="75">
        <f t="shared" si="23"/>
        <v>1</v>
      </c>
      <c r="W126" s="75">
        <f t="shared" si="29"/>
        <v>4.6399999999999997E-2</v>
      </c>
      <c r="X126" s="75">
        <f t="shared" si="30"/>
        <v>23.329499999999999</v>
      </c>
      <c r="Y126" s="75">
        <f t="shared" si="31"/>
        <v>23.283100000000001</v>
      </c>
      <c r="Z126" s="76" t="e">
        <f>VLOOKUP(A126,Enforcements!$C$3:$J$26,8,0)</f>
        <v>#N/A</v>
      </c>
      <c r="AA126" s="76" t="e">
        <f>VLOOKUP(A126,Enforcements!$C$3:$J$26,3,0)</f>
        <v>#N/A</v>
      </c>
    </row>
    <row r="127" spans="1:27" s="2" customFormat="1" x14ac:dyDescent="0.25">
      <c r="A127" s="61" t="s">
        <v>371</v>
      </c>
      <c r="B127" s="61">
        <v>4015</v>
      </c>
      <c r="C127" s="61" t="s">
        <v>83</v>
      </c>
      <c r="D127" s="61" t="s">
        <v>168</v>
      </c>
      <c r="E127" s="30">
        <v>42498.823136574072</v>
      </c>
      <c r="F127" s="30">
        <v>42498.823912037034</v>
      </c>
      <c r="G127" s="38">
        <v>1</v>
      </c>
      <c r="H127" s="30" t="s">
        <v>141</v>
      </c>
      <c r="I127" s="30">
        <v>42498.859236111108</v>
      </c>
      <c r="J127" s="61">
        <v>1</v>
      </c>
      <c r="K127" s="61" t="str">
        <f t="shared" si="34"/>
        <v>4015/4016</v>
      </c>
      <c r="L127" s="61" t="str">
        <f>VLOOKUP(A127,'Trips&amp;Operators'!$C$1:$E$9999,3,FALSE)</f>
        <v>COCA</v>
      </c>
      <c r="M127" s="12">
        <f t="shared" si="35"/>
        <v>3.5324074073287193E-2</v>
      </c>
      <c r="N127" s="13">
        <f t="shared" si="26"/>
        <v>50.866666665533558</v>
      </c>
      <c r="O127" s="13"/>
      <c r="P127" s="13"/>
      <c r="Q127" s="62"/>
      <c r="R127" s="62"/>
      <c r="T12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19:44:19-0600',mode:absolute,to:'2016-05-08 20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7" s="75" t="str">
        <f t="shared" si="28"/>
        <v>N</v>
      </c>
      <c r="V127" s="75">
        <f t="shared" si="23"/>
        <v>1</v>
      </c>
      <c r="W127" s="75">
        <f t="shared" si="29"/>
        <v>23.298300000000001</v>
      </c>
      <c r="X127" s="75">
        <f t="shared" si="30"/>
        <v>1.61E-2</v>
      </c>
      <c r="Y127" s="75">
        <f t="shared" si="31"/>
        <v>23.2822</v>
      </c>
      <c r="Z127" s="76" t="e">
        <f>VLOOKUP(A127,Enforcements!$C$3:$J$26,8,0)</f>
        <v>#N/A</v>
      </c>
      <c r="AA127" s="76" t="e">
        <f>VLOOKUP(A127,Enforcements!$C$3:$J$26,3,0)</f>
        <v>#N/A</v>
      </c>
    </row>
    <row r="128" spans="1:27" s="2" customFormat="1" x14ac:dyDescent="0.25">
      <c r="A128" s="61" t="s">
        <v>372</v>
      </c>
      <c r="B128" s="61">
        <v>4020</v>
      </c>
      <c r="C128" s="61" t="s">
        <v>83</v>
      </c>
      <c r="D128" s="61" t="s">
        <v>129</v>
      </c>
      <c r="E128" s="30">
        <v>42498.810127314813</v>
      </c>
      <c r="F128" s="30">
        <v>42498.811423611114</v>
      </c>
      <c r="G128" s="38">
        <v>1</v>
      </c>
      <c r="H128" s="30" t="s">
        <v>174</v>
      </c>
      <c r="I128" s="30">
        <v>42498.839062500003</v>
      </c>
      <c r="J128" s="61">
        <v>1</v>
      </c>
      <c r="K128" s="61" t="str">
        <f t="shared" si="34"/>
        <v>4019/4020</v>
      </c>
      <c r="L128" s="61" t="str">
        <f>VLOOKUP(A128,'Trips&amp;Operators'!$C$1:$E$9999,3,FALSE)</f>
        <v>YOUNG</v>
      </c>
      <c r="M128" s="12">
        <f t="shared" si="35"/>
        <v>2.7638888888759539E-2</v>
      </c>
      <c r="N128" s="13">
        <f t="shared" si="26"/>
        <v>39.799999999813735</v>
      </c>
      <c r="O128" s="13"/>
      <c r="P128" s="13"/>
      <c r="Q128" s="62"/>
      <c r="R128" s="62"/>
      <c r="T12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19:25:35-0600',mode:absolute,to:'2016-05-08 20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8" s="75" t="str">
        <f t="shared" si="28"/>
        <v>N</v>
      </c>
      <c r="V128" s="75">
        <f t="shared" si="23"/>
        <v>1</v>
      </c>
      <c r="W128" s="75">
        <f t="shared" si="29"/>
        <v>4.7699999999999999E-2</v>
      </c>
      <c r="X128" s="75">
        <f t="shared" si="30"/>
        <v>23.3291</v>
      </c>
      <c r="Y128" s="75">
        <f t="shared" si="31"/>
        <v>23.281400000000001</v>
      </c>
      <c r="Z128" s="76" t="e">
        <f>VLOOKUP(A128,Enforcements!$C$3:$J$26,8,0)</f>
        <v>#N/A</v>
      </c>
      <c r="AA128" s="76" t="e">
        <f>VLOOKUP(A128,Enforcements!$C$3:$J$26,3,0)</f>
        <v>#N/A</v>
      </c>
    </row>
    <row r="129" spans="1:27" s="2" customFormat="1" x14ac:dyDescent="0.25">
      <c r="A129" s="61" t="s">
        <v>373</v>
      </c>
      <c r="B129" s="61">
        <v>4019</v>
      </c>
      <c r="C129" s="61" t="s">
        <v>83</v>
      </c>
      <c r="D129" s="61" t="s">
        <v>169</v>
      </c>
      <c r="E129" s="30">
        <v>42498.845092592594</v>
      </c>
      <c r="F129" s="30">
        <v>42498.845937500002</v>
      </c>
      <c r="G129" s="38">
        <v>1</v>
      </c>
      <c r="H129" s="30" t="s">
        <v>118</v>
      </c>
      <c r="I129" s="30">
        <v>42498.880509259259</v>
      </c>
      <c r="J129" s="61">
        <v>0</v>
      </c>
      <c r="K129" s="61" t="str">
        <f t="shared" si="34"/>
        <v>4019/4020</v>
      </c>
      <c r="L129" s="61" t="str">
        <f>VLOOKUP(A129,'Trips&amp;Operators'!$C$1:$E$9999,3,FALSE)</f>
        <v>YOUNG</v>
      </c>
      <c r="M129" s="12">
        <f t="shared" si="35"/>
        <v>3.457175925723277E-2</v>
      </c>
      <c r="N129" s="13">
        <f t="shared" si="26"/>
        <v>49.783333330415189</v>
      </c>
      <c r="O129" s="13"/>
      <c r="P129" s="13"/>
      <c r="Q129" s="62"/>
      <c r="R129" s="62"/>
      <c r="T12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20:15:56-0600',mode:absolute,to:'2016-05-08 21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9" s="75" t="str">
        <f t="shared" si="28"/>
        <v>N</v>
      </c>
      <c r="V129" s="75">
        <f t="shared" si="23"/>
        <v>1</v>
      </c>
      <c r="W129" s="75">
        <f t="shared" si="29"/>
        <v>23.298100000000002</v>
      </c>
      <c r="X129" s="75">
        <f t="shared" si="30"/>
        <v>1.5800000000000002E-2</v>
      </c>
      <c r="Y129" s="75">
        <f t="shared" si="31"/>
        <v>23.282300000000003</v>
      </c>
      <c r="Z129" s="76" t="e">
        <f>VLOOKUP(A129,Enforcements!$C$3:$J$26,8,0)</f>
        <v>#N/A</v>
      </c>
      <c r="AA129" s="76" t="e">
        <f>VLOOKUP(A129,Enforcements!$C$3:$J$26,3,0)</f>
        <v>#N/A</v>
      </c>
    </row>
    <row r="130" spans="1:27" s="2" customFormat="1" x14ac:dyDescent="0.25">
      <c r="A130" s="61" t="s">
        <v>374</v>
      </c>
      <c r="B130" s="61">
        <v>4040</v>
      </c>
      <c r="C130" s="61" t="s">
        <v>83</v>
      </c>
      <c r="D130" s="61" t="s">
        <v>138</v>
      </c>
      <c r="E130" s="30">
        <v>42498.828576388885</v>
      </c>
      <c r="F130" s="30">
        <v>42498.829745370371</v>
      </c>
      <c r="G130" s="38">
        <v>1</v>
      </c>
      <c r="H130" s="30" t="s">
        <v>312</v>
      </c>
      <c r="I130" s="30">
        <v>42498.858159722222</v>
      </c>
      <c r="J130" s="61">
        <v>1</v>
      </c>
      <c r="K130" s="61" t="str">
        <f t="shared" si="34"/>
        <v>4039/4040</v>
      </c>
      <c r="L130" s="61" t="str">
        <f>VLOOKUP(A130,'Trips&amp;Operators'!$C$1:$E$9999,3,FALSE)</f>
        <v>HONTZ</v>
      </c>
      <c r="M130" s="12">
        <f t="shared" si="35"/>
        <v>2.8414351851097308E-2</v>
      </c>
      <c r="N130" s="13">
        <f t="shared" si="26"/>
        <v>40.916666665580124</v>
      </c>
      <c r="O130" s="13"/>
      <c r="P130" s="13"/>
      <c r="Q130" s="62"/>
      <c r="R130" s="62"/>
      <c r="T13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19:52:09-0600',mode:absolute,to:'2016-05-08 20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0" s="75" t="str">
        <f t="shared" si="28"/>
        <v>N</v>
      </c>
      <c r="V130" s="75">
        <f t="shared" si="23"/>
        <v>1</v>
      </c>
      <c r="W130" s="75">
        <f t="shared" si="29"/>
        <v>4.7800000000000002E-2</v>
      </c>
      <c r="X130" s="75">
        <f t="shared" si="30"/>
        <v>23.33</v>
      </c>
      <c r="Y130" s="75">
        <f t="shared" si="31"/>
        <v>23.2822</v>
      </c>
      <c r="Z130" s="76" t="e">
        <f>VLOOKUP(A130,Enforcements!$C$3:$J$26,8,0)</f>
        <v>#N/A</v>
      </c>
      <c r="AA130" s="76" t="e">
        <f>VLOOKUP(A130,Enforcements!$C$3:$J$26,3,0)</f>
        <v>#N/A</v>
      </c>
    </row>
    <row r="131" spans="1:27" s="2" customFormat="1" x14ac:dyDescent="0.25">
      <c r="A131" s="61" t="s">
        <v>375</v>
      </c>
      <c r="B131" s="61">
        <v>4039</v>
      </c>
      <c r="C131" s="61" t="s">
        <v>83</v>
      </c>
      <c r="D131" s="61" t="s">
        <v>179</v>
      </c>
      <c r="E131" s="30">
        <v>42498.862476851849</v>
      </c>
      <c r="F131" s="30">
        <v>42498.863287037035</v>
      </c>
      <c r="G131" s="38">
        <v>1</v>
      </c>
      <c r="H131" s="30" t="s">
        <v>96</v>
      </c>
      <c r="I131" s="30">
        <v>42498.897789351853</v>
      </c>
      <c r="J131" s="61">
        <v>1</v>
      </c>
      <c r="K131" s="61" t="str">
        <f t="shared" si="34"/>
        <v>4039/4040</v>
      </c>
      <c r="L131" s="61" t="str">
        <f>VLOOKUP(A131,'Trips&amp;Operators'!$C$1:$E$9999,3,FALSE)</f>
        <v>HONTZ</v>
      </c>
      <c r="M131" s="12">
        <f t="shared" si="35"/>
        <v>3.4502314818382729E-2</v>
      </c>
      <c r="N131" s="13">
        <f t="shared" ref="N131:N144" si="36">$M131*24*60</f>
        <v>49.68333333847113</v>
      </c>
      <c r="O131" s="13"/>
      <c r="P131" s="13"/>
      <c r="Q131" s="62"/>
      <c r="R131" s="62"/>
      <c r="T13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20:40:58-0600',mode:absolute,to:'2016-05-08 21:33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1" s="75" t="str">
        <f t="shared" si="28"/>
        <v>N</v>
      </c>
      <c r="V131" s="75">
        <f t="shared" si="23"/>
        <v>1</v>
      </c>
      <c r="W131" s="75">
        <f t="shared" si="29"/>
        <v>23.2987</v>
      </c>
      <c r="X131" s="75">
        <f t="shared" si="30"/>
        <v>1.43E-2</v>
      </c>
      <c r="Y131" s="75">
        <f t="shared" si="31"/>
        <v>23.284400000000002</v>
      </c>
      <c r="Z131" s="76" t="e">
        <f>VLOOKUP(A131,Enforcements!$C$3:$J$26,8,0)</f>
        <v>#N/A</v>
      </c>
      <c r="AA131" s="76" t="e">
        <f>VLOOKUP(A131,Enforcements!$C$3:$J$26,3,0)</f>
        <v>#N/A</v>
      </c>
    </row>
    <row r="132" spans="1:27" s="2" customFormat="1" x14ac:dyDescent="0.25">
      <c r="A132" s="61" t="s">
        <v>376</v>
      </c>
      <c r="B132" s="61">
        <v>4029</v>
      </c>
      <c r="C132" s="61" t="s">
        <v>83</v>
      </c>
      <c r="D132" s="61" t="s">
        <v>86</v>
      </c>
      <c r="E132" s="30">
        <v>42498.843877314815</v>
      </c>
      <c r="F132" s="30">
        <v>42498.84815972222</v>
      </c>
      <c r="G132" s="38">
        <v>6</v>
      </c>
      <c r="H132" s="30" t="s">
        <v>377</v>
      </c>
      <c r="I132" s="30">
        <v>42498.879618055558</v>
      </c>
      <c r="J132" s="61">
        <v>1</v>
      </c>
      <c r="K132" s="61" t="str">
        <f t="shared" si="34"/>
        <v>4029/4030</v>
      </c>
      <c r="L132" s="61" t="str">
        <f>VLOOKUP(A132,'Trips&amp;Operators'!$C$1:$E$9999,3,FALSE)</f>
        <v>BARTLETT</v>
      </c>
      <c r="M132" s="12">
        <f t="shared" si="35"/>
        <v>3.1458333338377997E-2</v>
      </c>
      <c r="N132" s="13">
        <f t="shared" si="36"/>
        <v>45.300000007264316</v>
      </c>
      <c r="O132" s="13"/>
      <c r="P132" s="13"/>
      <c r="Q132" s="62"/>
      <c r="R132" s="62"/>
      <c r="T13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20:14:11-0600',mode:absolute,to:'2016-05-08 21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2" s="75" t="str">
        <f t="shared" si="28"/>
        <v>N</v>
      </c>
      <c r="V132" s="75">
        <f t="shared" ref="V132:V148" si="37">VALUE(LEFT(A132,3))-VALUE(LEFT(A131,3))</f>
        <v>1</v>
      </c>
      <c r="W132" s="75">
        <f t="shared" si="29"/>
        <v>4.6699999999999998E-2</v>
      </c>
      <c r="X132" s="75">
        <f t="shared" si="30"/>
        <v>23.307700000000001</v>
      </c>
      <c r="Y132" s="75">
        <f t="shared" si="31"/>
        <v>23.260999999999999</v>
      </c>
      <c r="Z132" s="76" t="e">
        <f>VLOOKUP(A132,Enforcements!$C$3:$J$26,8,0)</f>
        <v>#N/A</v>
      </c>
      <c r="AA132" s="76" t="e">
        <f>VLOOKUP(A132,Enforcements!$C$3:$J$26,3,0)</f>
        <v>#N/A</v>
      </c>
    </row>
    <row r="133" spans="1:27" s="2" customFormat="1" x14ac:dyDescent="0.25">
      <c r="A133" s="61" t="s">
        <v>378</v>
      </c>
      <c r="B133" s="61">
        <v>4030</v>
      </c>
      <c r="C133" s="61" t="s">
        <v>83</v>
      </c>
      <c r="D133" s="61" t="s">
        <v>379</v>
      </c>
      <c r="E133" s="30">
        <v>42498.889930555553</v>
      </c>
      <c r="F133" s="30">
        <v>42498.892025462963</v>
      </c>
      <c r="G133" s="38">
        <v>3</v>
      </c>
      <c r="H133" s="30" t="s">
        <v>96</v>
      </c>
      <c r="I133" s="30">
        <v>42498.919976851852</v>
      </c>
      <c r="J133" s="61">
        <v>0</v>
      </c>
      <c r="K133" s="61" t="str">
        <f t="shared" si="34"/>
        <v>4029/4030</v>
      </c>
      <c r="L133" s="61" t="str">
        <f>VLOOKUP(A133,'Trips&amp;Operators'!$C$1:$E$9999,3,FALSE)</f>
        <v>BARTLETT</v>
      </c>
      <c r="M133" s="12">
        <f t="shared" si="35"/>
        <v>2.7951388889050577E-2</v>
      </c>
      <c r="N133" s="13">
        <f t="shared" si="36"/>
        <v>40.250000000232831</v>
      </c>
      <c r="O133" s="13"/>
      <c r="P133" s="13"/>
      <c r="Q133" s="62"/>
      <c r="R133" s="62"/>
      <c r="T13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21:20:30-0600',mode:absolute,to:'2016-05-08 22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3" s="75" t="str">
        <f t="shared" si="28"/>
        <v>N</v>
      </c>
      <c r="V133" s="75">
        <f t="shared" si="37"/>
        <v>1</v>
      </c>
      <c r="W133" s="75">
        <f t="shared" si="29"/>
        <v>23.291499999999999</v>
      </c>
      <c r="X133" s="75">
        <f t="shared" si="30"/>
        <v>1.43E-2</v>
      </c>
      <c r="Y133" s="75">
        <f t="shared" si="31"/>
        <v>23.277200000000001</v>
      </c>
      <c r="Z133" s="76" t="e">
        <f>VLOOKUP(A133,Enforcements!$C$3:$J$26,8,0)</f>
        <v>#N/A</v>
      </c>
      <c r="AA133" s="76" t="e">
        <f>VLOOKUP(A133,Enforcements!$C$3:$J$26,3,0)</f>
        <v>#N/A</v>
      </c>
    </row>
    <row r="134" spans="1:27" s="2" customFormat="1" x14ac:dyDescent="0.25">
      <c r="A134" s="61" t="s">
        <v>378</v>
      </c>
      <c r="B134" s="61">
        <v>4030</v>
      </c>
      <c r="C134" s="61" t="s">
        <v>83</v>
      </c>
      <c r="D134" s="61" t="s">
        <v>380</v>
      </c>
      <c r="E134" s="30">
        <v>42498.883252314816</v>
      </c>
      <c r="F134" s="30">
        <v>42498.884687500002</v>
      </c>
      <c r="G134" s="38">
        <v>2</v>
      </c>
      <c r="H134" s="30" t="s">
        <v>96</v>
      </c>
      <c r="I134" s="30">
        <v>42498.919976851852</v>
      </c>
      <c r="J134" s="61">
        <v>0</v>
      </c>
      <c r="K134" s="61" t="str">
        <f t="shared" si="34"/>
        <v>4029/4030</v>
      </c>
      <c r="L134" s="61" t="str">
        <f>VLOOKUP(A134,'Trips&amp;Operators'!$C$1:$E$9999,3,FALSE)</f>
        <v>BARTLETT</v>
      </c>
      <c r="M134" s="12">
        <f t="shared" si="35"/>
        <v>3.5289351850224193E-2</v>
      </c>
      <c r="N134" s="13">
        <f t="shared" si="36"/>
        <v>50.816666664322838</v>
      </c>
      <c r="O134" s="13"/>
      <c r="P134" s="13"/>
      <c r="Q134" s="62"/>
      <c r="R134" s="62"/>
      <c r="T13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21:10:53-0600',mode:absolute,to:'2016-05-08 22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4" s="75" t="str">
        <f t="shared" si="28"/>
        <v>N</v>
      </c>
      <c r="V134" s="75">
        <f t="shared" si="37"/>
        <v>0</v>
      </c>
      <c r="W134" s="75">
        <f t="shared" si="29"/>
        <v>23.291899999999998</v>
      </c>
      <c r="X134" s="75">
        <f t="shared" si="30"/>
        <v>1.43E-2</v>
      </c>
      <c r="Y134" s="75">
        <f t="shared" si="31"/>
        <v>23.2776</v>
      </c>
      <c r="Z134" s="76" t="e">
        <f>VLOOKUP(A134,Enforcements!$C$3:$J$26,8,0)</f>
        <v>#N/A</v>
      </c>
      <c r="AA134" s="76" t="e">
        <f>VLOOKUP(A134,Enforcements!$C$3:$J$26,3,0)</f>
        <v>#N/A</v>
      </c>
    </row>
    <row r="135" spans="1:27" s="2" customFormat="1" x14ac:dyDescent="0.25">
      <c r="A135" s="61" t="s">
        <v>381</v>
      </c>
      <c r="B135" s="61">
        <v>4016</v>
      </c>
      <c r="C135" s="61" t="s">
        <v>83</v>
      </c>
      <c r="D135" s="61" t="s">
        <v>139</v>
      </c>
      <c r="E135" s="30">
        <v>42498.871041666665</v>
      </c>
      <c r="F135" s="30">
        <v>42498.872037037036</v>
      </c>
      <c r="G135" s="38">
        <v>1</v>
      </c>
      <c r="H135" s="30" t="s">
        <v>312</v>
      </c>
      <c r="I135" s="30">
        <v>42498.900231481479</v>
      </c>
      <c r="J135" s="61">
        <v>0</v>
      </c>
      <c r="K135" s="61" t="str">
        <f t="shared" si="34"/>
        <v>4015/4016</v>
      </c>
      <c r="L135" s="61" t="str">
        <f>VLOOKUP(A135,'Trips&amp;Operators'!$C$1:$E$9999,3,FALSE)</f>
        <v>COCA</v>
      </c>
      <c r="M135" s="12">
        <f t="shared" si="35"/>
        <v>2.8194444443215616E-2</v>
      </c>
      <c r="N135" s="13">
        <f t="shared" si="36"/>
        <v>40.599999998230487</v>
      </c>
      <c r="O135" s="13"/>
      <c r="P135" s="13"/>
      <c r="Q135" s="62"/>
      <c r="R135" s="62"/>
      <c r="T13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20:53:18-0600',mode:absolute,to:'2016-05-08 21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5" s="75" t="str">
        <f t="shared" si="28"/>
        <v>N</v>
      </c>
      <c r="V135" s="75">
        <f t="shared" si="37"/>
        <v>1</v>
      </c>
      <c r="W135" s="75">
        <f t="shared" si="29"/>
        <v>4.58E-2</v>
      </c>
      <c r="X135" s="75">
        <f t="shared" si="30"/>
        <v>23.33</v>
      </c>
      <c r="Y135" s="75">
        <f t="shared" si="31"/>
        <v>23.284199999999998</v>
      </c>
      <c r="Z135" s="76" t="e">
        <f>VLOOKUP(A135,Enforcements!$C$3:$J$26,8,0)</f>
        <v>#N/A</v>
      </c>
      <c r="AA135" s="76" t="e">
        <f>VLOOKUP(A135,Enforcements!$C$3:$J$26,3,0)</f>
        <v>#N/A</v>
      </c>
    </row>
    <row r="136" spans="1:27" s="2" customFormat="1" x14ac:dyDescent="0.25">
      <c r="A136" s="61" t="s">
        <v>382</v>
      </c>
      <c r="B136" s="61">
        <v>4015</v>
      </c>
      <c r="C136" s="61" t="s">
        <v>83</v>
      </c>
      <c r="D136" s="61" t="s">
        <v>168</v>
      </c>
      <c r="E136" s="30">
        <v>42498.90761574074</v>
      </c>
      <c r="F136" s="30">
        <v>42498.908321759256</v>
      </c>
      <c r="G136" s="38">
        <v>1</v>
      </c>
      <c r="H136" s="30" t="s">
        <v>141</v>
      </c>
      <c r="I136" s="30">
        <v>42498.941342592596</v>
      </c>
      <c r="J136" s="61">
        <v>1</v>
      </c>
      <c r="K136" s="61" t="str">
        <f t="shared" si="34"/>
        <v>4015/4016</v>
      </c>
      <c r="L136" s="61" t="str">
        <f>VLOOKUP(A136,'Trips&amp;Operators'!$C$1:$E$9999,3,FALSE)</f>
        <v>COCA</v>
      </c>
      <c r="M136" s="12">
        <f t="shared" si="35"/>
        <v>3.3020833339833189E-2</v>
      </c>
      <c r="N136" s="13">
        <f t="shared" si="36"/>
        <v>47.550000009359792</v>
      </c>
      <c r="O136" s="13"/>
      <c r="P136" s="13"/>
      <c r="Q136" s="62"/>
      <c r="R136" s="62"/>
      <c r="T13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21:45:58-0600',mode:absolute,to:'2016-05-08 22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6" s="75" t="str">
        <f t="shared" si="28"/>
        <v>N</v>
      </c>
      <c r="V136" s="75">
        <f t="shared" si="37"/>
        <v>1</v>
      </c>
      <c r="W136" s="75">
        <f t="shared" si="29"/>
        <v>23.298300000000001</v>
      </c>
      <c r="X136" s="75">
        <f t="shared" si="30"/>
        <v>1.61E-2</v>
      </c>
      <c r="Y136" s="75">
        <f t="shared" si="31"/>
        <v>23.2822</v>
      </c>
      <c r="Z136" s="76">
        <f>VLOOKUP(A136,Enforcements!$C$3:$J$26,8,0)</f>
        <v>15167</v>
      </c>
      <c r="AA136" s="76" t="str">
        <f>VLOOKUP(A136,Enforcements!$C$3:$J$26,3,0)</f>
        <v>PERMANENT SPEED RESTRICTION</v>
      </c>
    </row>
    <row r="137" spans="1:27" s="2" customFormat="1" x14ac:dyDescent="0.25">
      <c r="A137" s="61" t="s">
        <v>383</v>
      </c>
      <c r="B137" s="61">
        <v>4020</v>
      </c>
      <c r="C137" s="61" t="s">
        <v>83</v>
      </c>
      <c r="D137" s="61" t="s">
        <v>139</v>
      </c>
      <c r="E137" s="30">
        <v>42498.882453703707</v>
      </c>
      <c r="F137" s="30">
        <v>42498.883449074077</v>
      </c>
      <c r="G137" s="38">
        <v>1</v>
      </c>
      <c r="H137" s="30" t="s">
        <v>104</v>
      </c>
      <c r="I137" s="30">
        <v>42498.922303240739</v>
      </c>
      <c r="J137" s="61">
        <v>0</v>
      </c>
      <c r="K137" s="61" t="str">
        <f t="shared" si="34"/>
        <v>4019/4020</v>
      </c>
      <c r="L137" s="61" t="str">
        <f>VLOOKUP(A137,'Trips&amp;Operators'!$C$1:$E$9999,3,FALSE)</f>
        <v>YOUNG</v>
      </c>
      <c r="M137" s="12">
        <f t="shared" si="35"/>
        <v>3.8854166661622003E-2</v>
      </c>
      <c r="N137" s="13">
        <f t="shared" si="36"/>
        <v>55.949999992735684</v>
      </c>
      <c r="O137" s="13"/>
      <c r="P137" s="13"/>
      <c r="Q137" s="62"/>
      <c r="R137" s="62"/>
      <c r="T13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21:09:44-0600',mode:absolute,to:'2016-05-08 22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7" s="75" t="str">
        <f t="shared" si="28"/>
        <v>N</v>
      </c>
      <c r="V137" s="75">
        <f t="shared" si="37"/>
        <v>1</v>
      </c>
      <c r="W137" s="75">
        <f t="shared" si="29"/>
        <v>4.58E-2</v>
      </c>
      <c r="X137" s="75">
        <f t="shared" si="30"/>
        <v>23.330400000000001</v>
      </c>
      <c r="Y137" s="75">
        <f t="shared" si="31"/>
        <v>23.284600000000001</v>
      </c>
      <c r="Z137" s="76" t="e">
        <f>VLOOKUP(A137,Enforcements!$C$3:$J$26,8,0)</f>
        <v>#N/A</v>
      </c>
      <c r="AA137" s="76" t="e">
        <f>VLOOKUP(A137,Enforcements!$C$3:$J$26,3,0)</f>
        <v>#N/A</v>
      </c>
    </row>
    <row r="138" spans="1:27" s="2" customFormat="1" x14ac:dyDescent="0.25">
      <c r="A138" s="61" t="s">
        <v>384</v>
      </c>
      <c r="B138" s="61">
        <v>4019</v>
      </c>
      <c r="C138" s="61" t="s">
        <v>83</v>
      </c>
      <c r="D138" s="61" t="s">
        <v>115</v>
      </c>
      <c r="E138" s="30">
        <v>42498.92800925926</v>
      </c>
      <c r="F138" s="30">
        <v>42498.929618055554</v>
      </c>
      <c r="G138" s="38">
        <v>2</v>
      </c>
      <c r="H138" s="30" t="s">
        <v>385</v>
      </c>
      <c r="I138" s="30">
        <v>42498.96292824074</v>
      </c>
      <c r="J138" s="61">
        <v>0</v>
      </c>
      <c r="K138" s="61" t="str">
        <f t="shared" si="34"/>
        <v>4019/4020</v>
      </c>
      <c r="L138" s="61" t="str">
        <f>VLOOKUP(A138,'Trips&amp;Operators'!$C$1:$E$9999,3,FALSE)</f>
        <v>YOUNG</v>
      </c>
      <c r="M138" s="12">
        <f t="shared" si="35"/>
        <v>3.3310185186564922E-2</v>
      </c>
      <c r="N138" s="13">
        <f t="shared" si="36"/>
        <v>47.966666668653488</v>
      </c>
      <c r="O138" s="13"/>
      <c r="P138" s="13"/>
      <c r="Q138" s="62"/>
      <c r="R138" s="62"/>
      <c r="T13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22:15:20-0600',mode:absolute,to:'2016-05-08 23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8" s="75" t="str">
        <f t="shared" si="28"/>
        <v>N</v>
      </c>
      <c r="V138" s="75">
        <f t="shared" si="37"/>
        <v>1</v>
      </c>
      <c r="W138" s="75">
        <f t="shared" si="29"/>
        <v>23.299600000000002</v>
      </c>
      <c r="X138" s="75">
        <f t="shared" si="30"/>
        <v>2.01E-2</v>
      </c>
      <c r="Y138" s="75">
        <f t="shared" si="31"/>
        <v>23.279500000000002</v>
      </c>
      <c r="Z138" s="76" t="e">
        <f>VLOOKUP(A138,Enforcements!$C$3:$J$26,8,0)</f>
        <v>#N/A</v>
      </c>
      <c r="AA138" s="76" t="e">
        <f>VLOOKUP(A138,Enforcements!$C$3:$J$26,3,0)</f>
        <v>#N/A</v>
      </c>
    </row>
    <row r="139" spans="1:27" s="2" customFormat="1" x14ac:dyDescent="0.25">
      <c r="A139" s="61" t="s">
        <v>386</v>
      </c>
      <c r="B139" s="61">
        <v>4040</v>
      </c>
      <c r="C139" s="61" t="s">
        <v>83</v>
      </c>
      <c r="D139" s="61" t="s">
        <v>123</v>
      </c>
      <c r="E139" s="30">
        <v>42498.906793981485</v>
      </c>
      <c r="F139" s="30">
        <v>42498.907627314817</v>
      </c>
      <c r="G139" s="38">
        <v>1</v>
      </c>
      <c r="H139" s="30" t="s">
        <v>85</v>
      </c>
      <c r="I139" s="30">
        <v>42498.941412037035</v>
      </c>
      <c r="J139" s="61">
        <v>1</v>
      </c>
      <c r="K139" s="61" t="str">
        <f t="shared" si="34"/>
        <v>4039/4040</v>
      </c>
      <c r="L139" s="61" t="str">
        <f>VLOOKUP(A139,'Trips&amp;Operators'!$C$1:$E$9999,3,FALSE)</f>
        <v>HONTZ</v>
      </c>
      <c r="M139" s="12">
        <f t="shared" si="35"/>
        <v>3.3784722218115348E-2</v>
      </c>
      <c r="N139" s="13">
        <f t="shared" si="36"/>
        <v>48.649999994086102</v>
      </c>
      <c r="O139" s="13"/>
      <c r="P139" s="13"/>
      <c r="Q139" s="62"/>
      <c r="R139" s="62"/>
      <c r="T13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21:44:47-0600',mode:absolute,to:'2016-05-08 22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9" s="75" t="str">
        <f t="shared" si="28"/>
        <v>N</v>
      </c>
      <c r="V139" s="75">
        <f t="shared" si="37"/>
        <v>1</v>
      </c>
      <c r="W139" s="75">
        <f t="shared" si="29"/>
        <v>4.5999999999999999E-2</v>
      </c>
      <c r="X139" s="75">
        <f t="shared" si="30"/>
        <v>23.331</v>
      </c>
      <c r="Y139" s="75">
        <f t="shared" si="31"/>
        <v>23.285</v>
      </c>
      <c r="Z139" s="76" t="e">
        <f>VLOOKUP(A139,Enforcements!$C$3:$J$26,8,0)</f>
        <v>#N/A</v>
      </c>
      <c r="AA139" s="76" t="e">
        <f>VLOOKUP(A139,Enforcements!$C$3:$J$26,3,0)</f>
        <v>#N/A</v>
      </c>
    </row>
    <row r="140" spans="1:27" s="2" customFormat="1" x14ac:dyDescent="0.25">
      <c r="A140" s="61" t="s">
        <v>387</v>
      </c>
      <c r="B140" s="61">
        <v>4039</v>
      </c>
      <c r="C140" s="61" t="s">
        <v>83</v>
      </c>
      <c r="D140" s="61" t="s">
        <v>115</v>
      </c>
      <c r="E140" s="30">
        <v>42498.949444444443</v>
      </c>
      <c r="F140" s="30">
        <v>42498.950289351851</v>
      </c>
      <c r="G140" s="38">
        <v>1</v>
      </c>
      <c r="H140" s="30" t="s">
        <v>111</v>
      </c>
      <c r="I140" s="30">
        <v>42498.981076388889</v>
      </c>
      <c r="J140" s="61">
        <v>0</v>
      </c>
      <c r="K140" s="61" t="str">
        <f t="shared" si="34"/>
        <v>4039/4040</v>
      </c>
      <c r="L140" s="61" t="str">
        <f>VLOOKUP(A140,'Trips&amp;Operators'!$C$1:$E$9999,3,FALSE)</f>
        <v>HONTZ</v>
      </c>
      <c r="M140" s="12">
        <f t="shared" si="35"/>
        <v>3.0787037037953269E-2</v>
      </c>
      <c r="N140" s="13">
        <f t="shared" si="36"/>
        <v>44.333333334652707</v>
      </c>
      <c r="O140" s="13"/>
      <c r="P140" s="13"/>
      <c r="Q140" s="62"/>
      <c r="R140" s="62"/>
      <c r="T14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22:46:12-0600',mode:absolute,to:'2016-05-08 23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0" s="75" t="str">
        <f t="shared" si="28"/>
        <v>N</v>
      </c>
      <c r="V140" s="75">
        <f t="shared" si="37"/>
        <v>1</v>
      </c>
      <c r="W140" s="75">
        <f t="shared" si="29"/>
        <v>23.299600000000002</v>
      </c>
      <c r="X140" s="75">
        <f t="shared" si="30"/>
        <v>1.3599999999999999E-2</v>
      </c>
      <c r="Y140" s="75">
        <f t="shared" si="31"/>
        <v>23.286000000000001</v>
      </c>
      <c r="Z140" s="76" t="e">
        <f>VLOOKUP(A140,Enforcements!$C$3:$J$26,8,0)</f>
        <v>#N/A</v>
      </c>
      <c r="AA140" s="76" t="e">
        <f>VLOOKUP(A140,Enforcements!$C$3:$J$26,3,0)</f>
        <v>#N/A</v>
      </c>
    </row>
    <row r="141" spans="1:27" s="2" customFormat="1" x14ac:dyDescent="0.25">
      <c r="A141" s="61" t="s">
        <v>388</v>
      </c>
      <c r="B141" s="61">
        <v>4029</v>
      </c>
      <c r="C141" s="61" t="s">
        <v>83</v>
      </c>
      <c r="D141" s="61" t="s">
        <v>133</v>
      </c>
      <c r="E141" s="30">
        <v>42498.926527777781</v>
      </c>
      <c r="F141" s="30">
        <v>42498.93173611111</v>
      </c>
      <c r="G141" s="38">
        <v>7</v>
      </c>
      <c r="H141" s="30" t="s">
        <v>389</v>
      </c>
      <c r="I141" s="30">
        <v>42498.963425925926</v>
      </c>
      <c r="J141" s="61">
        <v>1</v>
      </c>
      <c r="K141" s="61" t="str">
        <f t="shared" si="34"/>
        <v>4029/4030</v>
      </c>
      <c r="L141" s="61" t="str">
        <f>VLOOKUP(A141,'Trips&amp;Operators'!$C$1:$E$9999,3,FALSE)</f>
        <v>BARTLETT</v>
      </c>
      <c r="M141" s="12">
        <f t="shared" si="35"/>
        <v>3.1689814815763384E-2</v>
      </c>
      <c r="N141" s="13">
        <f t="shared" si="36"/>
        <v>45.633333334699273</v>
      </c>
      <c r="O141" s="13"/>
      <c r="P141" s="13"/>
      <c r="Q141" s="62"/>
      <c r="R141" s="62"/>
      <c r="T14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22:13:12-0600',mode:absolute,to:'2016-05-08 23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1" s="75" t="str">
        <f t="shared" si="28"/>
        <v>N</v>
      </c>
      <c r="V141" s="75">
        <f t="shared" si="37"/>
        <v>1</v>
      </c>
      <c r="W141" s="75">
        <f t="shared" si="29"/>
        <v>4.6399999999999997E-2</v>
      </c>
      <c r="X141" s="75">
        <f t="shared" si="30"/>
        <v>23.310199999999998</v>
      </c>
      <c r="Y141" s="75">
        <f t="shared" si="31"/>
        <v>23.2638</v>
      </c>
      <c r="Z141" s="76" t="e">
        <f>VLOOKUP(A141,Enforcements!$C$3:$J$26,8,0)</f>
        <v>#N/A</v>
      </c>
      <c r="AA141" s="76" t="e">
        <f>VLOOKUP(A141,Enforcements!$C$3:$J$26,3,0)</f>
        <v>#N/A</v>
      </c>
    </row>
    <row r="142" spans="1:27" s="2" customFormat="1" x14ac:dyDescent="0.25">
      <c r="A142" s="61" t="s">
        <v>390</v>
      </c>
      <c r="B142" s="61">
        <v>4030</v>
      </c>
      <c r="C142" s="61" t="s">
        <v>83</v>
      </c>
      <c r="D142" s="61" t="s">
        <v>171</v>
      </c>
      <c r="E142" s="30">
        <v>42498.969953703701</v>
      </c>
      <c r="F142" s="30">
        <v>42498.970914351848</v>
      </c>
      <c r="G142" s="38">
        <v>1</v>
      </c>
      <c r="H142" s="30" t="s">
        <v>92</v>
      </c>
      <c r="I142" s="30">
        <v>42499.003171296295</v>
      </c>
      <c r="J142" s="61">
        <v>1</v>
      </c>
      <c r="K142" s="61" t="str">
        <f t="shared" si="34"/>
        <v>4029/4030</v>
      </c>
      <c r="L142" s="61" t="str">
        <f>VLOOKUP(A142,'Trips&amp;Operators'!$C$1:$E$9999,3,FALSE)</f>
        <v>BARTLETT</v>
      </c>
      <c r="M142" s="12">
        <f t="shared" si="35"/>
        <v>3.2256944446999114E-2</v>
      </c>
      <c r="N142" s="13">
        <f t="shared" si="36"/>
        <v>46.450000003678724</v>
      </c>
      <c r="O142" s="13"/>
      <c r="P142" s="13"/>
      <c r="Q142" s="62"/>
      <c r="R142" s="62"/>
      <c r="T14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23:15:44-0600',mode:absolute,to:'2016-05-09 00:05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42" s="75" t="str">
        <f t="shared" si="28"/>
        <v>N</v>
      </c>
      <c r="V142" s="75">
        <f t="shared" si="37"/>
        <v>1</v>
      </c>
      <c r="W142" s="75">
        <f t="shared" si="29"/>
        <v>23.295500000000001</v>
      </c>
      <c r="X142" s="75">
        <f t="shared" si="30"/>
        <v>1.5599999999999999E-2</v>
      </c>
      <c r="Y142" s="75">
        <f t="shared" si="31"/>
        <v>23.279900000000001</v>
      </c>
      <c r="Z142" s="76">
        <f>VLOOKUP(A142,Enforcements!$C$3:$J$26,8,0)</f>
        <v>63309</v>
      </c>
      <c r="AA142" s="76" t="str">
        <f>VLOOKUP(A142,Enforcements!$C$3:$J$26,3,0)</f>
        <v>GRADE CROSSING</v>
      </c>
    </row>
    <row r="143" spans="1:27" s="2" customFormat="1" x14ac:dyDescent="0.25">
      <c r="A143" s="61" t="s">
        <v>391</v>
      </c>
      <c r="B143" s="61">
        <v>4016</v>
      </c>
      <c r="C143" s="61" t="s">
        <v>83</v>
      </c>
      <c r="D143" s="61" t="s">
        <v>139</v>
      </c>
      <c r="E143" s="30">
        <v>42498.946053240739</v>
      </c>
      <c r="F143" s="30">
        <v>42498.947118055556</v>
      </c>
      <c r="G143" s="38">
        <v>1</v>
      </c>
      <c r="H143" s="30" t="s">
        <v>89</v>
      </c>
      <c r="I143" s="30">
        <v>42498.983773148146</v>
      </c>
      <c r="J143" s="61">
        <v>1</v>
      </c>
      <c r="K143" s="61" t="str">
        <f t="shared" si="34"/>
        <v>4015/4016</v>
      </c>
      <c r="L143" s="61" t="str">
        <f>VLOOKUP(A143,'Trips&amp;Operators'!$C$1:$E$9999,3,FALSE)</f>
        <v>COCA</v>
      </c>
      <c r="M143" s="12">
        <f t="shared" si="35"/>
        <v>3.665509259008104E-2</v>
      </c>
      <c r="N143" s="13">
        <f t="shared" si="36"/>
        <v>52.783333329716697</v>
      </c>
      <c r="O143" s="13"/>
      <c r="P143" s="13"/>
      <c r="Q143" s="62"/>
      <c r="R143" s="62"/>
      <c r="T14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22:41:19-0600',mode:absolute,to:'2016-05-08 23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43" s="75" t="str">
        <f t="shared" si="28"/>
        <v>N</v>
      </c>
      <c r="V143" s="75">
        <f t="shared" si="37"/>
        <v>1</v>
      </c>
      <c r="W143" s="75">
        <f t="shared" si="29"/>
        <v>4.58E-2</v>
      </c>
      <c r="X143" s="75">
        <f t="shared" si="30"/>
        <v>23.330200000000001</v>
      </c>
      <c r="Y143" s="75">
        <f t="shared" si="31"/>
        <v>23.284400000000002</v>
      </c>
      <c r="Z143" s="76" t="e">
        <f>VLOOKUP(A143,Enforcements!$C$3:$J$26,8,0)</f>
        <v>#N/A</v>
      </c>
      <c r="AA143" s="76" t="e">
        <f>VLOOKUP(A143,Enforcements!$C$3:$J$26,3,0)</f>
        <v>#N/A</v>
      </c>
    </row>
    <row r="144" spans="1:27" s="2" customFormat="1" x14ac:dyDescent="0.25">
      <c r="A144" s="61" t="s">
        <v>392</v>
      </c>
      <c r="B144" s="61">
        <v>4015</v>
      </c>
      <c r="C144" s="61" t="s">
        <v>83</v>
      </c>
      <c r="D144" s="61" t="s">
        <v>105</v>
      </c>
      <c r="E144" s="30">
        <v>42498.992546296293</v>
      </c>
      <c r="F144" s="30">
        <v>42498.993495370371</v>
      </c>
      <c r="G144" s="38">
        <v>1</v>
      </c>
      <c r="H144" s="30" t="s">
        <v>92</v>
      </c>
      <c r="I144" s="30">
        <v>42499.024398148147</v>
      </c>
      <c r="J144" s="61">
        <v>0</v>
      </c>
      <c r="K144" s="61" t="str">
        <f t="shared" si="34"/>
        <v>4015/4016</v>
      </c>
      <c r="L144" s="61" t="str">
        <f>VLOOKUP(A144,'Trips&amp;Operators'!$C$1:$E$9999,3,FALSE)</f>
        <v>COCA</v>
      </c>
      <c r="M144" s="12">
        <f t="shared" si="35"/>
        <v>3.0902777776645962E-2</v>
      </c>
      <c r="N144" s="13">
        <f t="shared" si="36"/>
        <v>44.499999998370185</v>
      </c>
      <c r="O144" s="13"/>
      <c r="P144" s="13"/>
      <c r="Q144" s="62"/>
      <c r="R144" s="62"/>
      <c r="T14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23:48:16-0600',mode:absolute,to:'2016-05-09 00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44" s="75" t="str">
        <f t="shared" si="28"/>
        <v>N</v>
      </c>
      <c r="V144" s="75">
        <f t="shared" si="37"/>
        <v>1</v>
      </c>
      <c r="W144" s="75">
        <f t="shared" si="29"/>
        <v>23.2989</v>
      </c>
      <c r="X144" s="75">
        <f t="shared" si="30"/>
        <v>1.5599999999999999E-2</v>
      </c>
      <c r="Y144" s="75">
        <f t="shared" si="31"/>
        <v>23.283300000000001</v>
      </c>
      <c r="Z144" s="76" t="e">
        <f>VLOOKUP(A144,Enforcements!$C$3:$J$26,8,0)</f>
        <v>#N/A</v>
      </c>
      <c r="AA144" s="76" t="e">
        <f>VLOOKUP(A144,Enforcements!$C$3:$J$26,3,0)</f>
        <v>#N/A</v>
      </c>
    </row>
    <row r="145" spans="1:27" s="2" customFormat="1" x14ac:dyDescent="0.25">
      <c r="A145" s="61" t="s">
        <v>393</v>
      </c>
      <c r="B145" s="61">
        <v>4020</v>
      </c>
      <c r="C145" s="61" t="s">
        <v>83</v>
      </c>
      <c r="D145" s="61" t="s">
        <v>394</v>
      </c>
      <c r="E145" s="30">
        <v>42498.965624999997</v>
      </c>
      <c r="F145" s="30">
        <v>42498.966493055559</v>
      </c>
      <c r="G145" s="38">
        <v>1</v>
      </c>
      <c r="H145" s="30" t="s">
        <v>160</v>
      </c>
      <c r="I145" s="30">
        <v>42499.00545138889</v>
      </c>
      <c r="J145" s="61">
        <v>0</v>
      </c>
      <c r="K145" s="61" t="str">
        <f t="shared" si="34"/>
        <v>4019/4020</v>
      </c>
      <c r="L145" s="61" t="str">
        <f>VLOOKUP(A145,'Trips&amp;Operators'!$C$1:$E$9999,3,FALSE)</f>
        <v>YOUNG</v>
      </c>
      <c r="M145" s="12">
        <f t="shared" si="35"/>
        <v>3.8958333330811001E-2</v>
      </c>
      <c r="N145" s="13">
        <f t="shared" ref="N145:N150" si="38">$M145*24*60</f>
        <v>56.099999996367842</v>
      </c>
      <c r="O145" s="13"/>
      <c r="P145" s="13"/>
      <c r="Q145" s="62"/>
      <c r="R145" s="62"/>
      <c r="T14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23:09:30-0600',mode:absolute,to:'2016-05-09 00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45" s="75" t="str">
        <f t="shared" si="28"/>
        <v>N</v>
      </c>
      <c r="V145" s="75">
        <f t="shared" si="37"/>
        <v>1</v>
      </c>
      <c r="W145" s="75">
        <f t="shared" si="29"/>
        <v>5.1700000000000003E-2</v>
      </c>
      <c r="X145" s="75">
        <f t="shared" si="30"/>
        <v>23.327400000000001</v>
      </c>
      <c r="Y145" s="75">
        <f t="shared" si="31"/>
        <v>23.275700000000001</v>
      </c>
      <c r="Z145" s="76" t="e">
        <f>VLOOKUP(A145,Enforcements!$C$3:$J$26,8,0)</f>
        <v>#N/A</v>
      </c>
      <c r="AA145" s="76" t="e">
        <f>VLOOKUP(A145,Enforcements!$C$3:$J$26,3,0)</f>
        <v>#N/A</v>
      </c>
    </row>
    <row r="146" spans="1:27" s="2" customFormat="1" x14ac:dyDescent="0.25">
      <c r="A146" s="61" t="s">
        <v>395</v>
      </c>
      <c r="B146" s="61">
        <v>4019</v>
      </c>
      <c r="C146" s="61" t="s">
        <v>83</v>
      </c>
      <c r="D146" s="61" t="s">
        <v>220</v>
      </c>
      <c r="E146" s="30">
        <v>42499.00980324074</v>
      </c>
      <c r="F146" s="30">
        <v>42499.010659722226</v>
      </c>
      <c r="G146" s="38">
        <v>1</v>
      </c>
      <c r="H146" s="30" t="s">
        <v>126</v>
      </c>
      <c r="I146" s="30">
        <v>42499.046400462961</v>
      </c>
      <c r="J146" s="61">
        <v>0</v>
      </c>
      <c r="K146" s="61" t="str">
        <f t="shared" si="34"/>
        <v>4019/4020</v>
      </c>
      <c r="L146" s="61" t="str">
        <f>VLOOKUP(A146,'Trips&amp;Operators'!$C$1:$E$9999,3,FALSE)</f>
        <v>YOUNG</v>
      </c>
      <c r="M146" s="12">
        <f t="shared" si="35"/>
        <v>3.5740740735491272E-2</v>
      </c>
      <c r="N146" s="13">
        <f t="shared" si="38"/>
        <v>51.466666659107432</v>
      </c>
      <c r="O146" s="13"/>
      <c r="P146" s="13"/>
      <c r="Q146" s="62"/>
      <c r="R146" s="62"/>
      <c r="T146" s="75" t="str">
        <f t="shared" ref="T146:T148" si="39"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https://search-rtdc-monitor-bjffxe2xuh6vdkpspy63sjmuny.us-east-1.es.amazonaws.com/_plugin/kibana/#/discover/Steve-Slow-Train-Analysis-(2080s-and-2083s)?_g=(refreshInterval:(display:Off,section:0,value:0),time:(from:'2016-05-09 00:13:07-0600',mode:absolute,to:'2016-05-09 01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6" s="75" t="str">
        <f t="shared" ref="U146:U148" si="40">IF(Y146&lt;23,"Y","N")</f>
        <v>N</v>
      </c>
      <c r="V146" s="75">
        <f t="shared" si="37"/>
        <v>1</v>
      </c>
      <c r="W146" s="75">
        <f t="shared" ref="W146:W148" si="41">RIGHT(D146,LEN(D146)-4)/10000</f>
        <v>23.297000000000001</v>
      </c>
      <c r="X146" s="75">
        <f t="shared" ref="X146:X148" si="42">RIGHT(H146,LEN(H146)-4)/10000</f>
        <v>1.52E-2</v>
      </c>
      <c r="Y146" s="75">
        <f t="shared" ref="Y146:Y148" si="43">ABS(X146-W146)</f>
        <v>23.2818</v>
      </c>
      <c r="Z146" s="76" t="e">
        <f>VLOOKUP(A146,Enforcements!$C$3:$J$26,8,0)</f>
        <v>#N/A</v>
      </c>
      <c r="AA146" s="76" t="e">
        <f>VLOOKUP(A146,Enforcements!$C$3:$J$26,3,0)</f>
        <v>#N/A</v>
      </c>
    </row>
    <row r="147" spans="1:27" s="2" customFormat="1" x14ac:dyDescent="0.25">
      <c r="A147" s="61" t="s">
        <v>396</v>
      </c>
      <c r="B147" s="61">
        <v>4040</v>
      </c>
      <c r="C147" s="61" t="s">
        <v>83</v>
      </c>
      <c r="D147" s="61" t="s">
        <v>120</v>
      </c>
      <c r="E147" s="30">
        <v>42498.983703703707</v>
      </c>
      <c r="F147" s="30">
        <v>42498.9846875</v>
      </c>
      <c r="G147" s="38">
        <v>1</v>
      </c>
      <c r="H147" s="30" t="s">
        <v>397</v>
      </c>
      <c r="I147" s="30">
        <v>42499.024814814817</v>
      </c>
      <c r="J147" s="61">
        <v>1</v>
      </c>
      <c r="K147" s="61" t="str">
        <f t="shared" si="34"/>
        <v>4039/4040</v>
      </c>
      <c r="L147" s="61" t="str">
        <f>VLOOKUP(A147,'Trips&amp;Operators'!$C$1:$E$9999,3,FALSE)</f>
        <v>HONTZ</v>
      </c>
      <c r="M147" s="12">
        <f t="shared" si="35"/>
        <v>4.0127314816345461E-2</v>
      </c>
      <c r="N147" s="13">
        <f t="shared" si="38"/>
        <v>57.783333335537463</v>
      </c>
      <c r="O147" s="13"/>
      <c r="P147" s="13"/>
      <c r="Q147" s="62"/>
      <c r="R147" s="62"/>
      <c r="T147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https://search-rtdc-monitor-bjffxe2xuh6vdkpspy63sjmuny.us-east-1.es.amazonaws.com/_plugin/kibana/#/discover/Steve-Slow-Train-Analysis-(2080s-and-2083s)?_g=(refreshInterval:(display:Off,section:0,value:0),time:(from:'2016-05-08 23:35:32-0600',mode:absolute,to:'2016-05-09 00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47" s="75" t="str">
        <f t="shared" si="40"/>
        <v>N</v>
      </c>
      <c r="V147" s="75">
        <f t="shared" si="37"/>
        <v>1</v>
      </c>
      <c r="W147" s="75">
        <f t="shared" si="41"/>
        <v>4.53E-2</v>
      </c>
      <c r="X147" s="75">
        <f t="shared" si="42"/>
        <v>23.3338</v>
      </c>
      <c r="Y147" s="75">
        <f t="shared" si="43"/>
        <v>23.288499999999999</v>
      </c>
      <c r="Z147" s="76" t="e">
        <f>VLOOKUP(A147,Enforcements!$C$3:$J$26,8,0)</f>
        <v>#N/A</v>
      </c>
      <c r="AA147" s="76" t="e">
        <f>VLOOKUP(A147,Enforcements!$C$3:$J$26,3,0)</f>
        <v>#N/A</v>
      </c>
    </row>
    <row r="148" spans="1:27" s="2" customFormat="1" x14ac:dyDescent="0.25">
      <c r="A148" s="61" t="s">
        <v>398</v>
      </c>
      <c r="B148" s="61">
        <v>4039</v>
      </c>
      <c r="C148" s="61" t="s">
        <v>83</v>
      </c>
      <c r="D148" s="61" t="s">
        <v>119</v>
      </c>
      <c r="E148" s="30">
        <v>42499.031631944446</v>
      </c>
      <c r="F148" s="30">
        <v>42499.032488425924</v>
      </c>
      <c r="G148" s="38">
        <v>1</v>
      </c>
      <c r="H148" s="30" t="s">
        <v>126</v>
      </c>
      <c r="I148" s="30">
        <v>42499.072222222225</v>
      </c>
      <c r="J148" s="61">
        <v>0</v>
      </c>
      <c r="K148" s="61" t="str">
        <f t="shared" si="34"/>
        <v>4039/4040</v>
      </c>
      <c r="L148" s="61" t="str">
        <f>VLOOKUP(A148,'Trips&amp;Operators'!$C$1:$E$9999,3,FALSE)</f>
        <v>HONTZ</v>
      </c>
      <c r="M148" s="12">
        <f t="shared" si="35"/>
        <v>3.9733796300424729E-2</v>
      </c>
      <c r="N148" s="13">
        <f t="shared" si="38"/>
        <v>57.216666672611609</v>
      </c>
      <c r="O148" s="13"/>
      <c r="P148" s="13"/>
      <c r="Q148" s="62"/>
      <c r="R148" s="62"/>
      <c r="T148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https://search-rtdc-monitor-bjffxe2xuh6vdkpspy63sjmuny.us-east-1.es.amazonaws.com/_plugin/kibana/#/discover/Steve-Slow-Train-Analysis-(2080s-and-2083s)?_g=(refreshInterval:(display:Off,section:0,value:0),time:(from:'2016-05-09 00:44:33-0600',mode:absolute,to:'2016-05-09 01:45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8" s="75" t="str">
        <f t="shared" si="40"/>
        <v>N</v>
      </c>
      <c r="V148" s="75">
        <f t="shared" si="37"/>
        <v>1</v>
      </c>
      <c r="W148" s="75">
        <f t="shared" si="41"/>
        <v>23.3</v>
      </c>
      <c r="X148" s="75">
        <f t="shared" si="42"/>
        <v>1.52E-2</v>
      </c>
      <c r="Y148" s="75">
        <f t="shared" si="43"/>
        <v>23.284800000000001</v>
      </c>
      <c r="Z148" s="76" t="e">
        <f>VLOOKUP(A148,Enforcements!$C$3:$J$26,8,0)</f>
        <v>#N/A</v>
      </c>
      <c r="AA148" s="76" t="e">
        <f>VLOOKUP(A148,Enforcements!$C$3:$J$26,3,0)</f>
        <v>#N/A</v>
      </c>
    </row>
    <row r="149" spans="1:27" s="2" customFormat="1" x14ac:dyDescent="0.25">
      <c r="A149" s="61" t="s">
        <v>399</v>
      </c>
      <c r="B149" s="61">
        <v>4029</v>
      </c>
      <c r="C149" s="61" t="s">
        <v>83</v>
      </c>
      <c r="D149" s="61" t="s">
        <v>113</v>
      </c>
      <c r="E149" s="30">
        <v>42499.008217592593</v>
      </c>
      <c r="F149" s="30">
        <v>42499.009456018517</v>
      </c>
      <c r="G149" s="38">
        <v>1</v>
      </c>
      <c r="H149" s="30" t="s">
        <v>400</v>
      </c>
      <c r="I149" s="30">
        <v>42499.046539351853</v>
      </c>
      <c r="J149" s="61">
        <v>1</v>
      </c>
      <c r="K149" s="61" t="str">
        <f t="shared" si="34"/>
        <v>4029/4030</v>
      </c>
      <c r="L149" s="61" t="str">
        <f>VLOOKUP(A149,'Trips&amp;Operators'!$C$1:$E$9999,3,FALSE)</f>
        <v>BARTLETT</v>
      </c>
      <c r="M149" s="12">
        <f t="shared" si="35"/>
        <v>3.7083333336340729E-2</v>
      </c>
      <c r="N149" s="13">
        <f t="shared" si="38"/>
        <v>53.40000000433065</v>
      </c>
      <c r="O149" s="13"/>
      <c r="P149" s="13"/>
      <c r="Q149" s="62"/>
      <c r="R149" s="62"/>
      <c r="T149" s="75" t="str">
        <f t="shared" ref="T149:T150" si="44">"https://search-rtdc-monitor-bjffxe2xuh6vdkpspy63sjmuny.us-east-1.es.amazonaws.com/_plugin/kibana/#/discover/Steve-Slow-Train-Analysis-(2080s-and-2083s)?_g=(refreshInterval:(display:Off,section:0,value:0),time:(from:'"&amp;TEXT(E149-1/24/60,"yyyy-MM-DD hh:mm:ss")&amp;"-0600',mode:absolute,to:'"&amp;TEXT(I149+1/24/60,"yyyy-MM-DD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149&amp;"%22')),sort:!(Time,asc))"</f>
        <v>https://search-rtdc-monitor-bjffxe2xuh6vdkpspy63sjmuny.us-east-1.es.amazonaws.com/_plugin/kibana/#/discover/Steve-Slow-Train-Analysis-(2080s-and-2083s)?_g=(refreshInterval:(display:Off,section:0,value:0),time:(from:'2016-05-09 00:10:50-0600',mode:absolute,to:'2016-05-09 01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9" s="75" t="str">
        <f t="shared" ref="U149:U150" si="45">IF(Y149&lt;23,"Y","N")</f>
        <v>N</v>
      </c>
      <c r="V149" s="75">
        <f t="shared" ref="V149:V150" si="46">VALUE(LEFT(A149,3))-VALUE(LEFT(A148,3))</f>
        <v>1</v>
      </c>
      <c r="W149" s="75">
        <f t="shared" ref="W149:W150" si="47">RIGHT(D149,LEN(D149)-4)/10000</f>
        <v>4.7100000000000003E-2</v>
      </c>
      <c r="X149" s="75">
        <f t="shared" ref="X149:X150" si="48">RIGHT(H149,LEN(H149)-4)/10000</f>
        <v>23.310400000000001</v>
      </c>
      <c r="Y149" s="75">
        <f t="shared" ref="Y149:Y150" si="49">ABS(X149-W149)</f>
        <v>23.263300000000001</v>
      </c>
      <c r="Z149" s="76" t="e">
        <f>VLOOKUP(A149,Enforcements!$C$3:$J$26,8,0)</f>
        <v>#N/A</v>
      </c>
      <c r="AA149" s="76" t="e">
        <f>VLOOKUP(A149,Enforcements!$C$3:$J$26,3,0)</f>
        <v>#N/A</v>
      </c>
    </row>
    <row r="150" spans="1:27" s="2" customFormat="1" x14ac:dyDescent="0.25">
      <c r="A150" s="61" t="s">
        <v>401</v>
      </c>
      <c r="B150" s="61">
        <v>4030</v>
      </c>
      <c r="C150" s="61" t="s">
        <v>83</v>
      </c>
      <c r="D150" s="61" t="s">
        <v>402</v>
      </c>
      <c r="E150" s="30">
        <v>42499.051828703705</v>
      </c>
      <c r="F150" s="30">
        <v>42499.052916666667</v>
      </c>
      <c r="G150" s="38">
        <v>1</v>
      </c>
      <c r="H150" s="30" t="s">
        <v>102</v>
      </c>
      <c r="I150" s="30">
        <v>42499.086284722223</v>
      </c>
      <c r="J150" s="61">
        <v>0</v>
      </c>
      <c r="K150" s="61" t="str">
        <f t="shared" si="34"/>
        <v>4029/4030</v>
      </c>
      <c r="L150" s="61" t="str">
        <f>VLOOKUP(A150,'Trips&amp;Operators'!$C$1:$E$9999,3,FALSE)</f>
        <v>BARTLETT</v>
      </c>
      <c r="M150" s="12">
        <f t="shared" si="35"/>
        <v>3.3368055555911269E-2</v>
      </c>
      <c r="N150" s="13">
        <f t="shared" si="38"/>
        <v>48.050000000512227</v>
      </c>
      <c r="O150" s="13"/>
      <c r="P150" s="13"/>
      <c r="Q150" s="62"/>
      <c r="R150" s="62"/>
      <c r="T150" s="75" t="str">
        <f t="shared" si="44"/>
        <v>https://search-rtdc-monitor-bjffxe2xuh6vdkpspy63sjmuny.us-east-1.es.amazonaws.com/_plugin/kibana/#/discover/Steve-Slow-Train-Analysis-(2080s-and-2083s)?_g=(refreshInterval:(display:Off,section:0,value:0),time:(from:'2016-05-09 01:13:38-0600',mode:absolute,to:'2016-05-09 02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50" s="75" t="str">
        <f t="shared" si="45"/>
        <v>N</v>
      </c>
      <c r="V150" s="75">
        <f t="shared" si="46"/>
        <v>1</v>
      </c>
      <c r="W150" s="75">
        <f t="shared" si="47"/>
        <v>23.296600000000002</v>
      </c>
      <c r="X150" s="75">
        <f t="shared" si="48"/>
        <v>1.6E-2</v>
      </c>
      <c r="Y150" s="75">
        <f t="shared" si="49"/>
        <v>23.280600000000003</v>
      </c>
      <c r="Z150" s="76" t="e">
        <f>VLOOKUP(A150,Enforcements!$C$3:$J$26,8,0)</f>
        <v>#N/A</v>
      </c>
      <c r="AA150" s="76" t="e">
        <f>VLOOKUP(A150,Enforcements!$C$3:$J$26,3,0)</f>
        <v>#N/A</v>
      </c>
    </row>
    <row r="151" spans="1:27" s="2" customFormat="1" ht="15.75" thickBot="1" x14ac:dyDescent="0.3">
      <c r="A151" s="64"/>
      <c r="B151" s="64"/>
      <c r="C151" s="64"/>
      <c r="D151" s="64"/>
      <c r="E151" s="65"/>
      <c r="F151" s="65"/>
      <c r="G151" s="66"/>
      <c r="H151" s="65"/>
      <c r="I151" s="65"/>
      <c r="J151" s="64"/>
      <c r="K151" s="64"/>
      <c r="L151" s="64"/>
      <c r="M151" s="67"/>
      <c r="N151" s="68"/>
      <c r="O151" s="68"/>
      <c r="P151" s="68"/>
      <c r="Q151" s="69"/>
      <c r="R151" s="69"/>
      <c r="T151" s="70"/>
      <c r="U151" s="70"/>
      <c r="V151" s="70"/>
      <c r="W151" s="70"/>
      <c r="X151" s="70"/>
      <c r="Y151" s="70"/>
      <c r="Z151" s="71"/>
      <c r="AA151" s="71"/>
    </row>
    <row r="152" spans="1:27" s="2" customFormat="1" ht="15.75" thickBot="1" x14ac:dyDescent="0.3">
      <c r="E152" s="31"/>
      <c r="F152" s="31"/>
      <c r="G152" s="39"/>
      <c r="H152" s="31"/>
      <c r="I152" s="78">
        <f>Variables!A2</f>
        <v>42495</v>
      </c>
      <c r="J152" s="79"/>
      <c r="K152" s="77"/>
      <c r="L152" s="77"/>
      <c r="M152" s="80" t="s">
        <v>8</v>
      </c>
      <c r="N152" s="81"/>
      <c r="O152" s="82"/>
      <c r="P152" s="5"/>
      <c r="T152" s="57"/>
      <c r="U152" s="57"/>
      <c r="V152" s="57"/>
      <c r="W152" s="57"/>
      <c r="X152" s="57"/>
      <c r="Y152" s="57"/>
      <c r="Z152" s="58"/>
      <c r="AA152" s="58"/>
    </row>
    <row r="153" spans="1:27" s="2" customFormat="1" ht="15.75" thickBot="1" x14ac:dyDescent="0.3">
      <c r="E153" s="31"/>
      <c r="F153" s="31"/>
      <c r="G153" s="39"/>
      <c r="H153" s="31"/>
      <c r="I153" s="83" t="s">
        <v>10</v>
      </c>
      <c r="J153" s="84"/>
      <c r="K153" s="35"/>
      <c r="L153" s="59"/>
      <c r="M153" s="9" t="s">
        <v>11</v>
      </c>
      <c r="N153" s="6" t="s">
        <v>12</v>
      </c>
      <c r="O153" s="7" t="s">
        <v>13</v>
      </c>
      <c r="P153" s="5"/>
      <c r="T153" s="57"/>
      <c r="U153" s="57"/>
      <c r="V153" s="57"/>
      <c r="W153" s="57"/>
      <c r="X153" s="57"/>
      <c r="Y153" s="57"/>
      <c r="Z153" s="58"/>
      <c r="AA153" s="58"/>
    </row>
    <row r="154" spans="1:27" s="2" customFormat="1" ht="15.75" thickBot="1" x14ac:dyDescent="0.3">
      <c r="E154" s="31"/>
      <c r="F154" s="31"/>
      <c r="G154" s="39"/>
      <c r="H154" s="31"/>
      <c r="I154" s="32" t="s">
        <v>14</v>
      </c>
      <c r="J154" s="3">
        <f>COUNT(N3:P150)</f>
        <v>145</v>
      </c>
      <c r="K154" s="3"/>
      <c r="L154" s="3"/>
      <c r="M154" s="72" t="s">
        <v>15</v>
      </c>
      <c r="N154" s="6" t="s">
        <v>15</v>
      </c>
      <c r="O154" s="7" t="s">
        <v>15</v>
      </c>
      <c r="P154" s="5"/>
      <c r="T154" s="57"/>
      <c r="U154" s="57"/>
      <c r="V154" s="57"/>
      <c r="W154" s="57"/>
      <c r="X154" s="57"/>
      <c r="Y154" s="57"/>
      <c r="Z154" s="58"/>
      <c r="AA154" s="58"/>
    </row>
    <row r="155" spans="1:27" s="2" customFormat="1" ht="15.75" thickBot="1" x14ac:dyDescent="0.3">
      <c r="E155" s="31"/>
      <c r="F155" s="31"/>
      <c r="G155" s="39"/>
      <c r="H155" s="31"/>
      <c r="I155" s="32" t="s">
        <v>17</v>
      </c>
      <c r="J155" s="3">
        <f>COUNT(N3:N150)</f>
        <v>137</v>
      </c>
      <c r="K155" s="3"/>
      <c r="L155" s="3"/>
      <c r="M155" s="72">
        <f>AVERAGE(N3:N148)</f>
        <v>43.162345679525608</v>
      </c>
      <c r="N155" s="6">
        <f>MIN(N3:N150)</f>
        <v>34.999999998835847</v>
      </c>
      <c r="O155" s="7">
        <f>MAX(N3:N150)</f>
        <v>57.783333335537463</v>
      </c>
      <c r="P155" s="5"/>
      <c r="T155" s="57"/>
      <c r="U155" s="57"/>
      <c r="V155" s="57"/>
      <c r="W155" s="57"/>
      <c r="X155" s="57"/>
      <c r="Y155" s="57"/>
      <c r="Z155" s="58"/>
      <c r="AA155" s="58"/>
    </row>
    <row r="156" spans="1:27" s="2" customFormat="1" ht="15.75" thickBot="1" x14ac:dyDescent="0.3">
      <c r="B156"/>
      <c r="C156"/>
      <c r="D156"/>
      <c r="E156" s="14"/>
      <c r="F156" s="14"/>
      <c r="G156" s="40"/>
      <c r="H156" s="14"/>
      <c r="I156" s="33" t="s">
        <v>45</v>
      </c>
      <c r="J156" s="3">
        <f>COUNT(O3:O150)</f>
        <v>0</v>
      </c>
      <c r="K156" s="3"/>
      <c r="L156" s="3"/>
      <c r="M156" s="72">
        <f>IFERROR(AVERAGE(O3:O150),0)</f>
        <v>0</v>
      </c>
      <c r="N156" s="6">
        <f>MIN(O3:O148)</f>
        <v>0</v>
      </c>
      <c r="O156" s="7">
        <f>MAX(O3:O148)</f>
        <v>0</v>
      </c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ht="15.75" thickBot="1" x14ac:dyDescent="0.3">
      <c r="B157"/>
      <c r="C157"/>
      <c r="D157"/>
      <c r="E157" s="14"/>
      <c r="F157" s="14"/>
      <c r="G157" s="40"/>
      <c r="H157" s="14"/>
      <c r="I157" s="34" t="s">
        <v>9</v>
      </c>
      <c r="J157" s="3">
        <f>COUNT(P3:P150)</f>
        <v>8</v>
      </c>
      <c r="K157" s="3"/>
      <c r="L157" s="3"/>
      <c r="M157" s="72" t="s">
        <v>15</v>
      </c>
      <c r="N157" s="6" t="s">
        <v>15</v>
      </c>
      <c r="O157" s="7" t="s">
        <v>15</v>
      </c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ht="30.75" thickBot="1" x14ac:dyDescent="0.3">
      <c r="E158" s="31"/>
      <c r="F158" s="31"/>
      <c r="G158" s="39"/>
      <c r="H158" s="31"/>
      <c r="I158" s="32" t="s">
        <v>16</v>
      </c>
      <c r="J158" s="3">
        <f>COUNT(N3:O150)</f>
        <v>137</v>
      </c>
      <c r="K158" s="3"/>
      <c r="L158" s="3"/>
      <c r="M158" s="72">
        <f>AVERAGE(N3:P150)</f>
        <v>42.282068966026038</v>
      </c>
      <c r="N158" s="6">
        <f>MIN(N3:O150)</f>
        <v>34.999999998835847</v>
      </c>
      <c r="O158" s="7">
        <f>MAX(N3:O150)</f>
        <v>57.783333335537463</v>
      </c>
      <c r="P158" s="5"/>
      <c r="T158" s="57"/>
      <c r="U158" s="57"/>
      <c r="V158" s="57"/>
      <c r="W158" s="57"/>
      <c r="X158" s="57"/>
      <c r="Y158" s="57"/>
      <c r="Z158" s="58"/>
      <c r="AA158" s="58"/>
    </row>
    <row r="159" spans="1:27" s="2" customFormat="1" ht="30.75" thickBot="1" x14ac:dyDescent="0.3">
      <c r="B159"/>
      <c r="C159"/>
      <c r="D159"/>
      <c r="E159" s="14"/>
      <c r="F159" s="14"/>
      <c r="G159" s="40"/>
      <c r="H159" s="14"/>
      <c r="I159" s="32" t="s">
        <v>19</v>
      </c>
      <c r="J159" s="8">
        <f>J158/J154</f>
        <v>0.94482758620689655</v>
      </c>
      <c r="K159" s="8"/>
      <c r="L159" s="8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0" spans="1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0"/>
      <c r="M161" s="1"/>
      <c r="N161" s="4"/>
      <c r="O161" s="4"/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/>
      <c r="T162" s="55"/>
      <c r="U162" s="55"/>
      <c r="V162" s="55"/>
      <c r="W162" s="55"/>
      <c r="X162" s="55"/>
      <c r="Y162" s="55"/>
      <c r="Z162" s="56"/>
      <c r="AA162" s="56"/>
    </row>
    <row r="163" spans="2:27" s="2" customFormat="1" x14ac:dyDescent="0.25">
      <c r="B163"/>
      <c r="C163"/>
      <c r="D163"/>
      <c r="E163" s="14"/>
      <c r="F163" s="14"/>
      <c r="G163" s="40"/>
      <c r="H163" s="14"/>
      <c r="I163" s="14"/>
      <c r="J163"/>
      <c r="K163"/>
      <c r="L163" s="60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  <row r="164" spans="2:27" s="2" customFormat="1" x14ac:dyDescent="0.25">
      <c r="B164"/>
      <c r="C164"/>
      <c r="D164"/>
      <c r="E164" s="14"/>
      <c r="F164" s="14"/>
      <c r="G164" s="40"/>
      <c r="H164" s="14"/>
      <c r="I164" s="14"/>
      <c r="J164"/>
      <c r="K164"/>
      <c r="L164" s="60"/>
      <c r="M164" s="1"/>
      <c r="N164" s="4"/>
      <c r="O164" s="4"/>
      <c r="P164" s="4"/>
      <c r="Q164"/>
      <c r="R164"/>
      <c r="S164"/>
      <c r="T164" s="55"/>
      <c r="U164" s="55"/>
      <c r="V164" s="55"/>
      <c r="W164" s="55"/>
      <c r="X164" s="55"/>
      <c r="Y164" s="55"/>
      <c r="Z164" s="56"/>
      <c r="AA164" s="56"/>
    </row>
    <row r="167" spans="2:27" s="2" customFormat="1" x14ac:dyDescent="0.25">
      <c r="B167"/>
      <c r="C167"/>
      <c r="D167"/>
      <c r="E167" s="14"/>
      <c r="F167" s="14"/>
      <c r="G167" s="40"/>
      <c r="H167" s="14"/>
      <c r="I167" s="14"/>
      <c r="J167"/>
      <c r="K167"/>
      <c r="L167" s="60"/>
      <c r="M167" s="1"/>
      <c r="N167" s="4"/>
      <c r="O167" s="4"/>
      <c r="P167" s="4"/>
      <c r="Q167"/>
      <c r="R167"/>
      <c r="S167"/>
      <c r="T167" s="55"/>
      <c r="U167" s="55"/>
      <c r="V167" s="55"/>
      <c r="W167" s="55"/>
      <c r="X167" s="55"/>
      <c r="Y167" s="55"/>
      <c r="Z167" s="56"/>
      <c r="AA167" s="56"/>
    </row>
  </sheetData>
  <sortState ref="A3:Y144">
    <sortCondition ref="A3:A144"/>
  </sortState>
  <mergeCells count="4">
    <mergeCell ref="I152:J152"/>
    <mergeCell ref="M152:O152"/>
    <mergeCell ref="I153:J153"/>
    <mergeCell ref="A1:P1"/>
  </mergeCells>
  <conditionalFormatting sqref="U1:V1 U2 U3:V1048576">
    <cfRule type="cellIs" dxfId="8" priority="20" operator="equal">
      <formula>"Y"</formula>
    </cfRule>
  </conditionalFormatting>
  <conditionalFormatting sqref="V1 V3:V1048576">
    <cfRule type="cellIs" dxfId="7" priority="3" operator="greaterThan">
      <formula>1</formula>
    </cfRule>
  </conditionalFormatting>
  <conditionalFormatting sqref="A3:R148 L127:L150 A149:P151">
    <cfRule type="expression" dxfId="6" priority="34">
      <formula>$P3&gt;0</formula>
    </cfRule>
    <cfRule type="expression" dxfId="5" priority="35">
      <formula>$O3&gt;0</formula>
    </cfRule>
  </conditionalFormatting>
  <conditionalFormatting sqref="Q149:R151">
    <cfRule type="expression" dxfId="4" priority="76">
      <formula>$P149&gt;0</formula>
    </cfRule>
    <cfRule type="expression" dxfId="3" priority="77">
      <formula>$O168&gt;0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showGridLines="0" zoomScaleNormal="100" workbookViewId="0">
      <selection activeCell="N15" sqref="N15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- 2016-05-05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42498.993298611109</v>
      </c>
      <c r="B3" s="22" t="s">
        <v>57</v>
      </c>
      <c r="C3" s="22" t="s">
        <v>390</v>
      </c>
      <c r="D3" s="22" t="s">
        <v>53</v>
      </c>
      <c r="E3" s="22" t="s">
        <v>157</v>
      </c>
      <c r="F3" s="22">
        <v>200</v>
      </c>
      <c r="G3" s="22">
        <v>247</v>
      </c>
      <c r="H3" s="22">
        <v>63339</v>
      </c>
      <c r="I3" s="22" t="s">
        <v>158</v>
      </c>
      <c r="J3" s="22">
        <v>63309</v>
      </c>
      <c r="K3" s="21" t="s">
        <v>58</v>
      </c>
      <c r="L3" s="21" t="str">
        <f>VLOOKUP(C3,'Trips&amp;Operators'!$C$1:$E$9999,3,FALSE)</f>
        <v>BARTLETT</v>
      </c>
      <c r="M3" s="20" t="s">
        <v>147</v>
      </c>
      <c r="N3" s="21"/>
    </row>
    <row r="4" spans="1:14" s="19" customFormat="1" x14ac:dyDescent="0.25">
      <c r="A4" s="23">
        <v>42498.481782407405</v>
      </c>
      <c r="B4" s="22" t="s">
        <v>63</v>
      </c>
      <c r="C4" s="22" t="s">
        <v>277</v>
      </c>
      <c r="D4" s="22" t="s">
        <v>53</v>
      </c>
      <c r="E4" s="22" t="s">
        <v>65</v>
      </c>
      <c r="F4" s="22">
        <v>600</v>
      </c>
      <c r="G4" s="22">
        <v>645</v>
      </c>
      <c r="H4" s="22">
        <v>182652</v>
      </c>
      <c r="I4" s="22" t="s">
        <v>66</v>
      </c>
      <c r="J4" s="22">
        <v>183829</v>
      </c>
      <c r="K4" s="21" t="s">
        <v>56</v>
      </c>
      <c r="L4" s="21" t="str">
        <f>VLOOKUP(C4,'Trips&amp;Operators'!$C$1:$E$9999,3,FALSE)</f>
        <v>BRABO</v>
      </c>
      <c r="M4" s="20" t="s">
        <v>147</v>
      </c>
      <c r="N4" s="21"/>
    </row>
    <row r="5" spans="1:14" s="19" customFormat="1" x14ac:dyDescent="0.25">
      <c r="A5" s="23">
        <v>42498.517812500002</v>
      </c>
      <c r="B5" s="22" t="s">
        <v>68</v>
      </c>
      <c r="C5" s="22" t="s">
        <v>278</v>
      </c>
      <c r="D5" s="22" t="s">
        <v>53</v>
      </c>
      <c r="E5" s="22" t="s">
        <v>65</v>
      </c>
      <c r="F5" s="22">
        <v>200</v>
      </c>
      <c r="G5" s="22">
        <v>298</v>
      </c>
      <c r="H5" s="22">
        <v>31689</v>
      </c>
      <c r="I5" s="22" t="s">
        <v>66</v>
      </c>
      <c r="J5" s="22">
        <v>30562</v>
      </c>
      <c r="K5" s="21" t="s">
        <v>58</v>
      </c>
      <c r="L5" s="21" t="str">
        <f>VLOOKUP(C5,'Trips&amp;Operators'!$C$1:$E$9999,3,FALSE)</f>
        <v>BRABO</v>
      </c>
      <c r="M5" s="20" t="s">
        <v>147</v>
      </c>
      <c r="N5" s="21"/>
    </row>
    <row r="6" spans="1:14" s="19" customFormat="1" x14ac:dyDescent="0.25">
      <c r="A6" s="23">
        <v>42498.535902777781</v>
      </c>
      <c r="B6" s="22" t="s">
        <v>64</v>
      </c>
      <c r="C6" s="22" t="s">
        <v>288</v>
      </c>
      <c r="D6" s="22" t="s">
        <v>53</v>
      </c>
      <c r="E6" s="22" t="s">
        <v>65</v>
      </c>
      <c r="F6" s="22">
        <v>150</v>
      </c>
      <c r="G6" s="22">
        <v>117</v>
      </c>
      <c r="H6" s="22">
        <v>231895</v>
      </c>
      <c r="I6" s="22" t="s">
        <v>66</v>
      </c>
      <c r="J6" s="22">
        <v>232107</v>
      </c>
      <c r="K6" s="21" t="s">
        <v>56</v>
      </c>
      <c r="L6" s="21" t="str">
        <f>VLOOKUP(C6,'Trips&amp;Operators'!$C$1:$E$9999,3,FALSE)</f>
        <v>STEWART</v>
      </c>
      <c r="M6" s="20" t="s">
        <v>147</v>
      </c>
      <c r="N6" s="21"/>
    </row>
    <row r="7" spans="1:14" s="19" customFormat="1" x14ac:dyDescent="0.25">
      <c r="A7" s="23">
        <v>42498.543657407405</v>
      </c>
      <c r="B7" s="22" t="s">
        <v>80</v>
      </c>
      <c r="C7" s="22" t="s">
        <v>290</v>
      </c>
      <c r="D7" s="22" t="s">
        <v>53</v>
      </c>
      <c r="E7" s="22" t="s">
        <v>65</v>
      </c>
      <c r="F7" s="22">
        <v>350</v>
      </c>
      <c r="G7" s="22">
        <v>388</v>
      </c>
      <c r="H7" s="22">
        <v>224074</v>
      </c>
      <c r="I7" s="22" t="s">
        <v>66</v>
      </c>
      <c r="J7" s="22">
        <v>224578</v>
      </c>
      <c r="K7" s="21" t="s">
        <v>56</v>
      </c>
      <c r="L7" s="21" t="str">
        <f>VLOOKUP(C7,'Trips&amp;Operators'!$C$1:$E$9999,3,FALSE)</f>
        <v>BRANNON</v>
      </c>
      <c r="M7" s="20" t="s">
        <v>147</v>
      </c>
      <c r="N7" s="21"/>
    </row>
    <row r="8" spans="1:14" s="19" customFormat="1" x14ac:dyDescent="0.25">
      <c r="A8" s="23">
        <v>42498.638935185183</v>
      </c>
      <c r="B8" s="22" t="s">
        <v>412</v>
      </c>
      <c r="C8" s="22" t="s">
        <v>316</v>
      </c>
      <c r="D8" s="22" t="s">
        <v>53</v>
      </c>
      <c r="E8" s="22" t="s">
        <v>65</v>
      </c>
      <c r="F8" s="22">
        <v>150</v>
      </c>
      <c r="G8" s="22">
        <v>142</v>
      </c>
      <c r="H8" s="22">
        <v>231581</v>
      </c>
      <c r="I8" s="22" t="s">
        <v>66</v>
      </c>
      <c r="J8" s="22">
        <v>232107</v>
      </c>
      <c r="K8" s="21" t="s">
        <v>56</v>
      </c>
      <c r="L8" s="21" t="str">
        <f>VLOOKUP(C8,'Trips&amp;Operators'!$C$1:$E$9999,3,FALSE)</f>
        <v>RIVERA</v>
      </c>
      <c r="M8" s="20" t="s">
        <v>147</v>
      </c>
      <c r="N8" s="21"/>
    </row>
    <row r="9" spans="1:14" s="19" customFormat="1" x14ac:dyDescent="0.25">
      <c r="A9" s="23">
        <v>42498.681574074071</v>
      </c>
      <c r="B9" s="22" t="s">
        <v>63</v>
      </c>
      <c r="C9" s="22" t="s">
        <v>335</v>
      </c>
      <c r="D9" s="22" t="s">
        <v>60</v>
      </c>
      <c r="E9" s="22" t="s">
        <v>65</v>
      </c>
      <c r="F9" s="22">
        <v>200</v>
      </c>
      <c r="G9" s="22">
        <v>261</v>
      </c>
      <c r="H9" s="22">
        <v>21875</v>
      </c>
      <c r="I9" s="22" t="s">
        <v>66</v>
      </c>
      <c r="J9" s="22">
        <v>21871</v>
      </c>
      <c r="K9" s="21" t="s">
        <v>56</v>
      </c>
      <c r="L9" s="21" t="str">
        <f>VLOOKUP(C9,'Trips&amp;Operators'!$C$1:$E$9999,3,FALSE)</f>
        <v>WEBSTER</v>
      </c>
      <c r="M9" s="20" t="s">
        <v>147</v>
      </c>
      <c r="N9" s="21"/>
    </row>
    <row r="10" spans="1:14" s="19" customFormat="1" x14ac:dyDescent="0.25">
      <c r="A10" s="23">
        <v>42498.701793981483</v>
      </c>
      <c r="B10" s="22" t="s">
        <v>70</v>
      </c>
      <c r="C10" s="22" t="s">
        <v>344</v>
      </c>
      <c r="D10" s="22" t="s">
        <v>53</v>
      </c>
      <c r="E10" s="22" t="s">
        <v>65</v>
      </c>
      <c r="F10" s="22">
        <v>300</v>
      </c>
      <c r="G10" s="22">
        <v>259</v>
      </c>
      <c r="H10" s="22">
        <v>20025</v>
      </c>
      <c r="I10" s="22" t="s">
        <v>66</v>
      </c>
      <c r="J10" s="22">
        <v>20338</v>
      </c>
      <c r="K10" s="21" t="s">
        <v>56</v>
      </c>
      <c r="L10" s="21" t="str">
        <f>VLOOKUP(C10,'Trips&amp;Operators'!$C$1:$E$9999,3,FALSE)</f>
        <v>BONDS</v>
      </c>
      <c r="M10" s="20" t="s">
        <v>147</v>
      </c>
      <c r="N10" s="21"/>
    </row>
    <row r="11" spans="1:14" s="19" customFormat="1" x14ac:dyDescent="0.25">
      <c r="A11" s="23">
        <v>42498.722337962965</v>
      </c>
      <c r="B11" s="22" t="s">
        <v>70</v>
      </c>
      <c r="C11" s="22" t="s">
        <v>344</v>
      </c>
      <c r="D11" s="22" t="s">
        <v>53</v>
      </c>
      <c r="E11" s="22" t="s">
        <v>65</v>
      </c>
      <c r="F11" s="22">
        <v>150</v>
      </c>
      <c r="G11" s="22">
        <v>128</v>
      </c>
      <c r="H11" s="22">
        <v>231716</v>
      </c>
      <c r="I11" s="22" t="s">
        <v>66</v>
      </c>
      <c r="J11" s="22">
        <v>232107</v>
      </c>
      <c r="K11" s="21" t="s">
        <v>56</v>
      </c>
      <c r="L11" s="21" t="str">
        <f>VLOOKUP(C11,'Trips&amp;Operators'!$C$1:$E$9999,3,FALSE)</f>
        <v>BONDS</v>
      </c>
      <c r="M11" s="20" t="s">
        <v>147</v>
      </c>
      <c r="N11" s="21"/>
    </row>
    <row r="12" spans="1:14" s="19" customFormat="1" x14ac:dyDescent="0.25">
      <c r="A12" s="23">
        <v>42498.937743055554</v>
      </c>
      <c r="B12" s="22" t="s">
        <v>76</v>
      </c>
      <c r="C12" s="22" t="s">
        <v>382</v>
      </c>
      <c r="D12" s="22" t="s">
        <v>53</v>
      </c>
      <c r="E12" s="22" t="s">
        <v>65</v>
      </c>
      <c r="F12" s="22">
        <v>450</v>
      </c>
      <c r="G12" s="22">
        <v>453</v>
      </c>
      <c r="H12" s="22">
        <v>16608</v>
      </c>
      <c r="I12" s="22" t="s">
        <v>66</v>
      </c>
      <c r="J12" s="22">
        <v>15167</v>
      </c>
      <c r="K12" s="21" t="s">
        <v>58</v>
      </c>
      <c r="L12" s="21" t="str">
        <f>VLOOKUP(C12,'Trips&amp;Operators'!$C$1:$E$9999,3,FALSE)</f>
        <v>COCA</v>
      </c>
      <c r="M12" s="20" t="s">
        <v>147</v>
      </c>
      <c r="N12" s="21"/>
    </row>
    <row r="13" spans="1:14" s="19" customFormat="1" x14ac:dyDescent="0.25">
      <c r="A13" s="23">
        <v>42498.314733796295</v>
      </c>
      <c r="B13" s="22" t="s">
        <v>57</v>
      </c>
      <c r="C13" s="22" t="s">
        <v>227</v>
      </c>
      <c r="D13" s="22" t="s">
        <v>53</v>
      </c>
      <c r="E13" s="22" t="s">
        <v>61</v>
      </c>
      <c r="F13" s="22">
        <v>0</v>
      </c>
      <c r="G13" s="22">
        <v>610</v>
      </c>
      <c r="H13" s="22">
        <v>69647</v>
      </c>
      <c r="I13" s="22" t="s">
        <v>62</v>
      </c>
      <c r="J13" s="22">
        <v>69363</v>
      </c>
      <c r="K13" s="21" t="s">
        <v>58</v>
      </c>
      <c r="L13" s="21" t="str">
        <f>VLOOKUP(C13,'Trips&amp;Operators'!$C$1:$E$9999,3,FALSE)</f>
        <v>SANTIZO</v>
      </c>
      <c r="M13" s="20" t="s">
        <v>146</v>
      </c>
      <c r="N13" s="21" t="s">
        <v>438</v>
      </c>
    </row>
    <row r="14" spans="1:14" s="19" customFormat="1" x14ac:dyDescent="0.25">
      <c r="A14" s="23">
        <v>42498.315520833334</v>
      </c>
      <c r="B14" s="22" t="s">
        <v>57</v>
      </c>
      <c r="C14" s="22" t="s">
        <v>227</v>
      </c>
      <c r="D14" s="22" t="s">
        <v>60</v>
      </c>
      <c r="E14" s="22" t="s">
        <v>61</v>
      </c>
      <c r="F14" s="22">
        <v>0</v>
      </c>
      <c r="G14" s="22">
        <v>5</v>
      </c>
      <c r="H14" s="22">
        <v>66244</v>
      </c>
      <c r="I14" s="22" t="s">
        <v>62</v>
      </c>
      <c r="J14" s="22">
        <v>69363</v>
      </c>
      <c r="K14" s="21" t="s">
        <v>58</v>
      </c>
      <c r="L14" s="21" t="str">
        <f>VLOOKUP(C14,'Trips&amp;Operators'!$C$1:$E$9999,3,FALSE)</f>
        <v>SANTIZO</v>
      </c>
      <c r="M14" s="20" t="s">
        <v>146</v>
      </c>
      <c r="N14" s="21" t="s">
        <v>439</v>
      </c>
    </row>
    <row r="15" spans="1:14" s="19" customFormat="1" x14ac:dyDescent="0.25">
      <c r="A15" s="23">
        <v>42498.649791666663</v>
      </c>
      <c r="B15" s="22" t="s">
        <v>70</v>
      </c>
      <c r="C15" s="22" t="s">
        <v>318</v>
      </c>
      <c r="D15" s="22" t="s">
        <v>53</v>
      </c>
      <c r="E15" s="22" t="s">
        <v>61</v>
      </c>
      <c r="F15" s="22">
        <v>0</v>
      </c>
      <c r="G15" s="22">
        <v>383</v>
      </c>
      <c r="H15" s="22">
        <v>152797</v>
      </c>
      <c r="I15" s="22" t="s">
        <v>62</v>
      </c>
      <c r="J15" s="22">
        <v>155600</v>
      </c>
      <c r="K15" s="21" t="s">
        <v>56</v>
      </c>
      <c r="L15" s="21" t="str">
        <f>VLOOKUP(C15,'Trips&amp;Operators'!$C$1:$E$9999,3,FALSE)</f>
        <v>BONDS</v>
      </c>
      <c r="M15" s="20" t="s">
        <v>146</v>
      </c>
      <c r="N15" s="21" t="s">
        <v>440</v>
      </c>
    </row>
    <row r="16" spans="1:14" s="19" customFormat="1" x14ac:dyDescent="0.25">
      <c r="A16" s="23">
        <v>42498.222800925927</v>
      </c>
      <c r="B16" s="22" t="s">
        <v>79</v>
      </c>
      <c r="C16" s="22" t="s">
        <v>201</v>
      </c>
      <c r="D16" s="22" t="s">
        <v>53</v>
      </c>
      <c r="E16" s="22" t="s">
        <v>54</v>
      </c>
      <c r="F16" s="22">
        <v>0</v>
      </c>
      <c r="G16" s="22">
        <v>6</v>
      </c>
      <c r="H16" s="22">
        <v>233338</v>
      </c>
      <c r="I16" s="22" t="s">
        <v>55</v>
      </c>
      <c r="J16" s="22">
        <v>233491</v>
      </c>
      <c r="K16" s="21" t="s">
        <v>56</v>
      </c>
      <c r="L16" s="21" t="str">
        <f>VLOOKUP(C16,'Trips&amp;Operators'!$C$1:$E$9999,3,FALSE)</f>
        <v>MALAVE</v>
      </c>
      <c r="M16" s="20" t="s">
        <v>147</v>
      </c>
      <c r="N16" s="21"/>
    </row>
    <row r="17" spans="1:14" s="19" customFormat="1" x14ac:dyDescent="0.25">
      <c r="A17" s="23">
        <v>42498.243611111109</v>
      </c>
      <c r="B17" s="22" t="s">
        <v>64</v>
      </c>
      <c r="C17" s="22" t="s">
        <v>208</v>
      </c>
      <c r="D17" s="22" t="s">
        <v>53</v>
      </c>
      <c r="E17" s="22" t="s">
        <v>54</v>
      </c>
      <c r="F17" s="22">
        <v>0</v>
      </c>
      <c r="G17" s="22">
        <v>9</v>
      </c>
      <c r="H17" s="22">
        <v>233353</v>
      </c>
      <c r="I17" s="22" t="s">
        <v>55</v>
      </c>
      <c r="J17" s="22">
        <v>233491</v>
      </c>
      <c r="K17" s="21" t="s">
        <v>56</v>
      </c>
      <c r="L17" s="21" t="str">
        <f>VLOOKUP(C17,'Trips&amp;Operators'!$C$1:$E$9999,3,FALSE)</f>
        <v>LEVIN</v>
      </c>
      <c r="M17" s="20" t="s">
        <v>147</v>
      </c>
      <c r="N17" s="21"/>
    </row>
    <row r="18" spans="1:14" s="19" customFormat="1" x14ac:dyDescent="0.25">
      <c r="A18" s="23">
        <v>42498.295358796298</v>
      </c>
      <c r="B18" s="22" t="s">
        <v>79</v>
      </c>
      <c r="C18" s="22" t="s">
        <v>230</v>
      </c>
      <c r="D18" s="22" t="s">
        <v>53</v>
      </c>
      <c r="E18" s="22" t="s">
        <v>54</v>
      </c>
      <c r="F18" s="22">
        <v>0</v>
      </c>
      <c r="G18" s="22">
        <v>9</v>
      </c>
      <c r="H18" s="22">
        <v>233316</v>
      </c>
      <c r="I18" s="22" t="s">
        <v>55</v>
      </c>
      <c r="J18" s="22">
        <v>233491</v>
      </c>
      <c r="K18" s="21" t="s">
        <v>56</v>
      </c>
      <c r="L18" s="21" t="str">
        <f>VLOOKUP(C18,'Trips&amp;Operators'!$C$1:$E$9999,3,FALSE)</f>
        <v>MALAVE</v>
      </c>
      <c r="M18" s="20" t="s">
        <v>147</v>
      </c>
      <c r="N18" s="21"/>
    </row>
    <row r="19" spans="1:14" s="19" customFormat="1" x14ac:dyDescent="0.25">
      <c r="A19" s="23">
        <v>42498.305914351855</v>
      </c>
      <c r="B19" s="22" t="s">
        <v>153</v>
      </c>
      <c r="C19" s="22" t="s">
        <v>232</v>
      </c>
      <c r="D19" s="22" t="s">
        <v>53</v>
      </c>
      <c r="E19" s="22" t="s">
        <v>54</v>
      </c>
      <c r="F19" s="22">
        <v>0</v>
      </c>
      <c r="G19" s="22">
        <v>48</v>
      </c>
      <c r="H19" s="22">
        <v>233310</v>
      </c>
      <c r="I19" s="22" t="s">
        <v>55</v>
      </c>
      <c r="J19" s="22">
        <v>233491</v>
      </c>
      <c r="K19" s="21" t="s">
        <v>56</v>
      </c>
      <c r="L19" s="21" t="str">
        <f>VLOOKUP(C19,'Trips&amp;Operators'!$C$1:$E$9999,3,FALSE)</f>
        <v>GEBRETEKLE</v>
      </c>
      <c r="M19" s="20" t="s">
        <v>147</v>
      </c>
      <c r="N19" s="21"/>
    </row>
    <row r="20" spans="1:14" s="19" customFormat="1" x14ac:dyDescent="0.25">
      <c r="A20" s="23">
        <v>42498.368460648147</v>
      </c>
      <c r="B20" s="22" t="s">
        <v>79</v>
      </c>
      <c r="C20" s="22" t="s">
        <v>250</v>
      </c>
      <c r="D20" s="22" t="s">
        <v>53</v>
      </c>
      <c r="E20" s="22" t="s">
        <v>54</v>
      </c>
      <c r="F20" s="22">
        <v>0</v>
      </c>
      <c r="G20" s="22">
        <v>5</v>
      </c>
      <c r="H20" s="22">
        <v>233334</v>
      </c>
      <c r="I20" s="22" t="s">
        <v>55</v>
      </c>
      <c r="J20" s="22">
        <v>233491</v>
      </c>
      <c r="K20" s="21" t="s">
        <v>56</v>
      </c>
      <c r="L20" s="21" t="str">
        <f>VLOOKUP(C20,'Trips&amp;Operators'!$C$1:$E$9999,3,FALSE)</f>
        <v>MALAVE</v>
      </c>
      <c r="M20" s="20" t="s">
        <v>147</v>
      </c>
      <c r="N20" s="21"/>
    </row>
    <row r="21" spans="1:14" s="19" customFormat="1" x14ac:dyDescent="0.25">
      <c r="A21" s="23">
        <v>42498.429710648146</v>
      </c>
      <c r="B21" s="22" t="s">
        <v>59</v>
      </c>
      <c r="C21" s="22" t="s">
        <v>256</v>
      </c>
      <c r="D21" s="22" t="s">
        <v>53</v>
      </c>
      <c r="E21" s="22" t="s">
        <v>54</v>
      </c>
      <c r="F21" s="22">
        <v>0</v>
      </c>
      <c r="G21" s="22">
        <v>9</v>
      </c>
      <c r="H21" s="22">
        <v>119</v>
      </c>
      <c r="I21" s="22" t="s">
        <v>55</v>
      </c>
      <c r="J21" s="22">
        <v>1</v>
      </c>
      <c r="K21" s="21" t="s">
        <v>58</v>
      </c>
      <c r="L21" s="21" t="str">
        <f>VLOOKUP(C21,'Trips&amp;Operators'!$C$1:$E$9999,3,FALSE)</f>
        <v>LEVIN</v>
      </c>
      <c r="M21" s="20" t="s">
        <v>147</v>
      </c>
      <c r="N21" s="21"/>
    </row>
    <row r="22" spans="1:14" s="19" customFormat="1" x14ac:dyDescent="0.25">
      <c r="A22" s="23">
        <v>42498.461030092592</v>
      </c>
      <c r="B22" s="22" t="s">
        <v>67</v>
      </c>
      <c r="C22" s="22" t="s">
        <v>263</v>
      </c>
      <c r="D22" s="22" t="s">
        <v>53</v>
      </c>
      <c r="E22" s="22" t="s">
        <v>54</v>
      </c>
      <c r="F22" s="22">
        <v>0</v>
      </c>
      <c r="G22" s="22">
        <v>39</v>
      </c>
      <c r="H22" s="22">
        <v>962</v>
      </c>
      <c r="I22" s="22" t="s">
        <v>55</v>
      </c>
      <c r="J22" s="22">
        <v>839</v>
      </c>
      <c r="K22" s="21" t="s">
        <v>58</v>
      </c>
      <c r="L22" s="21" t="str">
        <f>VLOOKUP(C22,'Trips&amp;Operators'!$C$1:$E$9999,3,FALSE)</f>
        <v>LEDERHAUSE</v>
      </c>
      <c r="M22" s="20" t="s">
        <v>147</v>
      </c>
      <c r="N22" s="21"/>
    </row>
    <row r="23" spans="1:14" s="19" customFormat="1" x14ac:dyDescent="0.25">
      <c r="A23" s="23">
        <v>42498.50403935185</v>
      </c>
      <c r="B23" s="22" t="s">
        <v>70</v>
      </c>
      <c r="C23" s="22" t="s">
        <v>282</v>
      </c>
      <c r="D23" s="22" t="s">
        <v>53</v>
      </c>
      <c r="E23" s="22" t="s">
        <v>54</v>
      </c>
      <c r="F23" s="22">
        <v>0</v>
      </c>
      <c r="G23" s="22">
        <v>61</v>
      </c>
      <c r="H23" s="22">
        <v>233255</v>
      </c>
      <c r="I23" s="22" t="s">
        <v>55</v>
      </c>
      <c r="J23" s="22">
        <v>233491</v>
      </c>
      <c r="K23" s="21" t="s">
        <v>56</v>
      </c>
      <c r="L23" s="21" t="str">
        <f>VLOOKUP(C23,'Trips&amp;Operators'!$C$1:$E$9999,3,FALSE)</f>
        <v>BONDS</v>
      </c>
      <c r="M23" s="20" t="s">
        <v>147</v>
      </c>
      <c r="N23" s="21"/>
    </row>
    <row r="24" spans="1:14" s="19" customFormat="1" x14ac:dyDescent="0.25">
      <c r="A24" s="23">
        <v>42498.543564814812</v>
      </c>
      <c r="B24" s="22" t="s">
        <v>57</v>
      </c>
      <c r="C24" s="22" t="s">
        <v>283</v>
      </c>
      <c r="D24" s="22" t="s">
        <v>53</v>
      </c>
      <c r="E24" s="22" t="s">
        <v>54</v>
      </c>
      <c r="F24" s="22">
        <v>0</v>
      </c>
      <c r="G24" s="22">
        <v>47</v>
      </c>
      <c r="H24" s="22">
        <v>139</v>
      </c>
      <c r="I24" s="22" t="s">
        <v>55</v>
      </c>
      <c r="J24" s="22">
        <v>1</v>
      </c>
      <c r="K24" s="21" t="s">
        <v>58</v>
      </c>
      <c r="L24" s="21" t="str">
        <f>VLOOKUP(C24,'Trips&amp;Operators'!$C$1:$E$9999,3,FALSE)</f>
        <v>BONDS</v>
      </c>
      <c r="M24" s="20" t="s">
        <v>147</v>
      </c>
      <c r="N24" s="21"/>
    </row>
    <row r="25" spans="1:14" s="19" customFormat="1" x14ac:dyDescent="0.25">
      <c r="A25" s="23">
        <v>42498.577152777776</v>
      </c>
      <c r="B25" s="22" t="s">
        <v>70</v>
      </c>
      <c r="C25" s="22" t="s">
        <v>296</v>
      </c>
      <c r="D25" s="22" t="s">
        <v>53</v>
      </c>
      <c r="E25" s="22" t="s">
        <v>54</v>
      </c>
      <c r="F25" s="22">
        <v>0</v>
      </c>
      <c r="G25" s="22">
        <v>43</v>
      </c>
      <c r="H25" s="22">
        <v>233357</v>
      </c>
      <c r="I25" s="22" t="s">
        <v>55</v>
      </c>
      <c r="J25" s="22">
        <v>233491</v>
      </c>
      <c r="K25" s="21" t="s">
        <v>56</v>
      </c>
      <c r="L25" s="21" t="str">
        <f>VLOOKUP(C25,'Trips&amp;Operators'!$C$1:$E$9999,3,FALSE)</f>
        <v>BONDS</v>
      </c>
      <c r="M25" s="20" t="s">
        <v>147</v>
      </c>
      <c r="N25" s="21"/>
    </row>
    <row r="26" spans="1:14" s="19" customFormat="1" x14ac:dyDescent="0.25">
      <c r="A26" s="23">
        <v>42498.585057870368</v>
      </c>
      <c r="B26" s="22" t="s">
        <v>82</v>
      </c>
      <c r="C26" s="22" t="s">
        <v>291</v>
      </c>
      <c r="D26" s="22" t="s">
        <v>53</v>
      </c>
      <c r="E26" s="22" t="s">
        <v>54</v>
      </c>
      <c r="F26" s="22">
        <v>0</v>
      </c>
      <c r="G26" s="22">
        <v>5</v>
      </c>
      <c r="H26" s="22">
        <v>129</v>
      </c>
      <c r="I26" s="22" t="s">
        <v>55</v>
      </c>
      <c r="J26" s="22">
        <v>1</v>
      </c>
      <c r="K26" s="21" t="s">
        <v>58</v>
      </c>
      <c r="L26" s="21" t="str">
        <f>VLOOKUP(C26,'Trips&amp;Operators'!$C$1:$E$9999,3,FALSE)</f>
        <v>BRANNON</v>
      </c>
      <c r="M26" s="20" t="s">
        <v>147</v>
      </c>
      <c r="N26" s="21"/>
    </row>
    <row r="27" spans="1:14" s="19" customFormat="1" x14ac:dyDescent="0.25">
      <c r="A27" s="23">
        <v>42498.595856481479</v>
      </c>
      <c r="B27" s="22" t="s">
        <v>68</v>
      </c>
      <c r="C27" s="22" t="s">
        <v>293</v>
      </c>
      <c r="D27" s="22" t="s">
        <v>53</v>
      </c>
      <c r="E27" s="22" t="s">
        <v>54</v>
      </c>
      <c r="F27" s="22">
        <v>0</v>
      </c>
      <c r="G27" s="22">
        <v>6</v>
      </c>
      <c r="H27" s="22">
        <v>116</v>
      </c>
      <c r="I27" s="22" t="s">
        <v>55</v>
      </c>
      <c r="J27" s="22">
        <v>1</v>
      </c>
      <c r="K27" s="21" t="s">
        <v>58</v>
      </c>
      <c r="L27" s="21" t="str">
        <f>VLOOKUP(C27,'Trips&amp;Operators'!$C$1:$E$9999,3,FALSE)</f>
        <v>WEBSTER</v>
      </c>
      <c r="M27" s="20" t="s">
        <v>147</v>
      </c>
      <c r="N27" s="21"/>
    </row>
    <row r="28" spans="1:14" s="19" customFormat="1" x14ac:dyDescent="0.25">
      <c r="A28" s="23">
        <v>42498.61645833333</v>
      </c>
      <c r="B28" s="22" t="s">
        <v>57</v>
      </c>
      <c r="C28" s="22" t="s">
        <v>298</v>
      </c>
      <c r="D28" s="22" t="s">
        <v>53</v>
      </c>
      <c r="E28" s="22" t="s">
        <v>54</v>
      </c>
      <c r="F28" s="22">
        <v>0</v>
      </c>
      <c r="G28" s="22">
        <v>7</v>
      </c>
      <c r="H28" s="22">
        <v>129</v>
      </c>
      <c r="I28" s="22" t="s">
        <v>55</v>
      </c>
      <c r="J28" s="22">
        <v>1</v>
      </c>
      <c r="K28" s="21" t="s">
        <v>58</v>
      </c>
      <c r="L28" s="21" t="str">
        <f>VLOOKUP(C28,'Trips&amp;Operators'!$C$1:$E$9999,3,FALSE)</f>
        <v>BONDS</v>
      </c>
      <c r="M28" s="20" t="s">
        <v>147</v>
      </c>
      <c r="N28" s="21"/>
    </row>
    <row r="29" spans="1:14" s="19" customFormat="1" x14ac:dyDescent="0.25">
      <c r="A29" s="23">
        <v>42498.618449074071</v>
      </c>
      <c r="B29" s="22" t="s">
        <v>80</v>
      </c>
      <c r="C29" s="22" t="s">
        <v>311</v>
      </c>
      <c r="D29" s="22" t="s">
        <v>53</v>
      </c>
      <c r="E29" s="22" t="s">
        <v>54</v>
      </c>
      <c r="F29" s="22">
        <v>0</v>
      </c>
      <c r="G29" s="22">
        <v>4</v>
      </c>
      <c r="H29" s="22">
        <v>233334</v>
      </c>
      <c r="I29" s="22" t="s">
        <v>55</v>
      </c>
      <c r="J29" s="22">
        <v>233491</v>
      </c>
      <c r="K29" s="21" t="s">
        <v>56</v>
      </c>
      <c r="L29" s="21" t="str">
        <f>VLOOKUP(C29,'Trips&amp;Operators'!$C$1:$E$9999,3,FALSE)</f>
        <v>BRANNON</v>
      </c>
      <c r="M29" s="20" t="s">
        <v>147</v>
      </c>
      <c r="N29" s="21"/>
    </row>
    <row r="30" spans="1:14" s="19" customFormat="1" x14ac:dyDescent="0.25">
      <c r="A30" s="23">
        <v>42498.628923611112</v>
      </c>
      <c r="B30" s="22" t="s">
        <v>63</v>
      </c>
      <c r="C30" s="22" t="s">
        <v>314</v>
      </c>
      <c r="D30" s="22" t="s">
        <v>53</v>
      </c>
      <c r="E30" s="22" t="s">
        <v>54</v>
      </c>
      <c r="F30" s="22">
        <v>0</v>
      </c>
      <c r="G30" s="22">
        <v>7</v>
      </c>
      <c r="H30" s="22">
        <v>233326</v>
      </c>
      <c r="I30" s="22" t="s">
        <v>55</v>
      </c>
      <c r="J30" s="22">
        <v>233491</v>
      </c>
      <c r="K30" s="21" t="s">
        <v>56</v>
      </c>
      <c r="L30" s="21" t="str">
        <f>VLOOKUP(C30,'Trips&amp;Operators'!$C$1:$E$9999,3,FALSE)</f>
        <v>WEBSTER</v>
      </c>
      <c r="M30" s="20" t="s">
        <v>147</v>
      </c>
      <c r="N30" s="21"/>
    </row>
    <row r="31" spans="1:14" s="19" customFormat="1" x14ac:dyDescent="0.25">
      <c r="A31" s="23">
        <v>42498.640347222223</v>
      </c>
      <c r="B31" s="22" t="s">
        <v>412</v>
      </c>
      <c r="C31" s="22" t="s">
        <v>316</v>
      </c>
      <c r="D31" s="22" t="s">
        <v>53</v>
      </c>
      <c r="E31" s="22" t="s">
        <v>54</v>
      </c>
      <c r="F31" s="22">
        <v>0</v>
      </c>
      <c r="G31" s="22">
        <v>7</v>
      </c>
      <c r="H31" s="22">
        <v>233355</v>
      </c>
      <c r="I31" s="22" t="s">
        <v>55</v>
      </c>
      <c r="J31" s="22">
        <v>233491</v>
      </c>
      <c r="K31" s="21" t="s">
        <v>56</v>
      </c>
      <c r="L31" s="21" t="str">
        <f>VLOOKUP(C31,'Trips&amp;Operators'!$C$1:$E$9999,3,FALSE)</f>
        <v>RIVERA</v>
      </c>
      <c r="M31" s="20" t="s">
        <v>147</v>
      </c>
      <c r="N31" s="21"/>
    </row>
    <row r="32" spans="1:14" s="19" customFormat="1" x14ac:dyDescent="0.25">
      <c r="A32" s="23">
        <v>42498.657951388886</v>
      </c>
      <c r="B32" s="22" t="s">
        <v>82</v>
      </c>
      <c r="C32" s="22" t="s">
        <v>313</v>
      </c>
      <c r="D32" s="22" t="s">
        <v>53</v>
      </c>
      <c r="E32" s="22" t="s">
        <v>54</v>
      </c>
      <c r="F32" s="22">
        <v>0</v>
      </c>
      <c r="G32" s="22">
        <v>8</v>
      </c>
      <c r="H32" s="22">
        <v>107</v>
      </c>
      <c r="I32" s="22" t="s">
        <v>55</v>
      </c>
      <c r="J32" s="22">
        <v>1</v>
      </c>
      <c r="K32" s="21" t="s">
        <v>58</v>
      </c>
      <c r="L32" s="21" t="str">
        <f>VLOOKUP(C32,'Trips&amp;Operators'!$C$1:$E$9999,3,FALSE)</f>
        <v>BRANNON</v>
      </c>
      <c r="M32" s="20" t="s">
        <v>147</v>
      </c>
      <c r="N32" s="21"/>
    </row>
    <row r="33" spans="1:14" s="19" customFormat="1" x14ac:dyDescent="0.25">
      <c r="A33" s="23">
        <v>42498.659884259258</v>
      </c>
      <c r="B33" s="22" t="s">
        <v>79</v>
      </c>
      <c r="C33" s="22" t="s">
        <v>324</v>
      </c>
      <c r="D33" s="22" t="s">
        <v>53</v>
      </c>
      <c r="E33" s="22" t="s">
        <v>54</v>
      </c>
      <c r="F33" s="22">
        <v>0</v>
      </c>
      <c r="G33" s="22">
        <v>82</v>
      </c>
      <c r="H33" s="22">
        <v>233140</v>
      </c>
      <c r="I33" s="22" t="s">
        <v>55</v>
      </c>
      <c r="J33" s="22">
        <v>233491</v>
      </c>
      <c r="K33" s="21" t="s">
        <v>56</v>
      </c>
      <c r="L33" s="21" t="str">
        <f>VLOOKUP(C33,'Trips&amp;Operators'!$C$1:$E$9999,3,FALSE)</f>
        <v>GOODNIGHT</v>
      </c>
      <c r="M33" s="20" t="s">
        <v>147</v>
      </c>
      <c r="N33" s="21"/>
    </row>
    <row r="34" spans="1:14" s="19" customFormat="1" x14ac:dyDescent="0.25">
      <c r="A34" s="23">
        <v>42498.669074074074</v>
      </c>
      <c r="B34" s="22" t="s">
        <v>68</v>
      </c>
      <c r="C34" s="22" t="s">
        <v>315</v>
      </c>
      <c r="D34" s="22" t="s">
        <v>53</v>
      </c>
      <c r="E34" s="22" t="s">
        <v>54</v>
      </c>
      <c r="F34" s="22">
        <v>0</v>
      </c>
      <c r="G34" s="22">
        <v>9</v>
      </c>
      <c r="H34" s="22">
        <v>132</v>
      </c>
      <c r="I34" s="22" t="s">
        <v>55</v>
      </c>
      <c r="J34" s="22">
        <v>1</v>
      </c>
      <c r="K34" s="21" t="s">
        <v>58</v>
      </c>
      <c r="L34" s="21" t="str">
        <f>VLOOKUP(C34,'Trips&amp;Operators'!$C$1:$E$9999,3,FALSE)</f>
        <v>WEBSTER</v>
      </c>
      <c r="M34" s="20" t="s">
        <v>147</v>
      </c>
      <c r="N34" s="21"/>
    </row>
    <row r="35" spans="1:14" s="19" customFormat="1" x14ac:dyDescent="0.25">
      <c r="A35" s="23">
        <v>42498.723437499997</v>
      </c>
      <c r="B35" s="22" t="s">
        <v>70</v>
      </c>
      <c r="C35" s="22" t="s">
        <v>344</v>
      </c>
      <c r="D35" s="22" t="s">
        <v>53</v>
      </c>
      <c r="E35" s="22" t="s">
        <v>54</v>
      </c>
      <c r="F35" s="22">
        <v>0</v>
      </c>
      <c r="G35" s="22">
        <v>28</v>
      </c>
      <c r="H35" s="22">
        <v>233395</v>
      </c>
      <c r="I35" s="22" t="s">
        <v>55</v>
      </c>
      <c r="J35" s="22">
        <v>233491</v>
      </c>
      <c r="K35" s="21" t="s">
        <v>56</v>
      </c>
      <c r="L35" s="21" t="str">
        <f>VLOOKUP(C35,'Trips&amp;Operators'!$C$1:$E$9999,3,FALSE)</f>
        <v>BONDS</v>
      </c>
      <c r="M35" s="20" t="s">
        <v>147</v>
      </c>
      <c r="N35" s="21"/>
    </row>
    <row r="36" spans="1:14" s="19" customFormat="1" x14ac:dyDescent="0.25">
      <c r="A36" s="23">
        <v>42498.730798611112</v>
      </c>
      <c r="B36" s="22" t="s">
        <v>82</v>
      </c>
      <c r="C36" s="22" t="s">
        <v>334</v>
      </c>
      <c r="D36" s="22" t="s">
        <v>53</v>
      </c>
      <c r="E36" s="22" t="s">
        <v>54</v>
      </c>
      <c r="F36" s="22">
        <v>0</v>
      </c>
      <c r="G36" s="22">
        <v>8</v>
      </c>
      <c r="H36" s="22">
        <v>130</v>
      </c>
      <c r="I36" s="22" t="s">
        <v>55</v>
      </c>
      <c r="J36" s="22">
        <v>1</v>
      </c>
      <c r="K36" s="21" t="s">
        <v>58</v>
      </c>
      <c r="L36" s="21" t="str">
        <f>VLOOKUP(C36,'Trips&amp;Operators'!$C$1:$E$9999,3,FALSE)</f>
        <v>BUTLER</v>
      </c>
      <c r="M36" s="20" t="s">
        <v>147</v>
      </c>
      <c r="N36" s="21"/>
    </row>
    <row r="37" spans="1:14" s="19" customFormat="1" x14ac:dyDescent="0.25">
      <c r="A37" s="23">
        <v>42498.774745370371</v>
      </c>
      <c r="B37" s="22" t="s">
        <v>69</v>
      </c>
      <c r="C37" s="22" t="s">
        <v>359</v>
      </c>
      <c r="D37" s="22" t="s">
        <v>53</v>
      </c>
      <c r="E37" s="22" t="s">
        <v>54</v>
      </c>
      <c r="F37" s="22">
        <v>0</v>
      </c>
      <c r="G37" s="22">
        <v>9</v>
      </c>
      <c r="H37" s="22">
        <v>233305</v>
      </c>
      <c r="I37" s="22" t="s">
        <v>55</v>
      </c>
      <c r="J37" s="22">
        <v>233491</v>
      </c>
      <c r="K37" s="21" t="s">
        <v>56</v>
      </c>
      <c r="L37" s="21" t="str">
        <f>VLOOKUP(C37,'Trips&amp;Operators'!$C$1:$E$9999,3,FALSE)</f>
        <v>WEBSTER</v>
      </c>
      <c r="M37" s="20" t="s">
        <v>147</v>
      </c>
      <c r="N37" s="21"/>
    </row>
    <row r="38" spans="1:14" s="19" customFormat="1" x14ac:dyDescent="0.25">
      <c r="A38" s="23">
        <v>42498.785069444442</v>
      </c>
      <c r="B38" s="22" t="s">
        <v>412</v>
      </c>
      <c r="C38" s="22" t="s">
        <v>363</v>
      </c>
      <c r="D38" s="22" t="s">
        <v>53</v>
      </c>
      <c r="E38" s="22" t="s">
        <v>54</v>
      </c>
      <c r="F38" s="22">
        <v>0</v>
      </c>
      <c r="G38" s="22">
        <v>32</v>
      </c>
      <c r="H38" s="22">
        <v>233370</v>
      </c>
      <c r="I38" s="22" t="s">
        <v>55</v>
      </c>
      <c r="J38" s="22">
        <v>233491</v>
      </c>
      <c r="K38" s="21" t="s">
        <v>56</v>
      </c>
      <c r="L38" s="21" t="str">
        <f>VLOOKUP(C38,'Trips&amp;Operators'!$C$1:$E$9999,3,FALSE)</f>
        <v>HONTZ</v>
      </c>
      <c r="M38" s="20" t="s">
        <v>147</v>
      </c>
      <c r="N38" s="21"/>
    </row>
    <row r="39" spans="1:14" s="19" customFormat="1" x14ac:dyDescent="0.25">
      <c r="A39" s="23">
        <v>42498.796053240738</v>
      </c>
      <c r="B39" s="22" t="s">
        <v>70</v>
      </c>
      <c r="C39" s="22" t="s">
        <v>367</v>
      </c>
      <c r="D39" s="22" t="s">
        <v>53</v>
      </c>
      <c r="E39" s="22" t="s">
        <v>54</v>
      </c>
      <c r="F39" s="22">
        <v>0</v>
      </c>
      <c r="G39" s="22">
        <v>15</v>
      </c>
      <c r="H39" s="22">
        <v>233478</v>
      </c>
      <c r="I39" s="22" t="s">
        <v>55</v>
      </c>
      <c r="J39" s="22">
        <v>233491</v>
      </c>
      <c r="K39" s="21" t="s">
        <v>56</v>
      </c>
      <c r="L39" s="21" t="str">
        <f>VLOOKUP(C39,'Trips&amp;Operators'!$C$1:$E$9999,3,FALSE)</f>
        <v>BARTLETT</v>
      </c>
      <c r="M39" s="20" t="s">
        <v>147</v>
      </c>
      <c r="N39" s="21"/>
    </row>
    <row r="40" spans="1:14" s="19" customFormat="1" x14ac:dyDescent="0.25">
      <c r="A40" s="23">
        <v>42498.814502314817</v>
      </c>
      <c r="B40" s="22" t="s">
        <v>67</v>
      </c>
      <c r="C40" s="22" t="s">
        <v>361</v>
      </c>
      <c r="D40" s="22" t="s">
        <v>53</v>
      </c>
      <c r="E40" s="22" t="s">
        <v>54</v>
      </c>
      <c r="F40" s="22">
        <v>0</v>
      </c>
      <c r="G40" s="22">
        <v>4</v>
      </c>
      <c r="H40" s="22">
        <v>114</v>
      </c>
      <c r="I40" s="22" t="s">
        <v>55</v>
      </c>
      <c r="J40" s="22">
        <v>1</v>
      </c>
      <c r="K40" s="21" t="s">
        <v>58</v>
      </c>
      <c r="L40" s="21" t="str">
        <f>VLOOKUP(C40,'Trips&amp;Operators'!$C$1:$E$9999,3,FALSE)</f>
        <v>WEBSTER</v>
      </c>
      <c r="M40" s="20" t="s">
        <v>147</v>
      </c>
      <c r="N40" s="21"/>
    </row>
    <row r="41" spans="1:14" s="19" customFormat="1" x14ac:dyDescent="0.25">
      <c r="A41" s="23">
        <v>42498.825266203705</v>
      </c>
      <c r="B41" s="22" t="s">
        <v>427</v>
      </c>
      <c r="C41" s="22" t="s">
        <v>365</v>
      </c>
      <c r="D41" s="22" t="s">
        <v>53</v>
      </c>
      <c r="E41" s="22" t="s">
        <v>54</v>
      </c>
      <c r="F41" s="22">
        <v>0</v>
      </c>
      <c r="G41" s="22">
        <v>7</v>
      </c>
      <c r="H41" s="22">
        <v>132</v>
      </c>
      <c r="I41" s="22" t="s">
        <v>55</v>
      </c>
      <c r="J41" s="22">
        <v>1</v>
      </c>
      <c r="K41" s="21" t="s">
        <v>58</v>
      </c>
      <c r="L41" s="21" t="str">
        <f>VLOOKUP(C41,'Trips&amp;Operators'!$C$1:$E$9999,3,FALSE)</f>
        <v>HONTZ</v>
      </c>
      <c r="M41" s="20" t="s">
        <v>147</v>
      </c>
      <c r="N41" s="21"/>
    </row>
    <row r="42" spans="1:14" s="19" customFormat="1" x14ac:dyDescent="0.25">
      <c r="A42" s="23">
        <v>42498.838958333334</v>
      </c>
      <c r="B42" s="22" t="s">
        <v>80</v>
      </c>
      <c r="C42" s="22" t="s">
        <v>372</v>
      </c>
      <c r="D42" s="22" t="s">
        <v>53</v>
      </c>
      <c r="E42" s="22" t="s">
        <v>54</v>
      </c>
      <c r="F42" s="22">
        <v>0</v>
      </c>
      <c r="G42" s="22">
        <v>8</v>
      </c>
      <c r="H42" s="22">
        <v>233321</v>
      </c>
      <c r="I42" s="22" t="s">
        <v>55</v>
      </c>
      <c r="J42" s="22">
        <v>233491</v>
      </c>
      <c r="K42" s="21" t="s">
        <v>56</v>
      </c>
      <c r="L42" s="21" t="str">
        <f>VLOOKUP(C42,'Trips&amp;Operators'!$C$1:$E$9999,3,FALSE)</f>
        <v>YOUNG</v>
      </c>
      <c r="M42" s="20" t="s">
        <v>147</v>
      </c>
      <c r="N42" s="21"/>
    </row>
    <row r="43" spans="1:14" s="19" customFormat="1" x14ac:dyDescent="0.25">
      <c r="A43" s="23">
        <v>42498.857986111114</v>
      </c>
      <c r="B43" s="22" t="s">
        <v>412</v>
      </c>
      <c r="C43" s="22" t="s">
        <v>374</v>
      </c>
      <c r="D43" s="22" t="s">
        <v>53</v>
      </c>
      <c r="E43" s="22" t="s">
        <v>54</v>
      </c>
      <c r="F43" s="22">
        <v>0</v>
      </c>
      <c r="G43" s="22">
        <v>8</v>
      </c>
      <c r="H43" s="22">
        <v>233332</v>
      </c>
      <c r="I43" s="22" t="s">
        <v>55</v>
      </c>
      <c r="J43" s="22">
        <v>233491</v>
      </c>
      <c r="K43" s="21" t="s">
        <v>56</v>
      </c>
      <c r="L43" s="21" t="str">
        <f>VLOOKUP(C43,'Trips&amp;Operators'!$C$1:$E$9999,3,FALSE)</f>
        <v>HONTZ</v>
      </c>
      <c r="M43" s="20" t="s">
        <v>147</v>
      </c>
      <c r="N43" s="21"/>
    </row>
    <row r="44" spans="1:14" s="19" customFormat="1" x14ac:dyDescent="0.25">
      <c r="A44" s="23">
        <v>42498.859143518515</v>
      </c>
      <c r="B44" s="22" t="s">
        <v>76</v>
      </c>
      <c r="C44" s="22" t="s">
        <v>371</v>
      </c>
      <c r="D44" s="22" t="s">
        <v>53</v>
      </c>
      <c r="E44" s="22" t="s">
        <v>54</v>
      </c>
      <c r="F44" s="22">
        <v>0</v>
      </c>
      <c r="G44" s="22">
        <v>3</v>
      </c>
      <c r="H44" s="22">
        <v>129</v>
      </c>
      <c r="I44" s="22" t="s">
        <v>55</v>
      </c>
      <c r="J44" s="22">
        <v>1</v>
      </c>
      <c r="K44" s="21" t="s">
        <v>58</v>
      </c>
      <c r="L44" s="21" t="str">
        <f>VLOOKUP(C44,'Trips&amp;Operators'!$C$1:$E$9999,3,FALSE)</f>
        <v>COCA</v>
      </c>
      <c r="M44" s="20" t="s">
        <v>147</v>
      </c>
      <c r="N44" s="21"/>
    </row>
    <row r="45" spans="1:14" s="19" customFormat="1" x14ac:dyDescent="0.25">
      <c r="A45" s="23">
        <v>42498.879502314812</v>
      </c>
      <c r="B45" s="22" t="s">
        <v>70</v>
      </c>
      <c r="C45" s="22" t="s">
        <v>376</v>
      </c>
      <c r="D45" s="22" t="s">
        <v>53</v>
      </c>
      <c r="E45" s="22" t="s">
        <v>54</v>
      </c>
      <c r="F45" s="22">
        <v>0</v>
      </c>
      <c r="G45" s="22">
        <v>33</v>
      </c>
      <c r="H45" s="22">
        <v>233400</v>
      </c>
      <c r="I45" s="22" t="s">
        <v>55</v>
      </c>
      <c r="J45" s="22">
        <v>233491</v>
      </c>
      <c r="K45" s="21" t="s">
        <v>56</v>
      </c>
      <c r="L45" s="21" t="str">
        <f>VLOOKUP(C45,'Trips&amp;Operators'!$C$1:$E$9999,3,FALSE)</f>
        <v>BARTLETT</v>
      </c>
      <c r="M45" s="20" t="s">
        <v>147</v>
      </c>
      <c r="N45" s="21"/>
    </row>
    <row r="46" spans="1:14" s="19" customFormat="1" x14ac:dyDescent="0.25">
      <c r="A46" s="23">
        <v>42498.897685185184</v>
      </c>
      <c r="B46" s="22" t="s">
        <v>427</v>
      </c>
      <c r="C46" s="22" t="s">
        <v>375</v>
      </c>
      <c r="D46" s="22" t="s">
        <v>53</v>
      </c>
      <c r="E46" s="22" t="s">
        <v>54</v>
      </c>
      <c r="F46" s="22">
        <v>0</v>
      </c>
      <c r="G46" s="22">
        <v>9</v>
      </c>
      <c r="H46" s="22">
        <v>121</v>
      </c>
      <c r="I46" s="22" t="s">
        <v>55</v>
      </c>
      <c r="J46" s="22">
        <v>1</v>
      </c>
      <c r="K46" s="21" t="s">
        <v>58</v>
      </c>
      <c r="L46" s="21" t="str">
        <f>VLOOKUP(C46,'Trips&amp;Operators'!$C$1:$E$9999,3,FALSE)</f>
        <v>HONTZ</v>
      </c>
      <c r="M46" s="20" t="s">
        <v>147</v>
      </c>
      <c r="N46" s="21"/>
    </row>
    <row r="47" spans="1:14" s="19" customFormat="1" x14ac:dyDescent="0.25">
      <c r="A47" s="23">
        <v>42498.941250000003</v>
      </c>
      <c r="B47" s="22" t="s">
        <v>412</v>
      </c>
      <c r="C47" s="22" t="s">
        <v>386</v>
      </c>
      <c r="D47" s="22" t="s">
        <v>53</v>
      </c>
      <c r="E47" s="22" t="s">
        <v>54</v>
      </c>
      <c r="F47" s="22">
        <v>0</v>
      </c>
      <c r="G47" s="22">
        <v>3</v>
      </c>
      <c r="H47" s="22">
        <v>233342</v>
      </c>
      <c r="I47" s="22" t="s">
        <v>55</v>
      </c>
      <c r="J47" s="22">
        <v>233491</v>
      </c>
      <c r="K47" s="21" t="s">
        <v>56</v>
      </c>
      <c r="L47" s="21" t="str">
        <f>VLOOKUP(C47,'Trips&amp;Operators'!$C$1:$E$9999,3,FALSE)</f>
        <v>HONTZ</v>
      </c>
      <c r="M47" s="20" t="s">
        <v>147</v>
      </c>
      <c r="N47" s="21"/>
    </row>
    <row r="48" spans="1:14" s="19" customFormat="1" x14ac:dyDescent="0.25">
      <c r="A48" s="23">
        <v>42498.963321759256</v>
      </c>
      <c r="B48" s="22" t="s">
        <v>70</v>
      </c>
      <c r="C48" s="22" t="s">
        <v>388</v>
      </c>
      <c r="D48" s="22" t="s">
        <v>53</v>
      </c>
      <c r="E48" s="22" t="s">
        <v>54</v>
      </c>
      <c r="F48" s="22">
        <v>0</v>
      </c>
      <c r="G48" s="22">
        <v>28</v>
      </c>
      <c r="H48" s="22">
        <v>233434</v>
      </c>
      <c r="I48" s="22" t="s">
        <v>55</v>
      </c>
      <c r="J48" s="22">
        <v>233491</v>
      </c>
      <c r="K48" s="21" t="s">
        <v>56</v>
      </c>
      <c r="L48" s="21" t="str">
        <f>VLOOKUP(C48,'Trips&amp;Operators'!$C$1:$E$9999,3,FALSE)</f>
        <v>BARTLETT</v>
      </c>
      <c r="M48" s="20" t="s">
        <v>147</v>
      </c>
      <c r="N48" s="21"/>
    </row>
    <row r="49" spans="1:14" s="19" customFormat="1" x14ac:dyDescent="0.25">
      <c r="A49" s="23">
        <v>42498.983599537038</v>
      </c>
      <c r="B49" s="22" t="s">
        <v>153</v>
      </c>
      <c r="C49" s="22" t="s">
        <v>391</v>
      </c>
      <c r="D49" s="22" t="s">
        <v>53</v>
      </c>
      <c r="E49" s="22" t="s">
        <v>54</v>
      </c>
      <c r="F49" s="22">
        <v>0</v>
      </c>
      <c r="G49" s="22">
        <v>7</v>
      </c>
      <c r="H49" s="22">
        <v>233336</v>
      </c>
      <c r="I49" s="22" t="s">
        <v>55</v>
      </c>
      <c r="J49" s="22">
        <v>233491</v>
      </c>
      <c r="K49" s="21" t="s">
        <v>56</v>
      </c>
      <c r="L49" s="21" t="str">
        <f>VLOOKUP(C49,'Trips&amp;Operators'!$C$1:$E$9999,3,FALSE)</f>
        <v>COCA</v>
      </c>
      <c r="M49" s="20" t="s">
        <v>147</v>
      </c>
      <c r="N49" s="21"/>
    </row>
    <row r="50" spans="1:14" s="19" customFormat="1" x14ac:dyDescent="0.25">
      <c r="A50" s="23">
        <v>42499.024629629632</v>
      </c>
      <c r="B50" s="22" t="s">
        <v>412</v>
      </c>
      <c r="C50" s="22" t="s">
        <v>396</v>
      </c>
      <c r="D50" s="22" t="s">
        <v>53</v>
      </c>
      <c r="E50" s="22" t="s">
        <v>54</v>
      </c>
      <c r="F50" s="22">
        <v>0</v>
      </c>
      <c r="G50" s="22">
        <v>6</v>
      </c>
      <c r="H50" s="22">
        <v>233361</v>
      </c>
      <c r="I50" s="22" t="s">
        <v>55</v>
      </c>
      <c r="J50" s="22">
        <v>233491</v>
      </c>
      <c r="K50" s="21" t="s">
        <v>56</v>
      </c>
      <c r="L50" s="21" t="str">
        <f>VLOOKUP(C50,'Trips&amp;Operators'!$C$1:$E$9999,3,FALSE)</f>
        <v>HONTZ</v>
      </c>
      <c r="M50" s="20" t="s">
        <v>147</v>
      </c>
      <c r="N50" s="21"/>
    </row>
    <row r="51" spans="1:14" s="19" customFormat="1" x14ac:dyDescent="0.25">
      <c r="A51" s="23">
        <v>42499.046400462961</v>
      </c>
      <c r="B51" s="22" t="s">
        <v>70</v>
      </c>
      <c r="C51" s="22" t="s">
        <v>399</v>
      </c>
      <c r="D51" s="22" t="s">
        <v>53</v>
      </c>
      <c r="E51" s="22" t="s">
        <v>54</v>
      </c>
      <c r="F51" s="22">
        <v>0</v>
      </c>
      <c r="G51" s="22">
        <v>22</v>
      </c>
      <c r="H51" s="22">
        <v>233446</v>
      </c>
      <c r="I51" s="22" t="s">
        <v>55</v>
      </c>
      <c r="J51" s="22">
        <v>233491</v>
      </c>
      <c r="K51" s="21" t="s">
        <v>56</v>
      </c>
      <c r="L51" s="21" t="str">
        <f>VLOOKUP(C51,'Trips&amp;Operators'!$C$1:$E$9999,3,FALSE)</f>
        <v>BARTLETT</v>
      </c>
      <c r="M51" s="20" t="s">
        <v>147</v>
      </c>
      <c r="N51" s="21"/>
    </row>
    <row r="52" spans="1:14" s="19" customFormat="1" ht="15.75" thickBot="1" x14ac:dyDescent="0.3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3"/>
      <c r="L52" s="43"/>
      <c r="M52" s="44"/>
      <c r="N52" s="43"/>
    </row>
    <row r="53" spans="1:14" ht="30" x14ac:dyDescent="0.25">
      <c r="B53" s="60"/>
      <c r="C53" s="60"/>
      <c r="D53" s="60"/>
      <c r="E53" s="60"/>
      <c r="F53" s="60"/>
      <c r="G53" s="60"/>
      <c r="H53" s="60"/>
      <c r="I53" s="60"/>
      <c r="J53" s="60"/>
      <c r="K53" s="18" t="s">
        <v>28</v>
      </c>
      <c r="L53" s="53"/>
      <c r="M53" s="17">
        <f>COUNTIF(M3:M51,"=Y")</f>
        <v>3</v>
      </c>
    </row>
    <row r="54" spans="1:14" ht="15.75" thickBot="1" x14ac:dyDescent="0.3">
      <c r="K54" s="16" t="s">
        <v>27</v>
      </c>
      <c r="L54" s="54"/>
      <c r="M54" s="15">
        <f>COUNTA(M3:M51)-M53</f>
        <v>46</v>
      </c>
    </row>
  </sheetData>
  <autoFilter ref="A2:N2">
    <sortState ref="A3:N51">
      <sortCondition ref="E2"/>
    </sortState>
  </autoFilter>
  <sortState ref="A3:N63">
    <sortCondition ref="E3:E63"/>
  </sortState>
  <mergeCells count="1">
    <mergeCell ref="A1:M1"/>
  </mergeCells>
  <conditionalFormatting sqref="N2 M2:M1048576">
    <cfRule type="cellIs" dxfId="1" priority="3" operator="equal">
      <formula>"Y"</formula>
    </cfRule>
  </conditionalFormatting>
  <conditionalFormatting sqref="B3:N52">
    <cfRule type="expression" dxfId="0" priority="2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>
    <row r="1" spans="1:1" s="60" customFormat="1" x14ac:dyDescent="0.25">
      <c r="A1" s="63" t="str">
        <f>"Trips that did not appear in PTC Data "&amp;TEXT(Variables!$A$2,"YYYY-mm-dd")</f>
        <v>Trips that did not appear in PTC Data 2016-05-05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15"/>
  <sheetViews>
    <sheetView topLeftCell="A193" workbookViewId="0">
      <selection activeCell="H209" sqref="H209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42498.131886574076</v>
      </c>
      <c r="B1" t="s">
        <v>153</v>
      </c>
      <c r="C1" t="s">
        <v>184</v>
      </c>
      <c r="D1">
        <v>1300000</v>
      </c>
      <c r="E1" t="s">
        <v>78</v>
      </c>
    </row>
    <row r="2" spans="1:5" x14ac:dyDescent="0.25">
      <c r="A2" s="14">
        <v>42498.137152777781</v>
      </c>
      <c r="B2" t="s">
        <v>79</v>
      </c>
      <c r="C2" t="s">
        <v>435</v>
      </c>
      <c r="D2">
        <v>1180000</v>
      </c>
      <c r="E2" t="s">
        <v>418</v>
      </c>
    </row>
    <row r="3" spans="1:5" x14ac:dyDescent="0.25">
      <c r="A3" s="14">
        <v>42498.141018518516</v>
      </c>
      <c r="B3" t="s">
        <v>71</v>
      </c>
      <c r="C3" t="s">
        <v>433</v>
      </c>
      <c r="D3">
        <v>1240000</v>
      </c>
      <c r="E3" t="s">
        <v>422</v>
      </c>
    </row>
    <row r="4" spans="1:5" x14ac:dyDescent="0.25">
      <c r="A4" s="14">
        <v>42498.149155092593</v>
      </c>
      <c r="B4" t="s">
        <v>80</v>
      </c>
      <c r="C4" t="s">
        <v>187</v>
      </c>
      <c r="D4">
        <v>1480000</v>
      </c>
      <c r="E4" t="s">
        <v>415</v>
      </c>
    </row>
    <row r="5" spans="1:5" x14ac:dyDescent="0.25">
      <c r="A5" s="14">
        <v>42498.154722222222</v>
      </c>
      <c r="B5" t="s">
        <v>70</v>
      </c>
      <c r="C5" t="s">
        <v>405</v>
      </c>
      <c r="D5">
        <v>1440000</v>
      </c>
      <c r="E5" t="s">
        <v>419</v>
      </c>
    </row>
    <row r="6" spans="1:5" x14ac:dyDescent="0.25">
      <c r="A6" s="14">
        <v>42498.154826388891</v>
      </c>
      <c r="B6" t="s">
        <v>155</v>
      </c>
      <c r="C6" t="s">
        <v>404</v>
      </c>
      <c r="D6">
        <v>1410000</v>
      </c>
      <c r="E6" t="s">
        <v>151</v>
      </c>
    </row>
    <row r="7" spans="1:5" x14ac:dyDescent="0.25">
      <c r="A7" s="14">
        <v>42498.167094907411</v>
      </c>
      <c r="B7" t="s">
        <v>59</v>
      </c>
      <c r="C7" t="s">
        <v>186</v>
      </c>
      <c r="D7">
        <v>1300000</v>
      </c>
      <c r="E7" t="s">
        <v>78</v>
      </c>
    </row>
    <row r="8" spans="1:5" x14ac:dyDescent="0.25">
      <c r="A8" s="14">
        <v>42498.172997685186</v>
      </c>
      <c r="B8" t="s">
        <v>412</v>
      </c>
      <c r="C8" t="s">
        <v>192</v>
      </c>
      <c r="D8">
        <v>1430000</v>
      </c>
      <c r="E8" t="s">
        <v>152</v>
      </c>
    </row>
    <row r="9" spans="1:5" x14ac:dyDescent="0.25">
      <c r="A9" s="14">
        <v>42498.177905092591</v>
      </c>
      <c r="B9" t="s">
        <v>77</v>
      </c>
      <c r="C9" t="s">
        <v>406</v>
      </c>
      <c r="D9">
        <v>1180000</v>
      </c>
      <c r="E9" t="s">
        <v>418</v>
      </c>
    </row>
    <row r="10" spans="1:5" x14ac:dyDescent="0.25">
      <c r="A10" s="14">
        <v>42498.179548611108</v>
      </c>
      <c r="B10" t="s">
        <v>77</v>
      </c>
      <c r="C10" t="s">
        <v>406</v>
      </c>
      <c r="D10">
        <v>1180000</v>
      </c>
      <c r="E10" t="s">
        <v>418</v>
      </c>
    </row>
    <row r="11" spans="1:5" x14ac:dyDescent="0.25">
      <c r="A11" s="14">
        <v>42498.180590277778</v>
      </c>
      <c r="B11" t="s">
        <v>70</v>
      </c>
      <c r="C11" t="s">
        <v>197</v>
      </c>
      <c r="D11">
        <v>1360000</v>
      </c>
      <c r="E11" t="s">
        <v>154</v>
      </c>
    </row>
    <row r="12" spans="1:5" x14ac:dyDescent="0.25">
      <c r="A12" s="14">
        <v>42498.184791666667</v>
      </c>
      <c r="B12" t="s">
        <v>52</v>
      </c>
      <c r="C12" t="s">
        <v>421</v>
      </c>
      <c r="D12">
        <v>1240000</v>
      </c>
      <c r="E12" t="s">
        <v>422</v>
      </c>
    </row>
    <row r="13" spans="1:5" x14ac:dyDescent="0.25">
      <c r="A13" s="14">
        <v>42498.192164351851</v>
      </c>
      <c r="B13" t="s">
        <v>68</v>
      </c>
      <c r="C13" t="s">
        <v>190</v>
      </c>
      <c r="D13">
        <v>1480000</v>
      </c>
      <c r="E13" t="s">
        <v>415</v>
      </c>
    </row>
    <row r="14" spans="1:5" x14ac:dyDescent="0.25">
      <c r="A14" s="14">
        <v>42498.194120370368</v>
      </c>
      <c r="B14" t="s">
        <v>156</v>
      </c>
      <c r="C14" t="s">
        <v>408</v>
      </c>
      <c r="D14">
        <v>1410000</v>
      </c>
      <c r="E14" t="s">
        <v>151</v>
      </c>
    </row>
    <row r="15" spans="1:5" x14ac:dyDescent="0.25">
      <c r="A15" s="14">
        <v>42498.194907407407</v>
      </c>
      <c r="B15" t="s">
        <v>79</v>
      </c>
      <c r="C15" t="s">
        <v>201</v>
      </c>
      <c r="D15">
        <v>1310000</v>
      </c>
      <c r="E15" t="s">
        <v>81</v>
      </c>
    </row>
    <row r="16" spans="1:5" x14ac:dyDescent="0.25">
      <c r="A16" s="14">
        <v>42498.1953587963</v>
      </c>
      <c r="B16" t="s">
        <v>156</v>
      </c>
      <c r="C16" t="s">
        <v>408</v>
      </c>
      <c r="D16">
        <v>1410000</v>
      </c>
      <c r="E16" t="s">
        <v>151</v>
      </c>
    </row>
    <row r="17" spans="1:5" x14ac:dyDescent="0.25">
      <c r="A17" s="14">
        <v>42498.20039351852</v>
      </c>
      <c r="B17" t="s">
        <v>57</v>
      </c>
      <c r="C17" t="s">
        <v>407</v>
      </c>
      <c r="D17">
        <v>1440000</v>
      </c>
      <c r="E17" t="s">
        <v>419</v>
      </c>
    </row>
    <row r="18" spans="1:5" x14ac:dyDescent="0.25">
      <c r="A18" s="14">
        <v>42498.204907407409</v>
      </c>
      <c r="B18" t="s">
        <v>153</v>
      </c>
      <c r="C18" t="s">
        <v>203</v>
      </c>
      <c r="D18">
        <v>1100000</v>
      </c>
      <c r="E18" t="s">
        <v>75</v>
      </c>
    </row>
    <row r="19" spans="1:5" x14ac:dyDescent="0.25">
      <c r="A19" s="14">
        <v>42498.211041666669</v>
      </c>
      <c r="B19" t="s">
        <v>64</v>
      </c>
      <c r="C19" t="s">
        <v>208</v>
      </c>
      <c r="D19">
        <v>1300000</v>
      </c>
      <c r="E19" t="s">
        <v>78</v>
      </c>
    </row>
    <row r="20" spans="1:5" x14ac:dyDescent="0.25">
      <c r="A20" s="14">
        <v>42498.21230324074</v>
      </c>
      <c r="B20" t="s">
        <v>67</v>
      </c>
      <c r="C20" t="s">
        <v>194</v>
      </c>
      <c r="D20">
        <v>1430000</v>
      </c>
      <c r="E20" t="s">
        <v>152</v>
      </c>
    </row>
    <row r="21" spans="1:5" x14ac:dyDescent="0.25">
      <c r="A21" s="14">
        <v>42498.22079861111</v>
      </c>
      <c r="B21" t="s">
        <v>57</v>
      </c>
      <c r="C21" t="s">
        <v>199</v>
      </c>
      <c r="D21">
        <v>1360000</v>
      </c>
      <c r="E21" t="s">
        <v>154</v>
      </c>
    </row>
    <row r="22" spans="1:5" x14ac:dyDescent="0.25">
      <c r="A22" s="14">
        <v>42498.221331018518</v>
      </c>
      <c r="B22" t="s">
        <v>79</v>
      </c>
      <c r="C22" t="s">
        <v>409</v>
      </c>
      <c r="D22">
        <v>1180000</v>
      </c>
      <c r="E22" t="s">
        <v>418</v>
      </c>
    </row>
    <row r="23" spans="1:5" x14ac:dyDescent="0.25">
      <c r="A23" s="14">
        <v>42498.22388888889</v>
      </c>
      <c r="B23" t="s">
        <v>71</v>
      </c>
      <c r="C23" t="s">
        <v>423</v>
      </c>
      <c r="D23">
        <v>1240000</v>
      </c>
      <c r="E23" t="s">
        <v>422</v>
      </c>
    </row>
    <row r="24" spans="1:5" x14ac:dyDescent="0.25">
      <c r="A24" s="14">
        <v>42498.229594907411</v>
      </c>
      <c r="B24" t="s">
        <v>80</v>
      </c>
      <c r="C24" t="s">
        <v>212</v>
      </c>
      <c r="D24">
        <v>1450000</v>
      </c>
      <c r="E24" t="s">
        <v>430</v>
      </c>
    </row>
    <row r="25" spans="1:5" x14ac:dyDescent="0.25">
      <c r="A25" s="14">
        <v>42498.230115740742</v>
      </c>
      <c r="B25" t="s">
        <v>77</v>
      </c>
      <c r="C25" t="s">
        <v>202</v>
      </c>
      <c r="D25">
        <v>1310000</v>
      </c>
      <c r="E25" t="s">
        <v>81</v>
      </c>
    </row>
    <row r="26" spans="1:5" x14ac:dyDescent="0.25">
      <c r="A26" s="14">
        <v>42498.233865740738</v>
      </c>
      <c r="B26" t="s">
        <v>63</v>
      </c>
      <c r="C26" t="s">
        <v>216</v>
      </c>
      <c r="D26">
        <v>1480000</v>
      </c>
      <c r="E26" t="s">
        <v>415</v>
      </c>
    </row>
    <row r="27" spans="1:5" x14ac:dyDescent="0.25">
      <c r="A27" s="14">
        <v>42498.237395833334</v>
      </c>
      <c r="B27" t="s">
        <v>70</v>
      </c>
      <c r="C27" t="s">
        <v>410</v>
      </c>
      <c r="D27">
        <v>1440000</v>
      </c>
      <c r="E27" t="s">
        <v>419</v>
      </c>
    </row>
    <row r="28" spans="1:5" x14ac:dyDescent="0.25">
      <c r="A28" s="14">
        <v>42498.237800925926</v>
      </c>
      <c r="B28" t="s">
        <v>155</v>
      </c>
      <c r="C28" t="s">
        <v>420</v>
      </c>
      <c r="D28">
        <v>1410000</v>
      </c>
      <c r="E28" t="s">
        <v>151</v>
      </c>
    </row>
    <row r="29" spans="1:5" x14ac:dyDescent="0.25">
      <c r="A29" s="14">
        <v>42498.238425925927</v>
      </c>
      <c r="B29" t="s">
        <v>70</v>
      </c>
      <c r="C29" t="s">
        <v>410</v>
      </c>
      <c r="D29">
        <v>1440000</v>
      </c>
      <c r="E29" t="s">
        <v>419</v>
      </c>
    </row>
    <row r="30" spans="1:5" x14ac:dyDescent="0.25">
      <c r="A30" s="14">
        <v>42498.239166666666</v>
      </c>
      <c r="B30" t="s">
        <v>155</v>
      </c>
      <c r="C30" t="s">
        <v>420</v>
      </c>
      <c r="D30">
        <v>1410000</v>
      </c>
      <c r="E30" t="s">
        <v>151</v>
      </c>
    </row>
    <row r="31" spans="1:5" x14ac:dyDescent="0.25">
      <c r="A31" s="14">
        <v>42498.24287037037</v>
      </c>
      <c r="B31" t="s">
        <v>76</v>
      </c>
      <c r="C31" t="s">
        <v>206</v>
      </c>
      <c r="D31">
        <v>1100000</v>
      </c>
      <c r="E31" t="s">
        <v>75</v>
      </c>
    </row>
    <row r="32" spans="1:5" x14ac:dyDescent="0.25">
      <c r="A32" s="14">
        <v>42498.244490740741</v>
      </c>
      <c r="B32" t="s">
        <v>76</v>
      </c>
      <c r="C32" t="s">
        <v>206</v>
      </c>
      <c r="D32">
        <v>1100000</v>
      </c>
      <c r="E32" t="s">
        <v>75</v>
      </c>
    </row>
    <row r="33" spans="1:5" x14ac:dyDescent="0.25">
      <c r="A33" s="14">
        <v>42498.245416666665</v>
      </c>
      <c r="B33" t="s">
        <v>76</v>
      </c>
      <c r="C33" t="s">
        <v>206</v>
      </c>
      <c r="D33">
        <v>1100000</v>
      </c>
      <c r="E33" t="s">
        <v>75</v>
      </c>
    </row>
    <row r="34" spans="1:5" x14ac:dyDescent="0.25">
      <c r="A34" s="14">
        <v>42498.24628472222</v>
      </c>
      <c r="B34" t="s">
        <v>412</v>
      </c>
      <c r="C34" t="s">
        <v>222</v>
      </c>
      <c r="D34">
        <v>1430000</v>
      </c>
      <c r="E34" t="s">
        <v>152</v>
      </c>
    </row>
    <row r="35" spans="1:5" x14ac:dyDescent="0.25">
      <c r="A35" s="14">
        <v>42498.252974537034</v>
      </c>
      <c r="B35" t="s">
        <v>59</v>
      </c>
      <c r="C35" t="s">
        <v>210</v>
      </c>
      <c r="D35">
        <v>1300000</v>
      </c>
      <c r="E35" t="s">
        <v>78</v>
      </c>
    </row>
    <row r="36" spans="1:5" x14ac:dyDescent="0.25">
      <c r="A36" s="14">
        <v>42498.257581018515</v>
      </c>
      <c r="B36" t="s">
        <v>70</v>
      </c>
      <c r="C36" t="s">
        <v>226</v>
      </c>
      <c r="D36">
        <v>1360000</v>
      </c>
      <c r="E36" t="s">
        <v>154</v>
      </c>
    </row>
    <row r="37" spans="1:5" x14ac:dyDescent="0.25">
      <c r="A37" s="14">
        <v>42498.259143518517</v>
      </c>
      <c r="B37" t="s">
        <v>70</v>
      </c>
      <c r="C37" t="s">
        <v>226</v>
      </c>
      <c r="D37">
        <v>1360000</v>
      </c>
      <c r="E37" t="s">
        <v>154</v>
      </c>
    </row>
    <row r="38" spans="1:5" x14ac:dyDescent="0.25">
      <c r="A38" s="14">
        <v>42498.261828703704</v>
      </c>
      <c r="B38" t="s">
        <v>77</v>
      </c>
      <c r="C38" t="s">
        <v>417</v>
      </c>
      <c r="D38">
        <v>1180000</v>
      </c>
      <c r="E38" t="s">
        <v>418</v>
      </c>
    </row>
    <row r="39" spans="1:5" x14ac:dyDescent="0.25">
      <c r="A39" s="14">
        <v>42498.261840277781</v>
      </c>
      <c r="B39" t="s">
        <v>82</v>
      </c>
      <c r="C39" t="s">
        <v>214</v>
      </c>
      <c r="D39">
        <v>1450000</v>
      </c>
      <c r="E39" t="s">
        <v>430</v>
      </c>
    </row>
    <row r="40" spans="1:5" x14ac:dyDescent="0.25">
      <c r="A40" s="14">
        <v>42498.262870370374</v>
      </c>
      <c r="B40" t="s">
        <v>77</v>
      </c>
      <c r="C40" t="s">
        <v>417</v>
      </c>
      <c r="D40">
        <v>1180000</v>
      </c>
      <c r="E40" t="s">
        <v>418</v>
      </c>
    </row>
    <row r="41" spans="1:5" x14ac:dyDescent="0.25">
      <c r="A41" s="14">
        <v>42498.266458333332</v>
      </c>
      <c r="B41" t="s">
        <v>52</v>
      </c>
      <c r="C41" t="s">
        <v>425</v>
      </c>
      <c r="D41">
        <v>1240000</v>
      </c>
      <c r="E41" t="s">
        <v>422</v>
      </c>
    </row>
    <row r="42" spans="1:5" x14ac:dyDescent="0.25">
      <c r="A42" s="14">
        <v>42498.269525462965</v>
      </c>
      <c r="B42" t="s">
        <v>79</v>
      </c>
      <c r="C42" t="s">
        <v>230</v>
      </c>
      <c r="D42">
        <v>1310000</v>
      </c>
      <c r="E42" t="s">
        <v>81</v>
      </c>
    </row>
    <row r="43" spans="1:5" x14ac:dyDescent="0.25">
      <c r="A43" s="14">
        <v>42498.271967592591</v>
      </c>
      <c r="B43" t="s">
        <v>68</v>
      </c>
      <c r="C43" t="s">
        <v>219</v>
      </c>
      <c r="D43">
        <v>1480000</v>
      </c>
      <c r="E43" t="s">
        <v>415</v>
      </c>
    </row>
    <row r="44" spans="1:5" x14ac:dyDescent="0.25">
      <c r="A44" s="14">
        <v>42498.278958333336</v>
      </c>
      <c r="B44" t="s">
        <v>153</v>
      </c>
      <c r="C44" t="s">
        <v>232</v>
      </c>
      <c r="D44">
        <v>1100000</v>
      </c>
      <c r="E44" t="s">
        <v>75</v>
      </c>
    </row>
    <row r="45" spans="1:5" x14ac:dyDescent="0.25">
      <c r="A45" s="14">
        <v>42498.281550925924</v>
      </c>
      <c r="B45" t="s">
        <v>427</v>
      </c>
      <c r="C45" t="s">
        <v>224</v>
      </c>
      <c r="D45">
        <v>1430000</v>
      </c>
      <c r="E45" t="s">
        <v>152</v>
      </c>
    </row>
    <row r="46" spans="1:5" x14ac:dyDescent="0.25">
      <c r="A46" s="14">
        <v>42498.282476851855</v>
      </c>
      <c r="B46" t="s">
        <v>57</v>
      </c>
      <c r="C46" t="s">
        <v>432</v>
      </c>
      <c r="D46">
        <v>1440000</v>
      </c>
      <c r="E46" t="s">
        <v>419</v>
      </c>
    </row>
    <row r="47" spans="1:5" x14ac:dyDescent="0.25">
      <c r="A47" s="14">
        <v>42498.287511574075</v>
      </c>
      <c r="B47" t="s">
        <v>156</v>
      </c>
      <c r="C47" t="s">
        <v>426</v>
      </c>
      <c r="D47">
        <v>1410000</v>
      </c>
      <c r="E47" t="s">
        <v>151</v>
      </c>
    </row>
    <row r="48" spans="1:5" x14ac:dyDescent="0.25">
      <c r="A48" s="14">
        <v>42498.288240740738</v>
      </c>
      <c r="B48" t="s">
        <v>64</v>
      </c>
      <c r="C48" t="s">
        <v>236</v>
      </c>
      <c r="D48">
        <v>1300000</v>
      </c>
      <c r="E48" t="s">
        <v>78</v>
      </c>
    </row>
    <row r="49" spans="1:5" x14ac:dyDescent="0.25">
      <c r="A49" s="14">
        <v>42498.293206018519</v>
      </c>
      <c r="B49" t="s">
        <v>57</v>
      </c>
      <c r="C49" t="s">
        <v>227</v>
      </c>
      <c r="D49">
        <v>1360000</v>
      </c>
      <c r="E49" t="s">
        <v>154</v>
      </c>
    </row>
    <row r="50" spans="1:5" x14ac:dyDescent="0.25">
      <c r="A50" s="14">
        <v>42498.299502314818</v>
      </c>
      <c r="B50" t="s">
        <v>80</v>
      </c>
      <c r="C50" t="s">
        <v>239</v>
      </c>
      <c r="D50">
        <v>1450000</v>
      </c>
      <c r="E50" t="s">
        <v>430</v>
      </c>
    </row>
    <row r="51" spans="1:5" x14ac:dyDescent="0.25">
      <c r="A51" s="14">
        <v>42498.307025462964</v>
      </c>
      <c r="B51" t="s">
        <v>80</v>
      </c>
      <c r="C51" t="s">
        <v>239</v>
      </c>
      <c r="D51">
        <v>1450000</v>
      </c>
      <c r="E51" t="s">
        <v>430</v>
      </c>
    </row>
    <row r="52" spans="1:5" x14ac:dyDescent="0.25">
      <c r="A52" s="14">
        <v>42498.308009259257</v>
      </c>
      <c r="B52" t="s">
        <v>63</v>
      </c>
      <c r="C52" t="s">
        <v>243</v>
      </c>
      <c r="D52">
        <v>1480000</v>
      </c>
      <c r="E52" t="s">
        <v>415</v>
      </c>
    </row>
    <row r="53" spans="1:5" x14ac:dyDescent="0.25">
      <c r="A53" s="14">
        <v>42498.30810185185</v>
      </c>
      <c r="B53" t="s">
        <v>77</v>
      </c>
      <c r="C53" t="s">
        <v>231</v>
      </c>
      <c r="D53">
        <v>1310000</v>
      </c>
      <c r="E53" t="s">
        <v>81</v>
      </c>
    </row>
    <row r="54" spans="1:5" x14ac:dyDescent="0.25">
      <c r="A54" s="14">
        <v>42498.308148148149</v>
      </c>
      <c r="B54" t="s">
        <v>71</v>
      </c>
      <c r="C54" t="s">
        <v>431</v>
      </c>
      <c r="D54">
        <v>1240000</v>
      </c>
      <c r="E54" t="s">
        <v>422</v>
      </c>
    </row>
    <row r="55" spans="1:5" x14ac:dyDescent="0.25">
      <c r="A55" s="14">
        <v>42498.316354166665</v>
      </c>
      <c r="B55" t="s">
        <v>76</v>
      </c>
      <c r="C55" t="s">
        <v>234</v>
      </c>
      <c r="D55">
        <v>1100000</v>
      </c>
      <c r="E55" t="s">
        <v>75</v>
      </c>
    </row>
    <row r="56" spans="1:5" x14ac:dyDescent="0.25">
      <c r="A56" s="14">
        <v>42498.319826388892</v>
      </c>
      <c r="B56" t="s">
        <v>57</v>
      </c>
      <c r="C56" t="s">
        <v>227</v>
      </c>
      <c r="D56">
        <v>1360000</v>
      </c>
      <c r="E56" t="s">
        <v>154</v>
      </c>
    </row>
    <row r="57" spans="1:5" x14ac:dyDescent="0.25">
      <c r="A57" s="14">
        <v>42498.320509259262</v>
      </c>
      <c r="B57" t="s">
        <v>412</v>
      </c>
      <c r="C57" t="s">
        <v>245</v>
      </c>
      <c r="D57">
        <v>1430000</v>
      </c>
      <c r="E57" t="s">
        <v>152</v>
      </c>
    </row>
    <row r="58" spans="1:5" x14ac:dyDescent="0.25">
      <c r="A58" s="14">
        <v>42498.324942129628</v>
      </c>
      <c r="B58" t="s">
        <v>155</v>
      </c>
      <c r="C58" t="s">
        <v>411</v>
      </c>
      <c r="D58">
        <v>1410000</v>
      </c>
      <c r="E58" t="s">
        <v>151</v>
      </c>
    </row>
    <row r="59" spans="1:5" x14ac:dyDescent="0.25">
      <c r="A59" s="14">
        <v>42498.326180555552</v>
      </c>
      <c r="B59" t="s">
        <v>59</v>
      </c>
      <c r="C59" t="s">
        <v>238</v>
      </c>
      <c r="D59">
        <v>1300000</v>
      </c>
      <c r="E59" t="s">
        <v>78</v>
      </c>
    </row>
    <row r="60" spans="1:5" x14ac:dyDescent="0.25">
      <c r="A60" s="14">
        <v>42498.33252314815</v>
      </c>
      <c r="B60" t="s">
        <v>70</v>
      </c>
      <c r="C60" t="s">
        <v>227</v>
      </c>
      <c r="D60">
        <v>1360000</v>
      </c>
      <c r="E60" t="s">
        <v>154</v>
      </c>
    </row>
    <row r="61" spans="1:5" x14ac:dyDescent="0.25">
      <c r="A61" s="14">
        <v>42498.33320601852</v>
      </c>
      <c r="B61" t="s">
        <v>70</v>
      </c>
      <c r="C61" t="s">
        <v>248</v>
      </c>
      <c r="D61">
        <v>1360000</v>
      </c>
      <c r="E61" t="s">
        <v>154</v>
      </c>
    </row>
    <row r="62" spans="1:5" x14ac:dyDescent="0.25">
      <c r="A62" s="14">
        <v>42498.334675925929</v>
      </c>
      <c r="B62" t="s">
        <v>70</v>
      </c>
      <c r="C62" t="s">
        <v>248</v>
      </c>
      <c r="D62">
        <v>1360000</v>
      </c>
      <c r="E62" t="s">
        <v>154</v>
      </c>
    </row>
    <row r="63" spans="1:5" x14ac:dyDescent="0.25">
      <c r="A63" s="14">
        <v>42498.336956018517</v>
      </c>
      <c r="B63" t="s">
        <v>82</v>
      </c>
      <c r="C63" t="s">
        <v>242</v>
      </c>
      <c r="D63">
        <v>1450000</v>
      </c>
      <c r="E63" t="s">
        <v>430</v>
      </c>
    </row>
    <row r="64" spans="1:5" x14ac:dyDescent="0.25">
      <c r="A64" s="14">
        <v>42498.342499999999</v>
      </c>
      <c r="B64" t="s">
        <v>79</v>
      </c>
      <c r="C64" t="s">
        <v>250</v>
      </c>
      <c r="D64">
        <v>1310000</v>
      </c>
      <c r="E64" t="s">
        <v>81</v>
      </c>
    </row>
    <row r="65" spans="1:5" x14ac:dyDescent="0.25">
      <c r="A65" s="14">
        <v>42498.348703703705</v>
      </c>
      <c r="B65" t="s">
        <v>68</v>
      </c>
      <c r="C65" t="s">
        <v>244</v>
      </c>
      <c r="D65">
        <v>1480000</v>
      </c>
      <c r="E65" t="s">
        <v>415</v>
      </c>
    </row>
    <row r="66" spans="1:5" x14ac:dyDescent="0.25">
      <c r="A66" s="14">
        <v>42498.349826388891</v>
      </c>
      <c r="B66" t="s">
        <v>153</v>
      </c>
      <c r="C66" t="s">
        <v>253</v>
      </c>
      <c r="D66">
        <v>1100000</v>
      </c>
      <c r="E66" t="s">
        <v>75</v>
      </c>
    </row>
    <row r="67" spans="1:5" x14ac:dyDescent="0.25">
      <c r="A67" s="14">
        <v>42498.354247685187</v>
      </c>
      <c r="B67" t="s">
        <v>427</v>
      </c>
      <c r="C67" t="s">
        <v>247</v>
      </c>
      <c r="D67">
        <v>1430000</v>
      </c>
      <c r="E67" t="s">
        <v>152</v>
      </c>
    </row>
    <row r="68" spans="1:5" x14ac:dyDescent="0.25">
      <c r="A68" s="14">
        <v>42498.358726851853</v>
      </c>
      <c r="B68" t="s">
        <v>64</v>
      </c>
      <c r="C68" t="s">
        <v>255</v>
      </c>
      <c r="D68">
        <v>1300000</v>
      </c>
      <c r="E68" t="s">
        <v>78</v>
      </c>
    </row>
    <row r="69" spans="1:5" x14ac:dyDescent="0.25">
      <c r="A69" s="14">
        <v>42498.368969907409</v>
      </c>
      <c r="B69" t="s">
        <v>57</v>
      </c>
      <c r="C69" t="s">
        <v>249</v>
      </c>
      <c r="D69">
        <v>1360000</v>
      </c>
      <c r="E69" t="s">
        <v>154</v>
      </c>
    </row>
    <row r="70" spans="1:5" x14ac:dyDescent="0.25">
      <c r="A70" s="14">
        <v>42498.370740740742</v>
      </c>
      <c r="B70" t="s">
        <v>80</v>
      </c>
      <c r="C70" t="s">
        <v>257</v>
      </c>
      <c r="D70">
        <v>1450000</v>
      </c>
      <c r="E70" t="s">
        <v>430</v>
      </c>
    </row>
    <row r="71" spans="1:5" x14ac:dyDescent="0.25">
      <c r="A71" s="14">
        <v>42498.379490740743</v>
      </c>
      <c r="B71" t="s">
        <v>63</v>
      </c>
      <c r="C71" t="s">
        <v>259</v>
      </c>
      <c r="D71">
        <v>1480000</v>
      </c>
      <c r="E71" t="s">
        <v>415</v>
      </c>
    </row>
    <row r="72" spans="1:5" x14ac:dyDescent="0.25">
      <c r="A72" s="14">
        <v>42498.380474537036</v>
      </c>
      <c r="B72" t="s">
        <v>77</v>
      </c>
      <c r="C72" t="s">
        <v>251</v>
      </c>
      <c r="D72">
        <v>1310000</v>
      </c>
      <c r="E72" t="s">
        <v>81</v>
      </c>
    </row>
    <row r="73" spans="1:5" x14ac:dyDescent="0.25">
      <c r="A73" s="14">
        <v>42498.381886574076</v>
      </c>
      <c r="B73" t="s">
        <v>153</v>
      </c>
      <c r="C73" t="s">
        <v>184</v>
      </c>
      <c r="D73">
        <v>1300000</v>
      </c>
      <c r="E73" t="s">
        <v>78</v>
      </c>
    </row>
    <row r="74" spans="1:5" x14ac:dyDescent="0.25">
      <c r="A74" s="14">
        <v>42498.384745370371</v>
      </c>
      <c r="B74" t="s">
        <v>76</v>
      </c>
      <c r="C74" t="s">
        <v>254</v>
      </c>
      <c r="D74">
        <v>1100000</v>
      </c>
      <c r="E74" t="s">
        <v>75</v>
      </c>
    </row>
    <row r="75" spans="1:5" x14ac:dyDescent="0.25">
      <c r="A75" s="14">
        <v>42498.392951388887</v>
      </c>
      <c r="B75" t="s">
        <v>69</v>
      </c>
      <c r="C75" t="s">
        <v>261</v>
      </c>
      <c r="D75">
        <v>1430000</v>
      </c>
      <c r="E75" t="s">
        <v>152</v>
      </c>
    </row>
    <row r="76" spans="1:5" x14ac:dyDescent="0.25">
      <c r="A76" s="14">
        <v>42498.394548611112</v>
      </c>
      <c r="B76" t="s">
        <v>69</v>
      </c>
      <c r="C76" t="s">
        <v>261</v>
      </c>
      <c r="D76">
        <v>1430000</v>
      </c>
      <c r="E76" t="s">
        <v>152</v>
      </c>
    </row>
    <row r="77" spans="1:5" x14ac:dyDescent="0.25">
      <c r="A77" s="14">
        <v>42498.397777777776</v>
      </c>
      <c r="B77" t="s">
        <v>59</v>
      </c>
      <c r="C77" t="s">
        <v>256</v>
      </c>
      <c r="D77">
        <v>1300000</v>
      </c>
      <c r="E77" t="s">
        <v>78</v>
      </c>
    </row>
    <row r="78" spans="1:5" x14ac:dyDescent="0.25">
      <c r="A78" s="14">
        <v>42498.399155092593</v>
      </c>
      <c r="B78" t="s">
        <v>80</v>
      </c>
      <c r="C78" t="s">
        <v>187</v>
      </c>
      <c r="D78">
        <v>1480000</v>
      </c>
      <c r="E78" t="s">
        <v>415</v>
      </c>
    </row>
    <row r="79" spans="1:5" x14ac:dyDescent="0.25">
      <c r="A79" s="14">
        <v>42498.402974537035</v>
      </c>
      <c r="B79" t="s">
        <v>70</v>
      </c>
      <c r="C79" t="s">
        <v>265</v>
      </c>
      <c r="D79">
        <v>1360000</v>
      </c>
      <c r="E79" t="s">
        <v>154</v>
      </c>
    </row>
    <row r="80" spans="1:5" x14ac:dyDescent="0.25">
      <c r="A80" s="14">
        <v>42498.404398148145</v>
      </c>
      <c r="B80" t="s">
        <v>70</v>
      </c>
      <c r="C80" t="s">
        <v>265</v>
      </c>
      <c r="D80">
        <v>1360000</v>
      </c>
      <c r="E80" t="s">
        <v>154</v>
      </c>
    </row>
    <row r="81" spans="1:5" x14ac:dyDescent="0.25">
      <c r="A81" s="14">
        <v>42498.409398148149</v>
      </c>
      <c r="B81" t="s">
        <v>82</v>
      </c>
      <c r="C81" t="s">
        <v>258</v>
      </c>
      <c r="D81">
        <v>1450000</v>
      </c>
      <c r="E81" t="s">
        <v>430</v>
      </c>
    </row>
    <row r="82" spans="1:5" x14ac:dyDescent="0.25">
      <c r="A82" s="14">
        <v>42498.416516203702</v>
      </c>
      <c r="B82" t="s">
        <v>79</v>
      </c>
      <c r="C82" t="s">
        <v>267</v>
      </c>
      <c r="D82">
        <v>1310000</v>
      </c>
      <c r="E82" t="s">
        <v>81</v>
      </c>
    </row>
    <row r="83" spans="1:5" x14ac:dyDescent="0.25">
      <c r="A83" s="14">
        <v>42498.417094907411</v>
      </c>
      <c r="B83" t="s">
        <v>59</v>
      </c>
      <c r="C83" t="s">
        <v>186</v>
      </c>
      <c r="D83">
        <v>1300000</v>
      </c>
      <c r="E83" t="s">
        <v>78</v>
      </c>
    </row>
    <row r="84" spans="1:5" x14ac:dyDescent="0.25">
      <c r="A84" s="14">
        <v>42498.418993055559</v>
      </c>
      <c r="B84" t="s">
        <v>68</v>
      </c>
      <c r="C84" t="s">
        <v>260</v>
      </c>
      <c r="D84">
        <v>1480000</v>
      </c>
      <c r="E84" t="s">
        <v>415</v>
      </c>
    </row>
    <row r="85" spans="1:5" x14ac:dyDescent="0.25">
      <c r="A85" s="14">
        <v>42498.422581018516</v>
      </c>
      <c r="B85" t="s">
        <v>153</v>
      </c>
      <c r="C85" t="s">
        <v>271</v>
      </c>
      <c r="D85">
        <v>1260000</v>
      </c>
      <c r="E85" t="s">
        <v>416</v>
      </c>
    </row>
    <row r="86" spans="1:5" x14ac:dyDescent="0.25">
      <c r="A86" s="14">
        <v>42498.422997685186</v>
      </c>
      <c r="B86" t="s">
        <v>412</v>
      </c>
      <c r="C86" t="s">
        <v>192</v>
      </c>
      <c r="D86">
        <v>1430000</v>
      </c>
      <c r="E86" t="s">
        <v>152</v>
      </c>
    </row>
    <row r="87" spans="1:5" x14ac:dyDescent="0.25">
      <c r="A87" s="14">
        <v>42498.428587962961</v>
      </c>
      <c r="B87" t="s">
        <v>67</v>
      </c>
      <c r="C87" t="s">
        <v>263</v>
      </c>
      <c r="D87">
        <v>1430000</v>
      </c>
      <c r="E87" t="s">
        <v>152</v>
      </c>
    </row>
    <row r="88" spans="1:5" x14ac:dyDescent="0.25">
      <c r="A88" s="14">
        <v>42498.429849537039</v>
      </c>
      <c r="B88" t="s">
        <v>67</v>
      </c>
      <c r="C88" t="s">
        <v>263</v>
      </c>
      <c r="D88">
        <v>1430000</v>
      </c>
      <c r="E88" t="s">
        <v>152</v>
      </c>
    </row>
    <row r="89" spans="1:5" x14ac:dyDescent="0.25">
      <c r="A89" s="14">
        <v>42498.430590277778</v>
      </c>
      <c r="B89" t="s">
        <v>70</v>
      </c>
      <c r="C89" t="s">
        <v>197</v>
      </c>
      <c r="D89">
        <v>1360000</v>
      </c>
      <c r="E89" t="s">
        <v>154</v>
      </c>
    </row>
    <row r="90" spans="1:5" x14ac:dyDescent="0.25">
      <c r="A90" s="14">
        <v>42498.432916666665</v>
      </c>
      <c r="B90" t="s">
        <v>64</v>
      </c>
      <c r="C90" t="s">
        <v>273</v>
      </c>
      <c r="D90">
        <v>1100000</v>
      </c>
      <c r="E90" t="s">
        <v>75</v>
      </c>
    </row>
    <row r="91" spans="1:5" x14ac:dyDescent="0.25">
      <c r="A91" s="14">
        <v>42498.440706018519</v>
      </c>
      <c r="B91" t="s">
        <v>57</v>
      </c>
      <c r="C91" t="s">
        <v>266</v>
      </c>
      <c r="D91">
        <v>1360000</v>
      </c>
      <c r="E91" t="s">
        <v>154</v>
      </c>
    </row>
    <row r="92" spans="1:5" x14ac:dyDescent="0.25">
      <c r="A92" s="14">
        <v>42498.442164351851</v>
      </c>
      <c r="B92" t="s">
        <v>68</v>
      </c>
      <c r="C92" t="s">
        <v>190</v>
      </c>
      <c r="D92">
        <v>1480000</v>
      </c>
      <c r="E92" t="s">
        <v>415</v>
      </c>
    </row>
    <row r="93" spans="1:5" x14ac:dyDescent="0.25">
      <c r="A93" s="14">
        <v>42498.444907407407</v>
      </c>
      <c r="B93" t="s">
        <v>79</v>
      </c>
      <c r="C93" t="s">
        <v>201</v>
      </c>
      <c r="D93">
        <v>1310000</v>
      </c>
      <c r="E93" t="s">
        <v>81</v>
      </c>
    </row>
    <row r="94" spans="1:5" x14ac:dyDescent="0.25">
      <c r="A94" s="14">
        <v>42498.445787037039</v>
      </c>
      <c r="B94" t="s">
        <v>80</v>
      </c>
      <c r="C94" t="s">
        <v>275</v>
      </c>
      <c r="D94">
        <v>1190000</v>
      </c>
      <c r="E94" t="s">
        <v>429</v>
      </c>
    </row>
    <row r="95" spans="1:5" x14ac:dyDescent="0.25">
      <c r="A95" s="14">
        <v>42498.453518518516</v>
      </c>
      <c r="B95" t="s">
        <v>63</v>
      </c>
      <c r="C95" t="s">
        <v>277</v>
      </c>
      <c r="D95">
        <v>1450000</v>
      </c>
      <c r="E95" t="s">
        <v>430</v>
      </c>
    </row>
    <row r="96" spans="1:5" x14ac:dyDescent="0.25">
      <c r="A96" s="14">
        <v>42498.45385416667</v>
      </c>
      <c r="B96" t="s">
        <v>77</v>
      </c>
      <c r="C96" t="s">
        <v>270</v>
      </c>
      <c r="D96">
        <v>1310000</v>
      </c>
      <c r="E96" t="s">
        <v>81</v>
      </c>
    </row>
    <row r="97" spans="1:5" x14ac:dyDescent="0.25">
      <c r="A97" s="14">
        <v>42498.454907407409</v>
      </c>
      <c r="B97" t="s">
        <v>153</v>
      </c>
      <c r="C97" t="s">
        <v>203</v>
      </c>
      <c r="D97">
        <v>1100000</v>
      </c>
      <c r="E97" t="s">
        <v>75</v>
      </c>
    </row>
    <row r="98" spans="1:5" x14ac:dyDescent="0.25">
      <c r="A98" s="14">
        <v>42498.459780092591</v>
      </c>
      <c r="B98" t="s">
        <v>412</v>
      </c>
      <c r="C98" t="s">
        <v>280</v>
      </c>
      <c r="D98">
        <v>1470000</v>
      </c>
      <c r="E98" t="s">
        <v>424</v>
      </c>
    </row>
    <row r="99" spans="1:5" x14ac:dyDescent="0.25">
      <c r="A99" s="14">
        <v>42498.461041666669</v>
      </c>
      <c r="B99" t="s">
        <v>64</v>
      </c>
      <c r="C99" t="s">
        <v>208</v>
      </c>
      <c r="D99">
        <v>1300000</v>
      </c>
      <c r="E99" t="s">
        <v>78</v>
      </c>
    </row>
    <row r="100" spans="1:5" x14ac:dyDescent="0.25">
      <c r="A100" s="14">
        <v>42498.461655092593</v>
      </c>
      <c r="B100" t="s">
        <v>76</v>
      </c>
      <c r="C100" t="s">
        <v>272</v>
      </c>
      <c r="D100">
        <v>1260000</v>
      </c>
      <c r="E100" t="s">
        <v>416</v>
      </c>
    </row>
    <row r="101" spans="1:5" x14ac:dyDescent="0.25">
      <c r="A101" s="14">
        <v>42498.46230324074</v>
      </c>
      <c r="B101" t="s">
        <v>67</v>
      </c>
      <c r="C101" t="s">
        <v>194</v>
      </c>
      <c r="D101">
        <v>1430000</v>
      </c>
      <c r="E101" t="s">
        <v>152</v>
      </c>
    </row>
    <row r="102" spans="1:5" x14ac:dyDescent="0.25">
      <c r="A102" s="14">
        <v>42498.462731481479</v>
      </c>
      <c r="B102" t="s">
        <v>412</v>
      </c>
      <c r="C102" t="s">
        <v>280</v>
      </c>
      <c r="D102">
        <v>1470000</v>
      </c>
      <c r="E102" t="s">
        <v>424</v>
      </c>
    </row>
    <row r="103" spans="1:5" x14ac:dyDescent="0.25">
      <c r="A103" s="14">
        <v>42498.47079861111</v>
      </c>
      <c r="B103" t="s">
        <v>57</v>
      </c>
      <c r="C103" t="s">
        <v>199</v>
      </c>
      <c r="D103">
        <v>1360000</v>
      </c>
      <c r="E103" t="s">
        <v>154</v>
      </c>
    </row>
    <row r="104" spans="1:5" x14ac:dyDescent="0.25">
      <c r="A104" s="14">
        <v>42498.472974537035</v>
      </c>
      <c r="B104" t="s">
        <v>70</v>
      </c>
      <c r="C104" t="s">
        <v>282</v>
      </c>
      <c r="D104">
        <v>940000</v>
      </c>
      <c r="E104" t="s">
        <v>413</v>
      </c>
    </row>
    <row r="105" spans="1:5" x14ac:dyDescent="0.25">
      <c r="A105" s="14">
        <v>42498.473101851851</v>
      </c>
      <c r="B105" t="s">
        <v>59</v>
      </c>
      <c r="C105" t="s">
        <v>274</v>
      </c>
      <c r="D105">
        <v>1100000</v>
      </c>
      <c r="E105" t="s">
        <v>75</v>
      </c>
    </row>
    <row r="106" spans="1:5" x14ac:dyDescent="0.25">
      <c r="A106" s="14">
        <v>42498.475046296298</v>
      </c>
      <c r="B106" t="s">
        <v>70</v>
      </c>
      <c r="C106" t="s">
        <v>282</v>
      </c>
      <c r="D106">
        <v>940000</v>
      </c>
      <c r="E106" t="s">
        <v>413</v>
      </c>
    </row>
    <row r="107" spans="1:5" x14ac:dyDescent="0.25">
      <c r="A107" s="14">
        <v>42498.476053240738</v>
      </c>
      <c r="B107" t="s">
        <v>70</v>
      </c>
      <c r="C107" t="s">
        <v>282</v>
      </c>
      <c r="D107">
        <v>940000</v>
      </c>
      <c r="E107" t="s">
        <v>413</v>
      </c>
    </row>
    <row r="108" spans="1:5" x14ac:dyDescent="0.25">
      <c r="A108" s="14">
        <v>42498.479594907411</v>
      </c>
      <c r="B108" t="s">
        <v>80</v>
      </c>
      <c r="C108" t="s">
        <v>212</v>
      </c>
      <c r="D108">
        <v>1450000</v>
      </c>
      <c r="E108" t="s">
        <v>430</v>
      </c>
    </row>
    <row r="109" spans="1:5" x14ac:dyDescent="0.25">
      <c r="A109" s="14">
        <v>42498.480115740742</v>
      </c>
      <c r="B109" t="s">
        <v>77</v>
      </c>
      <c r="C109" t="s">
        <v>202</v>
      </c>
      <c r="D109">
        <v>1310000</v>
      </c>
      <c r="E109" t="s">
        <v>81</v>
      </c>
    </row>
    <row r="110" spans="1:5" x14ac:dyDescent="0.25">
      <c r="A110" s="14">
        <v>42498.483865740738</v>
      </c>
      <c r="B110" t="s">
        <v>63</v>
      </c>
      <c r="C110" t="s">
        <v>216</v>
      </c>
      <c r="D110">
        <v>1480000</v>
      </c>
      <c r="E110" t="s">
        <v>415</v>
      </c>
    </row>
    <row r="111" spans="1:5" x14ac:dyDescent="0.25">
      <c r="A111" s="14">
        <v>42498.484212962961</v>
      </c>
      <c r="B111" t="s">
        <v>82</v>
      </c>
      <c r="C111" t="s">
        <v>276</v>
      </c>
      <c r="D111">
        <v>1190000</v>
      </c>
      <c r="E111" t="s">
        <v>429</v>
      </c>
    </row>
    <row r="112" spans="1:5" x14ac:dyDescent="0.25">
      <c r="A112" s="14">
        <v>42498.484375</v>
      </c>
      <c r="B112" t="s">
        <v>79</v>
      </c>
      <c r="C112" t="s">
        <v>284</v>
      </c>
      <c r="D112">
        <v>1500000</v>
      </c>
      <c r="E112" t="s">
        <v>428</v>
      </c>
    </row>
    <row r="113" spans="1:5" x14ac:dyDescent="0.25">
      <c r="A113" s="14">
        <v>42498.492800925924</v>
      </c>
      <c r="B113" t="s">
        <v>68</v>
      </c>
      <c r="C113" t="s">
        <v>278</v>
      </c>
      <c r="D113">
        <v>1450000</v>
      </c>
      <c r="E113" t="s">
        <v>430</v>
      </c>
    </row>
    <row r="114" spans="1:5" x14ac:dyDescent="0.25">
      <c r="A114" s="14">
        <v>42498.49287037037</v>
      </c>
      <c r="B114" t="s">
        <v>76</v>
      </c>
      <c r="C114" t="s">
        <v>206</v>
      </c>
      <c r="D114">
        <v>1100000</v>
      </c>
      <c r="E114" t="s">
        <v>75</v>
      </c>
    </row>
    <row r="115" spans="1:5" x14ac:dyDescent="0.25">
      <c r="A115" s="14">
        <v>42498.494490740741</v>
      </c>
      <c r="B115" t="s">
        <v>76</v>
      </c>
      <c r="C115" t="s">
        <v>206</v>
      </c>
      <c r="D115">
        <v>1100000</v>
      </c>
      <c r="E115" t="s">
        <v>75</v>
      </c>
    </row>
    <row r="116" spans="1:5" x14ac:dyDescent="0.25">
      <c r="A116" s="14">
        <v>42498.495416666665</v>
      </c>
      <c r="B116" t="s">
        <v>76</v>
      </c>
      <c r="C116" t="s">
        <v>206</v>
      </c>
      <c r="D116">
        <v>1100000</v>
      </c>
      <c r="E116" t="s">
        <v>75</v>
      </c>
    </row>
    <row r="117" spans="1:5" x14ac:dyDescent="0.25">
      <c r="A117" s="14">
        <v>42498.49596064815</v>
      </c>
      <c r="B117" t="s">
        <v>153</v>
      </c>
      <c r="C117" t="s">
        <v>286</v>
      </c>
      <c r="D117">
        <v>1260000</v>
      </c>
      <c r="E117" t="s">
        <v>416</v>
      </c>
    </row>
    <row r="118" spans="1:5" x14ac:dyDescent="0.25">
      <c r="A118" s="14">
        <v>42498.49628472222</v>
      </c>
      <c r="B118" t="s">
        <v>412</v>
      </c>
      <c r="C118" t="s">
        <v>222</v>
      </c>
      <c r="D118">
        <v>1430000</v>
      </c>
      <c r="E118" t="s">
        <v>152</v>
      </c>
    </row>
    <row r="119" spans="1:5" x14ac:dyDescent="0.25">
      <c r="A119" s="14">
        <v>42498.502974537034</v>
      </c>
      <c r="B119" t="s">
        <v>59</v>
      </c>
      <c r="C119" t="s">
        <v>210</v>
      </c>
      <c r="D119">
        <v>1300000</v>
      </c>
      <c r="E119" t="s">
        <v>78</v>
      </c>
    </row>
    <row r="120" spans="1:5" x14ac:dyDescent="0.25">
      <c r="A120" s="14">
        <v>42498.503020833334</v>
      </c>
      <c r="B120" t="s">
        <v>427</v>
      </c>
      <c r="C120" t="s">
        <v>281</v>
      </c>
      <c r="D120">
        <v>1470000</v>
      </c>
      <c r="E120" t="s">
        <v>424</v>
      </c>
    </row>
    <row r="121" spans="1:5" x14ac:dyDescent="0.25">
      <c r="A121" s="14">
        <v>42498.504374999997</v>
      </c>
      <c r="B121" t="s">
        <v>427</v>
      </c>
      <c r="C121" t="s">
        <v>281</v>
      </c>
      <c r="D121">
        <v>1470000</v>
      </c>
      <c r="E121" t="s">
        <v>424</v>
      </c>
    </row>
    <row r="122" spans="1:5" x14ac:dyDescent="0.25">
      <c r="A122" s="14">
        <v>42498.506909722222</v>
      </c>
      <c r="B122" t="s">
        <v>57</v>
      </c>
      <c r="C122" t="s">
        <v>283</v>
      </c>
      <c r="D122">
        <v>940000</v>
      </c>
      <c r="E122" t="s">
        <v>413</v>
      </c>
    </row>
    <row r="123" spans="1:5" x14ac:dyDescent="0.25">
      <c r="A123" s="14">
        <v>42498.507581018515</v>
      </c>
      <c r="B123" t="s">
        <v>70</v>
      </c>
      <c r="C123" t="s">
        <v>226</v>
      </c>
      <c r="D123">
        <v>1360000</v>
      </c>
      <c r="E123" t="s">
        <v>154</v>
      </c>
    </row>
    <row r="124" spans="1:5" x14ac:dyDescent="0.25">
      <c r="A124" s="14">
        <v>42498.509143518517</v>
      </c>
      <c r="B124" t="s">
        <v>70</v>
      </c>
      <c r="C124" t="s">
        <v>226</v>
      </c>
      <c r="D124">
        <v>1360000</v>
      </c>
      <c r="E124" t="s">
        <v>154</v>
      </c>
    </row>
    <row r="125" spans="1:5" x14ac:dyDescent="0.25">
      <c r="A125" s="14">
        <v>42498.510671296295</v>
      </c>
      <c r="B125" t="s">
        <v>64</v>
      </c>
      <c r="C125" t="s">
        <v>288</v>
      </c>
      <c r="D125">
        <v>880000</v>
      </c>
      <c r="E125" t="s">
        <v>72</v>
      </c>
    </row>
    <row r="126" spans="1:5" x14ac:dyDescent="0.25">
      <c r="A126" s="14">
        <v>42498.511840277781</v>
      </c>
      <c r="B126" t="s">
        <v>82</v>
      </c>
      <c r="C126" t="s">
        <v>214</v>
      </c>
      <c r="D126">
        <v>1450000</v>
      </c>
      <c r="E126" t="s">
        <v>430</v>
      </c>
    </row>
    <row r="127" spans="1:5" x14ac:dyDescent="0.25">
      <c r="A127" s="14">
        <v>42498.519212962965</v>
      </c>
      <c r="B127" t="s">
        <v>80</v>
      </c>
      <c r="C127" t="s">
        <v>290</v>
      </c>
      <c r="D127">
        <v>1190000</v>
      </c>
      <c r="E127" t="s">
        <v>429</v>
      </c>
    </row>
    <row r="128" spans="1:5" x14ac:dyDescent="0.25">
      <c r="A128" s="14">
        <v>42498.526597222219</v>
      </c>
      <c r="B128" t="s">
        <v>77</v>
      </c>
      <c r="C128" t="s">
        <v>285</v>
      </c>
      <c r="D128">
        <v>1500000</v>
      </c>
      <c r="E128" t="s">
        <v>428</v>
      </c>
    </row>
    <row r="129" spans="1:5" x14ac:dyDescent="0.25">
      <c r="A129" s="14">
        <v>42498.531354166669</v>
      </c>
      <c r="B129" t="s">
        <v>63</v>
      </c>
      <c r="C129" t="s">
        <v>292</v>
      </c>
      <c r="D129">
        <v>950000</v>
      </c>
      <c r="E129" t="s">
        <v>414</v>
      </c>
    </row>
    <row r="130" spans="1:5" x14ac:dyDescent="0.25">
      <c r="A130" s="14">
        <v>42498.534317129626</v>
      </c>
      <c r="B130" t="s">
        <v>76</v>
      </c>
      <c r="C130" t="s">
        <v>287</v>
      </c>
      <c r="D130">
        <v>1260000</v>
      </c>
      <c r="E130" t="s">
        <v>416</v>
      </c>
    </row>
    <row r="131" spans="1:5" x14ac:dyDescent="0.25">
      <c r="A131" s="14">
        <v>42498.536481481482</v>
      </c>
      <c r="B131" t="s">
        <v>412</v>
      </c>
      <c r="C131" t="s">
        <v>294</v>
      </c>
      <c r="D131">
        <v>1470000</v>
      </c>
      <c r="E131" t="s">
        <v>424</v>
      </c>
    </row>
    <row r="132" spans="1:5" x14ac:dyDescent="0.25">
      <c r="A132" s="14">
        <v>42498.537835648145</v>
      </c>
      <c r="B132" t="s">
        <v>412</v>
      </c>
      <c r="C132" t="s">
        <v>294</v>
      </c>
      <c r="D132">
        <v>1470000</v>
      </c>
      <c r="E132" t="s">
        <v>424</v>
      </c>
    </row>
    <row r="133" spans="1:5" x14ac:dyDescent="0.25">
      <c r="A133" s="14">
        <v>42498.547164351854</v>
      </c>
      <c r="B133" t="s">
        <v>59</v>
      </c>
      <c r="C133" t="s">
        <v>289</v>
      </c>
      <c r="D133">
        <v>880000</v>
      </c>
      <c r="E133" t="s">
        <v>72</v>
      </c>
    </row>
    <row r="134" spans="1:5" x14ac:dyDescent="0.25">
      <c r="A134" s="14">
        <v>42498.547835648147</v>
      </c>
      <c r="B134" t="s">
        <v>70</v>
      </c>
      <c r="C134" t="s">
        <v>296</v>
      </c>
      <c r="D134">
        <v>940000</v>
      </c>
      <c r="E134" t="s">
        <v>413</v>
      </c>
    </row>
    <row r="135" spans="1:5" x14ac:dyDescent="0.25">
      <c r="A135" s="14">
        <v>42498.549004629633</v>
      </c>
      <c r="B135" t="s">
        <v>70</v>
      </c>
      <c r="C135" t="s">
        <v>296</v>
      </c>
      <c r="D135">
        <v>940000</v>
      </c>
      <c r="E135" t="s">
        <v>413</v>
      </c>
    </row>
    <row r="136" spans="1:5" x14ac:dyDescent="0.25">
      <c r="A136" s="14">
        <v>42498.551412037035</v>
      </c>
      <c r="B136" t="s">
        <v>82</v>
      </c>
      <c r="C136" t="s">
        <v>291</v>
      </c>
      <c r="D136">
        <v>1190000</v>
      </c>
      <c r="E136" t="s">
        <v>429</v>
      </c>
    </row>
    <row r="137" spans="1:5" x14ac:dyDescent="0.25">
      <c r="A137" s="14">
        <v>42498.558854166666</v>
      </c>
      <c r="B137" t="s">
        <v>79</v>
      </c>
      <c r="C137" t="s">
        <v>300</v>
      </c>
      <c r="D137">
        <v>1500000</v>
      </c>
      <c r="E137" t="s">
        <v>428</v>
      </c>
    </row>
    <row r="138" spans="1:5" x14ac:dyDescent="0.25">
      <c r="A138" s="14">
        <v>42498.566944444443</v>
      </c>
      <c r="B138" t="s">
        <v>68</v>
      </c>
      <c r="C138" t="s">
        <v>293</v>
      </c>
      <c r="D138">
        <v>950000</v>
      </c>
      <c r="E138" t="s">
        <v>414</v>
      </c>
    </row>
    <row r="139" spans="1:5" x14ac:dyDescent="0.25">
      <c r="A139" s="14">
        <v>42498.568124999998</v>
      </c>
      <c r="B139" t="s">
        <v>153</v>
      </c>
      <c r="C139" t="s">
        <v>304</v>
      </c>
      <c r="D139">
        <v>1260000</v>
      </c>
      <c r="E139" t="s">
        <v>416</v>
      </c>
    </row>
    <row r="140" spans="1:5" x14ac:dyDescent="0.25">
      <c r="A140" s="14">
        <v>42498.575671296298</v>
      </c>
      <c r="B140" t="s">
        <v>427</v>
      </c>
      <c r="C140" t="s">
        <v>295</v>
      </c>
      <c r="D140">
        <v>1470000</v>
      </c>
      <c r="E140" t="s">
        <v>424</v>
      </c>
    </row>
    <row r="141" spans="1:5" x14ac:dyDescent="0.25">
      <c r="A141" s="14">
        <v>42498.579641203702</v>
      </c>
      <c r="B141" t="s">
        <v>64</v>
      </c>
      <c r="C141" t="s">
        <v>309</v>
      </c>
      <c r="D141">
        <v>880000</v>
      </c>
      <c r="E141" t="s">
        <v>72</v>
      </c>
    </row>
    <row r="142" spans="1:5" x14ac:dyDescent="0.25">
      <c r="A142" s="14">
        <v>42498.580266203702</v>
      </c>
      <c r="B142" t="s">
        <v>64</v>
      </c>
      <c r="C142" t="s">
        <v>307</v>
      </c>
      <c r="D142">
        <v>880000</v>
      </c>
      <c r="E142" t="s">
        <v>72</v>
      </c>
    </row>
    <row r="143" spans="1:5" x14ac:dyDescent="0.25">
      <c r="A143" s="14">
        <v>42498.582349537035</v>
      </c>
      <c r="B143" t="s">
        <v>57</v>
      </c>
      <c r="C143" t="s">
        <v>298</v>
      </c>
      <c r="D143">
        <v>940000</v>
      </c>
      <c r="E143" t="s">
        <v>413</v>
      </c>
    </row>
    <row r="144" spans="1:5" x14ac:dyDescent="0.25">
      <c r="A144" s="14">
        <v>42498.588807870372</v>
      </c>
      <c r="B144" t="s">
        <v>80</v>
      </c>
      <c r="C144" t="s">
        <v>311</v>
      </c>
      <c r="D144">
        <v>1190000</v>
      </c>
      <c r="E144" t="s">
        <v>429</v>
      </c>
    </row>
    <row r="145" spans="1:5" x14ac:dyDescent="0.25">
      <c r="A145" s="14">
        <v>42498.597858796296</v>
      </c>
      <c r="B145" t="s">
        <v>77</v>
      </c>
      <c r="C145" t="s">
        <v>302</v>
      </c>
      <c r="D145">
        <v>1500000</v>
      </c>
      <c r="E145" t="s">
        <v>428</v>
      </c>
    </row>
    <row r="146" spans="1:5" x14ac:dyDescent="0.25">
      <c r="A146" s="14">
        <v>42498.598425925928</v>
      </c>
      <c r="B146" t="s">
        <v>63</v>
      </c>
      <c r="C146" t="s">
        <v>314</v>
      </c>
      <c r="D146">
        <v>950000</v>
      </c>
      <c r="E146" t="s">
        <v>414</v>
      </c>
    </row>
    <row r="147" spans="1:5" x14ac:dyDescent="0.25">
      <c r="A147" s="14">
        <v>42498.606377314813</v>
      </c>
      <c r="B147" t="s">
        <v>76</v>
      </c>
      <c r="C147" t="s">
        <v>306</v>
      </c>
      <c r="D147">
        <v>1260000</v>
      </c>
      <c r="E147" t="s">
        <v>416</v>
      </c>
    </row>
    <row r="148" spans="1:5" x14ac:dyDescent="0.25">
      <c r="A148" s="14">
        <v>42498.609791666669</v>
      </c>
      <c r="B148" t="s">
        <v>412</v>
      </c>
      <c r="C148" t="s">
        <v>316</v>
      </c>
      <c r="D148">
        <v>1470000</v>
      </c>
      <c r="E148" t="s">
        <v>424</v>
      </c>
    </row>
    <row r="149" spans="1:5" x14ac:dyDescent="0.25">
      <c r="A149" s="14">
        <v>42498.610879629632</v>
      </c>
      <c r="B149" t="s">
        <v>412</v>
      </c>
      <c r="C149" t="s">
        <v>316</v>
      </c>
      <c r="D149">
        <v>1470000</v>
      </c>
      <c r="E149" t="s">
        <v>424</v>
      </c>
    </row>
    <row r="150" spans="1:5" x14ac:dyDescent="0.25">
      <c r="A150" s="14">
        <v>42498.618564814817</v>
      </c>
      <c r="B150" t="s">
        <v>59</v>
      </c>
      <c r="C150" t="s">
        <v>309</v>
      </c>
      <c r="D150">
        <v>880000</v>
      </c>
      <c r="E150" t="s">
        <v>72</v>
      </c>
    </row>
    <row r="151" spans="1:5" x14ac:dyDescent="0.25">
      <c r="A151" s="14">
        <v>42498.618611111109</v>
      </c>
      <c r="B151" t="s">
        <v>70</v>
      </c>
      <c r="C151" t="s">
        <v>318</v>
      </c>
      <c r="D151">
        <v>940000</v>
      </c>
      <c r="E151" t="s">
        <v>413</v>
      </c>
    </row>
    <row r="152" spans="1:5" x14ac:dyDescent="0.25">
      <c r="A152" s="14">
        <v>42498.626469907409</v>
      </c>
      <c r="B152" t="s">
        <v>82</v>
      </c>
      <c r="C152" t="s">
        <v>313</v>
      </c>
      <c r="D152">
        <v>1190000</v>
      </c>
      <c r="E152" t="s">
        <v>429</v>
      </c>
    </row>
    <row r="153" spans="1:5" x14ac:dyDescent="0.25">
      <c r="A153" s="14">
        <v>42498.633032407408</v>
      </c>
      <c r="B153" t="s">
        <v>79</v>
      </c>
      <c r="C153" t="s">
        <v>324</v>
      </c>
      <c r="D153">
        <v>1500000</v>
      </c>
      <c r="E153" t="s">
        <v>428</v>
      </c>
    </row>
    <row r="154" spans="1:5" x14ac:dyDescent="0.25">
      <c r="A154" s="14">
        <v>42498.63721064815</v>
      </c>
      <c r="B154" t="s">
        <v>70</v>
      </c>
      <c r="C154" t="s">
        <v>318</v>
      </c>
      <c r="D154">
        <v>940000</v>
      </c>
      <c r="E154" t="s">
        <v>413</v>
      </c>
    </row>
    <row r="155" spans="1:5" x14ac:dyDescent="0.25">
      <c r="A155" s="14">
        <v>42498.639606481483</v>
      </c>
      <c r="B155" t="s">
        <v>68</v>
      </c>
      <c r="C155" t="s">
        <v>315</v>
      </c>
      <c r="D155">
        <v>950000</v>
      </c>
      <c r="E155" t="s">
        <v>414</v>
      </c>
    </row>
    <row r="156" spans="1:5" x14ac:dyDescent="0.25">
      <c r="A156" s="14">
        <v>42498.64099537037</v>
      </c>
      <c r="B156" t="s">
        <v>153</v>
      </c>
      <c r="C156" t="s">
        <v>328</v>
      </c>
      <c r="D156">
        <v>1260000</v>
      </c>
      <c r="E156" t="s">
        <v>416</v>
      </c>
    </row>
    <row r="157" spans="1:5" x14ac:dyDescent="0.25">
      <c r="A157" s="14">
        <v>42498.648912037039</v>
      </c>
      <c r="B157" t="s">
        <v>427</v>
      </c>
      <c r="C157" t="s">
        <v>317</v>
      </c>
      <c r="D157">
        <v>1470000</v>
      </c>
      <c r="E157" t="s">
        <v>424</v>
      </c>
    </row>
    <row r="158" spans="1:5" x14ac:dyDescent="0.25">
      <c r="A158" s="14">
        <v>42498.651250000003</v>
      </c>
      <c r="B158" t="s">
        <v>64</v>
      </c>
      <c r="C158" t="s">
        <v>330</v>
      </c>
      <c r="D158">
        <v>880000</v>
      </c>
      <c r="E158" t="s">
        <v>72</v>
      </c>
    </row>
    <row r="159" spans="1:5" x14ac:dyDescent="0.25">
      <c r="A159" s="14">
        <v>42498.660949074074</v>
      </c>
      <c r="B159" t="s">
        <v>57</v>
      </c>
      <c r="C159" t="s">
        <v>322</v>
      </c>
      <c r="D159">
        <v>940000</v>
      </c>
      <c r="E159" t="s">
        <v>413</v>
      </c>
    </row>
    <row r="160" spans="1:5" x14ac:dyDescent="0.25">
      <c r="A160" s="14">
        <v>42498.663900462961</v>
      </c>
      <c r="B160" t="s">
        <v>80</v>
      </c>
      <c r="C160" t="s">
        <v>333</v>
      </c>
      <c r="D160">
        <v>1490000</v>
      </c>
      <c r="E160" t="s">
        <v>436</v>
      </c>
    </row>
    <row r="161" spans="1:5" x14ac:dyDescent="0.25">
      <c r="A161" s="14">
        <v>42498.672002314815</v>
      </c>
      <c r="B161" t="s">
        <v>77</v>
      </c>
      <c r="C161" t="s">
        <v>326</v>
      </c>
      <c r="D161">
        <v>1500000</v>
      </c>
      <c r="E161" t="s">
        <v>428</v>
      </c>
    </row>
    <row r="162" spans="1:5" x14ac:dyDescent="0.25">
      <c r="A162" s="14">
        <v>42498.674097222225</v>
      </c>
      <c r="B162" t="s">
        <v>63</v>
      </c>
      <c r="C162" t="s">
        <v>335</v>
      </c>
      <c r="D162">
        <v>950000</v>
      </c>
      <c r="E162" t="s">
        <v>414</v>
      </c>
    </row>
    <row r="163" spans="1:5" x14ac:dyDescent="0.25">
      <c r="A163" s="14">
        <v>42498.680439814816</v>
      </c>
      <c r="B163" t="s">
        <v>76</v>
      </c>
      <c r="C163" t="s">
        <v>329</v>
      </c>
      <c r="D163">
        <v>1260000</v>
      </c>
      <c r="E163" t="s">
        <v>416</v>
      </c>
    </row>
    <row r="164" spans="1:5" x14ac:dyDescent="0.25">
      <c r="A164" s="14">
        <v>42498.68304398148</v>
      </c>
      <c r="B164" t="s">
        <v>412</v>
      </c>
      <c r="C164" t="s">
        <v>339</v>
      </c>
      <c r="D164">
        <v>1470000</v>
      </c>
      <c r="E164" t="s">
        <v>424</v>
      </c>
    </row>
    <row r="165" spans="1:5" x14ac:dyDescent="0.25">
      <c r="A165" s="14">
        <v>42498.684131944443</v>
      </c>
      <c r="B165" t="s">
        <v>412</v>
      </c>
      <c r="C165" t="s">
        <v>339</v>
      </c>
      <c r="D165">
        <v>1470000</v>
      </c>
      <c r="E165" t="s">
        <v>424</v>
      </c>
    </row>
    <row r="166" spans="1:5" x14ac:dyDescent="0.25">
      <c r="A166" s="14">
        <v>42498.692002314812</v>
      </c>
      <c r="B166" t="s">
        <v>70</v>
      </c>
      <c r="C166" t="s">
        <v>344</v>
      </c>
      <c r="D166">
        <v>940000</v>
      </c>
      <c r="E166" t="s">
        <v>413</v>
      </c>
    </row>
    <row r="167" spans="1:5" x14ac:dyDescent="0.25">
      <c r="A167" s="14">
        <v>42498.692615740743</v>
      </c>
      <c r="B167" t="s">
        <v>59</v>
      </c>
      <c r="C167" t="s">
        <v>332</v>
      </c>
      <c r="D167">
        <v>880000</v>
      </c>
      <c r="E167" t="s">
        <v>72</v>
      </c>
    </row>
    <row r="168" spans="1:5" x14ac:dyDescent="0.25">
      <c r="A168" s="14">
        <v>42498.699340277781</v>
      </c>
      <c r="B168" t="s">
        <v>82</v>
      </c>
      <c r="C168" t="s">
        <v>334</v>
      </c>
      <c r="D168">
        <v>1490000</v>
      </c>
      <c r="E168" t="s">
        <v>436</v>
      </c>
    </row>
    <row r="169" spans="1:5" x14ac:dyDescent="0.25">
      <c r="A169" s="14">
        <v>42498.702708333331</v>
      </c>
      <c r="B169" t="s">
        <v>79</v>
      </c>
      <c r="C169" t="s">
        <v>348</v>
      </c>
      <c r="D169">
        <v>1500000</v>
      </c>
      <c r="E169" t="s">
        <v>428</v>
      </c>
    </row>
    <row r="170" spans="1:5" x14ac:dyDescent="0.25">
      <c r="A170" s="14">
        <v>42498.710949074077</v>
      </c>
      <c r="B170" t="s">
        <v>68</v>
      </c>
      <c r="C170" t="s">
        <v>337</v>
      </c>
      <c r="D170">
        <v>950000</v>
      </c>
      <c r="E170" t="s">
        <v>414</v>
      </c>
    </row>
    <row r="171" spans="1:5" x14ac:dyDescent="0.25">
      <c r="A171" s="14">
        <v>42498.71471064815</v>
      </c>
      <c r="B171" t="s">
        <v>153</v>
      </c>
      <c r="C171" t="s">
        <v>352</v>
      </c>
      <c r="D171">
        <v>1510000</v>
      </c>
      <c r="E171" t="s">
        <v>434</v>
      </c>
    </row>
    <row r="172" spans="1:5" x14ac:dyDescent="0.25">
      <c r="A172" s="14">
        <v>42498.720821759256</v>
      </c>
      <c r="B172" t="s">
        <v>427</v>
      </c>
      <c r="C172" t="s">
        <v>342</v>
      </c>
      <c r="D172">
        <v>1470000</v>
      </c>
      <c r="E172" t="s">
        <v>424</v>
      </c>
    </row>
    <row r="173" spans="1:5" x14ac:dyDescent="0.25">
      <c r="A173" s="14">
        <v>42498.726168981484</v>
      </c>
      <c r="B173" t="s">
        <v>64</v>
      </c>
      <c r="C173" t="s">
        <v>355</v>
      </c>
      <c r="D173">
        <v>880000</v>
      </c>
      <c r="E173" t="s">
        <v>72</v>
      </c>
    </row>
    <row r="174" spans="1:5" x14ac:dyDescent="0.25">
      <c r="A174" s="14">
        <v>42498.730312500003</v>
      </c>
      <c r="B174" t="s">
        <v>57</v>
      </c>
      <c r="C174" t="s">
        <v>346</v>
      </c>
      <c r="D174">
        <v>940000</v>
      </c>
      <c r="E174" t="s">
        <v>413</v>
      </c>
    </row>
    <row r="175" spans="1:5" x14ac:dyDescent="0.25">
      <c r="A175" s="14">
        <v>42498.73704861111</v>
      </c>
      <c r="B175" t="s">
        <v>80</v>
      </c>
      <c r="C175" t="s">
        <v>357</v>
      </c>
      <c r="D175">
        <v>1140000</v>
      </c>
      <c r="E175" t="s">
        <v>73</v>
      </c>
    </row>
    <row r="176" spans="1:5" x14ac:dyDescent="0.25">
      <c r="A176" s="14">
        <v>42498.744629629633</v>
      </c>
      <c r="B176" t="s">
        <v>77</v>
      </c>
      <c r="C176" t="s">
        <v>350</v>
      </c>
      <c r="D176">
        <v>1500000</v>
      </c>
      <c r="E176" t="s">
        <v>428</v>
      </c>
    </row>
    <row r="177" spans="1:5" x14ac:dyDescent="0.25">
      <c r="A177" s="14">
        <v>42498.747094907405</v>
      </c>
      <c r="B177" t="s">
        <v>69</v>
      </c>
      <c r="C177" t="s">
        <v>359</v>
      </c>
      <c r="D177">
        <v>950000</v>
      </c>
      <c r="E177" t="s">
        <v>414</v>
      </c>
    </row>
    <row r="178" spans="1:5" x14ac:dyDescent="0.25">
      <c r="A178" s="14">
        <v>42498.751597222225</v>
      </c>
      <c r="B178" t="s">
        <v>76</v>
      </c>
      <c r="C178" t="s">
        <v>354</v>
      </c>
      <c r="D178">
        <v>1510000</v>
      </c>
      <c r="E178" t="s">
        <v>434</v>
      </c>
    </row>
    <row r="179" spans="1:5" x14ac:dyDescent="0.25">
      <c r="A179" s="14">
        <v>42498.757210648146</v>
      </c>
      <c r="B179" t="s">
        <v>412</v>
      </c>
      <c r="C179" t="s">
        <v>363</v>
      </c>
      <c r="D179">
        <v>1440000</v>
      </c>
      <c r="E179" t="s">
        <v>419</v>
      </c>
    </row>
    <row r="180" spans="1:5" x14ac:dyDescent="0.25">
      <c r="A180" s="14">
        <v>42498.76734953704</v>
      </c>
      <c r="B180" t="s">
        <v>59</v>
      </c>
      <c r="C180" t="s">
        <v>356</v>
      </c>
      <c r="D180">
        <v>880000</v>
      </c>
      <c r="E180" t="s">
        <v>72</v>
      </c>
    </row>
    <row r="181" spans="1:5" x14ac:dyDescent="0.25">
      <c r="A181" s="14">
        <v>42498.767546296294</v>
      </c>
      <c r="B181" t="s">
        <v>70</v>
      </c>
      <c r="C181" t="s">
        <v>367</v>
      </c>
      <c r="D181">
        <v>1280000</v>
      </c>
      <c r="E181" t="s">
        <v>74</v>
      </c>
    </row>
    <row r="182" spans="1:5" x14ac:dyDescent="0.25">
      <c r="A182" s="14">
        <v>42498.770358796297</v>
      </c>
      <c r="B182" t="s">
        <v>82</v>
      </c>
      <c r="C182" t="s">
        <v>358</v>
      </c>
      <c r="D182">
        <v>1140000</v>
      </c>
      <c r="E182" t="s">
        <v>73</v>
      </c>
    </row>
    <row r="183" spans="1:5" x14ac:dyDescent="0.25">
      <c r="A183" s="14">
        <v>42498.786076388889</v>
      </c>
      <c r="B183" t="s">
        <v>67</v>
      </c>
      <c r="C183" t="s">
        <v>361</v>
      </c>
      <c r="D183">
        <v>950000</v>
      </c>
      <c r="E183" t="s">
        <v>414</v>
      </c>
    </row>
    <row r="184" spans="1:5" x14ac:dyDescent="0.25">
      <c r="A184" s="14">
        <v>42498.78707175926</v>
      </c>
      <c r="B184" t="s">
        <v>153</v>
      </c>
      <c r="C184" t="s">
        <v>370</v>
      </c>
      <c r="D184">
        <v>1510000</v>
      </c>
      <c r="E184" t="s">
        <v>434</v>
      </c>
    </row>
    <row r="185" spans="1:5" x14ac:dyDescent="0.25">
      <c r="A185" s="14">
        <v>42498.787152777775</v>
      </c>
      <c r="B185" t="s">
        <v>67</v>
      </c>
      <c r="C185" t="s">
        <v>361</v>
      </c>
      <c r="D185">
        <v>950000</v>
      </c>
      <c r="E185" t="s">
        <v>414</v>
      </c>
    </row>
    <row r="186" spans="1:5" x14ac:dyDescent="0.25">
      <c r="A186" s="14">
        <v>42498.793564814812</v>
      </c>
      <c r="B186" t="s">
        <v>427</v>
      </c>
      <c r="C186" t="s">
        <v>365</v>
      </c>
      <c r="D186">
        <v>1440000</v>
      </c>
      <c r="E186" t="s">
        <v>419</v>
      </c>
    </row>
    <row r="187" spans="1:5" x14ac:dyDescent="0.25">
      <c r="A187" s="14">
        <v>42498.799803240741</v>
      </c>
      <c r="B187" t="s">
        <v>64</v>
      </c>
      <c r="C187" t="s">
        <v>437</v>
      </c>
      <c r="D187">
        <v>880000</v>
      </c>
      <c r="E187" t="s">
        <v>72</v>
      </c>
    </row>
    <row r="188" spans="1:5" x14ac:dyDescent="0.25">
      <c r="A188" s="14">
        <v>42498.804178240738</v>
      </c>
      <c r="B188" t="s">
        <v>57</v>
      </c>
      <c r="C188" t="s">
        <v>369</v>
      </c>
      <c r="D188">
        <v>1280000</v>
      </c>
      <c r="E188" t="s">
        <v>74</v>
      </c>
    </row>
    <row r="189" spans="1:5" x14ac:dyDescent="0.25">
      <c r="A189" s="14">
        <v>42498.810833333337</v>
      </c>
      <c r="B189" t="s">
        <v>80</v>
      </c>
      <c r="C189" t="s">
        <v>372</v>
      </c>
      <c r="D189">
        <v>1140000</v>
      </c>
      <c r="E189" t="s">
        <v>73</v>
      </c>
    </row>
    <row r="190" spans="1:5" x14ac:dyDescent="0.25">
      <c r="A190" s="14">
        <v>42498.823541666665</v>
      </c>
      <c r="B190" t="s">
        <v>76</v>
      </c>
      <c r="C190" t="s">
        <v>371</v>
      </c>
      <c r="D190">
        <v>1510000</v>
      </c>
      <c r="E190" t="s">
        <v>434</v>
      </c>
    </row>
    <row r="191" spans="1:5" x14ac:dyDescent="0.25">
      <c r="A191" s="14">
        <v>42498.829074074078</v>
      </c>
      <c r="B191" t="s">
        <v>412</v>
      </c>
      <c r="C191" t="s">
        <v>374</v>
      </c>
      <c r="D191">
        <v>1440000</v>
      </c>
      <c r="E191" t="s">
        <v>419</v>
      </c>
    </row>
    <row r="192" spans="1:5" x14ac:dyDescent="0.25">
      <c r="A192" s="14">
        <v>42498.844386574077</v>
      </c>
      <c r="B192" t="s">
        <v>70</v>
      </c>
      <c r="C192" t="s">
        <v>376</v>
      </c>
      <c r="D192">
        <v>1280000</v>
      </c>
      <c r="E192" t="s">
        <v>74</v>
      </c>
    </row>
    <row r="193" spans="1:5" x14ac:dyDescent="0.25">
      <c r="A193" s="14">
        <v>42498.845601851855</v>
      </c>
      <c r="B193" t="s">
        <v>82</v>
      </c>
      <c r="C193" t="s">
        <v>373</v>
      </c>
      <c r="D193">
        <v>1140000</v>
      </c>
      <c r="E193" t="s">
        <v>73</v>
      </c>
    </row>
    <row r="194" spans="1:5" x14ac:dyDescent="0.25">
      <c r="A194" s="14">
        <v>42498.862766203703</v>
      </c>
      <c r="B194" t="s">
        <v>427</v>
      </c>
      <c r="C194" t="s">
        <v>375</v>
      </c>
      <c r="D194">
        <v>1440000</v>
      </c>
      <c r="E194" t="s">
        <v>419</v>
      </c>
    </row>
    <row r="195" spans="1:5" x14ac:dyDescent="0.25">
      <c r="A195" s="14">
        <v>42498.871435185189</v>
      </c>
      <c r="B195" t="s">
        <v>153</v>
      </c>
      <c r="C195" t="s">
        <v>381</v>
      </c>
      <c r="D195">
        <v>1510000</v>
      </c>
      <c r="E195" t="s">
        <v>434</v>
      </c>
    </row>
    <row r="196" spans="1:5" x14ac:dyDescent="0.25">
      <c r="A196" s="14">
        <v>42498.8828587963</v>
      </c>
      <c r="B196" t="s">
        <v>80</v>
      </c>
      <c r="C196" t="s">
        <v>383</v>
      </c>
      <c r="D196">
        <v>1140000</v>
      </c>
      <c r="E196" t="s">
        <v>73</v>
      </c>
    </row>
    <row r="197" spans="1:5" x14ac:dyDescent="0.25">
      <c r="A197" s="14">
        <v>42498.883946759262</v>
      </c>
      <c r="B197" t="s">
        <v>57</v>
      </c>
      <c r="C197" t="s">
        <v>378</v>
      </c>
      <c r="D197">
        <v>1280000</v>
      </c>
      <c r="E197" t="s">
        <v>74</v>
      </c>
    </row>
    <row r="198" spans="1:5" x14ac:dyDescent="0.25">
      <c r="A198" s="14">
        <v>42498.890405092592</v>
      </c>
      <c r="B198" t="s">
        <v>57</v>
      </c>
      <c r="C198" t="s">
        <v>378</v>
      </c>
      <c r="D198">
        <v>1280000</v>
      </c>
      <c r="E198" t="s">
        <v>74</v>
      </c>
    </row>
    <row r="199" spans="1:5" x14ac:dyDescent="0.25">
      <c r="A199" s="14">
        <v>42498.907152777778</v>
      </c>
      <c r="B199" t="s">
        <v>412</v>
      </c>
      <c r="C199" t="s">
        <v>386</v>
      </c>
      <c r="D199">
        <v>1440000</v>
      </c>
      <c r="E199" t="s">
        <v>419</v>
      </c>
    </row>
    <row r="200" spans="1:5" x14ac:dyDescent="0.25">
      <c r="A200" s="14">
        <v>42498.907997685186</v>
      </c>
      <c r="B200" t="s">
        <v>76</v>
      </c>
      <c r="C200" t="s">
        <v>382</v>
      </c>
      <c r="D200">
        <v>1510000</v>
      </c>
      <c r="E200" t="s">
        <v>434</v>
      </c>
    </row>
    <row r="201" spans="1:5" x14ac:dyDescent="0.25">
      <c r="A201" s="14">
        <v>42498.927106481482</v>
      </c>
      <c r="B201" t="s">
        <v>70</v>
      </c>
      <c r="C201" t="s">
        <v>388</v>
      </c>
      <c r="D201">
        <v>1280000</v>
      </c>
      <c r="E201" t="s">
        <v>74</v>
      </c>
    </row>
    <row r="202" spans="1:5" x14ac:dyDescent="0.25">
      <c r="A202" s="14">
        <v>42498.929039351853</v>
      </c>
      <c r="B202" t="s">
        <v>82</v>
      </c>
      <c r="C202" t="s">
        <v>384</v>
      </c>
      <c r="D202">
        <v>1140000</v>
      </c>
      <c r="E202" t="s">
        <v>73</v>
      </c>
    </row>
    <row r="203" spans="1:5" x14ac:dyDescent="0.25">
      <c r="A203" s="14">
        <v>42498.946527777778</v>
      </c>
      <c r="B203" t="s">
        <v>153</v>
      </c>
      <c r="C203" t="s">
        <v>391</v>
      </c>
      <c r="D203">
        <v>1510000</v>
      </c>
      <c r="E203" t="s">
        <v>434</v>
      </c>
    </row>
    <row r="204" spans="1:5" x14ac:dyDescent="0.25">
      <c r="A204" s="14">
        <v>42498.949826388889</v>
      </c>
      <c r="B204" t="s">
        <v>427</v>
      </c>
      <c r="C204" t="s">
        <v>387</v>
      </c>
      <c r="D204">
        <v>1440000</v>
      </c>
      <c r="E204" t="s">
        <v>419</v>
      </c>
    </row>
    <row r="205" spans="1:5" x14ac:dyDescent="0.25">
      <c r="A205" s="14">
        <v>42498.96603009259</v>
      </c>
      <c r="B205" t="s">
        <v>80</v>
      </c>
      <c r="C205" t="s">
        <v>393</v>
      </c>
      <c r="D205">
        <v>1140000</v>
      </c>
      <c r="E205" t="s">
        <v>73</v>
      </c>
    </row>
    <row r="206" spans="1:5" x14ac:dyDescent="0.25">
      <c r="A206" s="14">
        <v>42498.97047453704</v>
      </c>
      <c r="B206" t="s">
        <v>57</v>
      </c>
      <c r="C206" t="s">
        <v>390</v>
      </c>
      <c r="D206">
        <v>1280000</v>
      </c>
      <c r="E206" t="s">
        <v>74</v>
      </c>
    </row>
    <row r="207" spans="1:5" x14ac:dyDescent="0.25">
      <c r="A207" s="14">
        <v>42498.984097222223</v>
      </c>
      <c r="B207" t="s">
        <v>412</v>
      </c>
      <c r="C207" t="s">
        <v>396</v>
      </c>
      <c r="D207">
        <v>1440000</v>
      </c>
      <c r="E207" t="s">
        <v>419</v>
      </c>
    </row>
    <row r="208" spans="1:5" x14ac:dyDescent="0.25">
      <c r="A208" s="14">
        <v>42498.993067129632</v>
      </c>
      <c r="B208" t="s">
        <v>76</v>
      </c>
      <c r="C208" t="s">
        <v>392</v>
      </c>
      <c r="D208">
        <v>1510000</v>
      </c>
      <c r="E208" t="s">
        <v>434</v>
      </c>
    </row>
    <row r="209" spans="1:5" x14ac:dyDescent="0.25">
      <c r="A209" s="14">
        <v>42499.006631944445</v>
      </c>
      <c r="B209" t="s">
        <v>70</v>
      </c>
      <c r="C209" t="s">
        <v>399</v>
      </c>
      <c r="D209">
        <v>1280000</v>
      </c>
      <c r="E209" t="s">
        <v>74</v>
      </c>
    </row>
    <row r="210" spans="1:5" x14ac:dyDescent="0.25">
      <c r="A210" s="14">
        <v>42499.007361111115</v>
      </c>
      <c r="B210" t="s">
        <v>70</v>
      </c>
      <c r="C210" t="s">
        <v>399</v>
      </c>
      <c r="D210">
        <v>1280000</v>
      </c>
      <c r="E210" t="s">
        <v>74</v>
      </c>
    </row>
    <row r="211" spans="1:5" x14ac:dyDescent="0.25">
      <c r="A211" s="14">
        <v>42499.008981481478</v>
      </c>
      <c r="B211" t="s">
        <v>70</v>
      </c>
      <c r="C211" t="s">
        <v>399</v>
      </c>
      <c r="D211">
        <v>1280000</v>
      </c>
      <c r="E211" t="s">
        <v>74</v>
      </c>
    </row>
    <row r="212" spans="1:5" x14ac:dyDescent="0.25">
      <c r="A212" s="14">
        <v>42499.010266203702</v>
      </c>
      <c r="B212" t="s">
        <v>82</v>
      </c>
      <c r="C212" t="s">
        <v>395</v>
      </c>
      <c r="D212">
        <v>1140000</v>
      </c>
      <c r="E212" t="s">
        <v>73</v>
      </c>
    </row>
    <row r="213" spans="1:5" x14ac:dyDescent="0.25">
      <c r="A213" s="14">
        <v>42499.03197916667</v>
      </c>
      <c r="B213" t="s">
        <v>427</v>
      </c>
      <c r="C213" t="s">
        <v>398</v>
      </c>
      <c r="D213">
        <v>1440000</v>
      </c>
      <c r="E213" t="s">
        <v>419</v>
      </c>
    </row>
    <row r="214" spans="1:5" x14ac:dyDescent="0.25">
      <c r="A214" s="14">
        <v>42499.04991898148</v>
      </c>
      <c r="B214" t="s">
        <v>80</v>
      </c>
      <c r="C214" t="s">
        <v>403</v>
      </c>
      <c r="D214">
        <v>1140000</v>
      </c>
      <c r="E214" t="s">
        <v>73</v>
      </c>
    </row>
    <row r="215" spans="1:5" x14ac:dyDescent="0.25">
      <c r="A215" s="14">
        <v>42499.052430555559</v>
      </c>
      <c r="B215" t="s">
        <v>57</v>
      </c>
      <c r="C215" t="s">
        <v>401</v>
      </c>
      <c r="D215">
        <v>1280000</v>
      </c>
      <c r="E215" t="s">
        <v>74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42495</v>
      </c>
      <c r="B2" s="10"/>
      <c r="C2" s="37">
        <v>50</v>
      </c>
      <c r="F2" t="s">
        <v>148</v>
      </c>
    </row>
    <row r="3" spans="1:6" x14ac:dyDescent="0.25">
      <c r="F3" t="s">
        <v>149</v>
      </c>
    </row>
    <row r="4" spans="1:6" x14ac:dyDescent="0.25">
      <c r="F4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2016-05-09T16:17:18Z</dcterms:modified>
</cp:coreProperties>
</file>